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k\Documents\Blog\ETI-blog\static\"/>
    </mc:Choice>
  </mc:AlternateContent>
  <xr:revisionPtr revIDLastSave="0" documentId="13_ncr:1_{58C0AB2A-FDE4-40C6-ADFB-A185C19A5E1E}" xr6:coauthVersionLast="47" xr6:coauthVersionMax="47" xr10:uidLastSave="{00000000-0000-0000-0000-000000000000}"/>
  <bookViews>
    <workbookView xWindow="-120" yWindow="-120" windowWidth="38640" windowHeight="21240" xr2:uid="{7B1EFD27-E7A9-4511-B124-4379698E9A90}"/>
  </bookViews>
  <sheets>
    <sheet name="Diákhitel" sheetId="1" r:id="rId1"/>
    <sheet name="Munka1" sheetId="2" state="hidden" r:id="rId2"/>
  </sheets>
  <definedNames>
    <definedName name="_xlnm._FilterDatabase" localSheetId="0" hidden="1">Munka1!$B$6:$S$46</definedName>
    <definedName name="Évek_száma">Diákhitel!$C$4</definedName>
    <definedName name="Félévek_száma">Diákhitel!$B$4</definedName>
    <definedName name="Hány_év_múlva_végtörlesztek">Diákhitel!$C$4</definedName>
    <definedName name="IgenNem">Munka1!$A$1:$A$2</definedName>
    <definedName name="k">Diákhitel!$F$4</definedName>
    <definedName name="r_f">Diákhitel!$G$4</definedName>
    <definedName name="Stratégiák">Munka1!$B$1:$B$3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2" l="1"/>
  <c r="C205" i="2"/>
  <c r="D205" i="2"/>
  <c r="F205" i="2" s="1"/>
  <c r="K205" i="2"/>
  <c r="C206" i="2"/>
  <c r="D206" i="2"/>
  <c r="F206" i="2" s="1"/>
  <c r="K206" i="2"/>
  <c r="C207" i="2"/>
  <c r="D207" i="2"/>
  <c r="F207" i="2" s="1"/>
  <c r="K207" i="2"/>
  <c r="C197" i="2"/>
  <c r="D197" i="2"/>
  <c r="K197" i="2"/>
  <c r="C198" i="2"/>
  <c r="D198" i="2"/>
  <c r="E198" i="2" s="1"/>
  <c r="K198" i="2"/>
  <c r="C199" i="2"/>
  <c r="D199" i="2"/>
  <c r="K199" i="2"/>
  <c r="C200" i="2"/>
  <c r="D200" i="2"/>
  <c r="F200" i="2" s="1"/>
  <c r="K200" i="2"/>
  <c r="C201" i="2"/>
  <c r="D201" i="2"/>
  <c r="K201" i="2"/>
  <c r="C202" i="2"/>
  <c r="D202" i="2"/>
  <c r="E202" i="2" s="1"/>
  <c r="K202" i="2"/>
  <c r="C203" i="2"/>
  <c r="D203" i="2"/>
  <c r="K203" i="2"/>
  <c r="C204" i="2"/>
  <c r="D204" i="2"/>
  <c r="E204" i="2" s="1"/>
  <c r="K204" i="2"/>
  <c r="C171" i="2"/>
  <c r="D171" i="2"/>
  <c r="F171" i="2" s="1"/>
  <c r="K171" i="2"/>
  <c r="C172" i="2"/>
  <c r="D172" i="2"/>
  <c r="F172" i="2" s="1"/>
  <c r="K172" i="2"/>
  <c r="C173" i="2"/>
  <c r="D173" i="2"/>
  <c r="F173" i="2" s="1"/>
  <c r="K173" i="2"/>
  <c r="C174" i="2"/>
  <c r="D174" i="2"/>
  <c r="E174" i="2" s="1"/>
  <c r="K174" i="2"/>
  <c r="C175" i="2"/>
  <c r="D175" i="2"/>
  <c r="E175" i="2" s="1"/>
  <c r="K175" i="2"/>
  <c r="C176" i="2"/>
  <c r="D176" i="2"/>
  <c r="E176" i="2" s="1"/>
  <c r="K176" i="2"/>
  <c r="C177" i="2"/>
  <c r="D177" i="2"/>
  <c r="E177" i="2" s="1"/>
  <c r="K177" i="2"/>
  <c r="C178" i="2"/>
  <c r="D178" i="2"/>
  <c r="E178" i="2" s="1"/>
  <c r="K178" i="2"/>
  <c r="C179" i="2"/>
  <c r="D179" i="2"/>
  <c r="E179" i="2" s="1"/>
  <c r="K179" i="2"/>
  <c r="C180" i="2"/>
  <c r="D180" i="2"/>
  <c r="E180" i="2" s="1"/>
  <c r="K180" i="2"/>
  <c r="C181" i="2"/>
  <c r="D181" i="2"/>
  <c r="F181" i="2" s="1"/>
  <c r="K181" i="2"/>
  <c r="C182" i="2"/>
  <c r="D182" i="2"/>
  <c r="E182" i="2" s="1"/>
  <c r="K182" i="2"/>
  <c r="C183" i="2"/>
  <c r="D183" i="2"/>
  <c r="F183" i="2" s="1"/>
  <c r="K183" i="2"/>
  <c r="C184" i="2"/>
  <c r="D184" i="2"/>
  <c r="F184" i="2" s="1"/>
  <c r="K184" i="2"/>
  <c r="C185" i="2"/>
  <c r="D185" i="2"/>
  <c r="E185" i="2" s="1"/>
  <c r="K185" i="2"/>
  <c r="C186" i="2"/>
  <c r="D186" i="2"/>
  <c r="E186" i="2" s="1"/>
  <c r="K186" i="2"/>
  <c r="C187" i="2"/>
  <c r="D187" i="2"/>
  <c r="E187" i="2" s="1"/>
  <c r="K187" i="2"/>
  <c r="C188" i="2"/>
  <c r="D188" i="2"/>
  <c r="E188" i="2" s="1"/>
  <c r="K188" i="2"/>
  <c r="C189" i="2"/>
  <c r="D189" i="2"/>
  <c r="E189" i="2" s="1"/>
  <c r="K189" i="2"/>
  <c r="C190" i="2"/>
  <c r="D190" i="2"/>
  <c r="E190" i="2" s="1"/>
  <c r="K190" i="2"/>
  <c r="C191" i="2"/>
  <c r="D191" i="2"/>
  <c r="E191" i="2" s="1"/>
  <c r="K191" i="2"/>
  <c r="C192" i="2"/>
  <c r="D192" i="2"/>
  <c r="F192" i="2" s="1"/>
  <c r="K192" i="2"/>
  <c r="C193" i="2"/>
  <c r="D193" i="2"/>
  <c r="F193" i="2" s="1"/>
  <c r="K193" i="2"/>
  <c r="C194" i="2"/>
  <c r="D194" i="2"/>
  <c r="F194" i="2" s="1"/>
  <c r="K194" i="2"/>
  <c r="C195" i="2"/>
  <c r="D195" i="2"/>
  <c r="E195" i="2" s="1"/>
  <c r="K195" i="2"/>
  <c r="C196" i="2"/>
  <c r="D196" i="2"/>
  <c r="F196" i="2" s="1"/>
  <c r="K196" i="2"/>
  <c r="C127" i="2"/>
  <c r="D127" i="2"/>
  <c r="K127" i="2"/>
  <c r="C128" i="2"/>
  <c r="D128" i="2"/>
  <c r="F128" i="2" s="1"/>
  <c r="K128" i="2"/>
  <c r="C129" i="2"/>
  <c r="D129" i="2"/>
  <c r="E129" i="2" s="1"/>
  <c r="K129" i="2"/>
  <c r="C130" i="2"/>
  <c r="D130" i="2"/>
  <c r="F130" i="2" s="1"/>
  <c r="K130" i="2"/>
  <c r="C131" i="2"/>
  <c r="D131" i="2"/>
  <c r="E131" i="2" s="1"/>
  <c r="K131" i="2"/>
  <c r="C132" i="2"/>
  <c r="D132" i="2"/>
  <c r="F132" i="2" s="1"/>
  <c r="K132" i="2"/>
  <c r="C133" i="2"/>
  <c r="D133" i="2"/>
  <c r="E133" i="2" s="1"/>
  <c r="K133" i="2"/>
  <c r="C134" i="2"/>
  <c r="D134" i="2"/>
  <c r="F134" i="2" s="1"/>
  <c r="K134" i="2"/>
  <c r="C135" i="2"/>
  <c r="D135" i="2"/>
  <c r="E135" i="2" s="1"/>
  <c r="K135" i="2"/>
  <c r="C136" i="2"/>
  <c r="D136" i="2"/>
  <c r="F136" i="2" s="1"/>
  <c r="K136" i="2"/>
  <c r="C137" i="2"/>
  <c r="D137" i="2"/>
  <c r="E137" i="2" s="1"/>
  <c r="K137" i="2"/>
  <c r="C138" i="2"/>
  <c r="D138" i="2"/>
  <c r="F138" i="2" s="1"/>
  <c r="K138" i="2"/>
  <c r="C139" i="2"/>
  <c r="D139" i="2"/>
  <c r="E139" i="2" s="1"/>
  <c r="K139" i="2"/>
  <c r="C140" i="2"/>
  <c r="D140" i="2"/>
  <c r="F140" i="2" s="1"/>
  <c r="K140" i="2"/>
  <c r="C141" i="2"/>
  <c r="D141" i="2"/>
  <c r="E141" i="2" s="1"/>
  <c r="K141" i="2"/>
  <c r="C142" i="2"/>
  <c r="D142" i="2"/>
  <c r="F142" i="2" s="1"/>
  <c r="K142" i="2"/>
  <c r="C143" i="2"/>
  <c r="D143" i="2"/>
  <c r="E143" i="2" s="1"/>
  <c r="K143" i="2"/>
  <c r="C144" i="2"/>
  <c r="D144" i="2"/>
  <c r="F144" i="2" s="1"/>
  <c r="K144" i="2"/>
  <c r="C145" i="2"/>
  <c r="D145" i="2"/>
  <c r="E145" i="2" s="1"/>
  <c r="K145" i="2"/>
  <c r="C146" i="2"/>
  <c r="D146" i="2"/>
  <c r="F146" i="2" s="1"/>
  <c r="K146" i="2"/>
  <c r="C147" i="2"/>
  <c r="D147" i="2"/>
  <c r="E147" i="2" s="1"/>
  <c r="K147" i="2"/>
  <c r="C148" i="2"/>
  <c r="D148" i="2"/>
  <c r="F148" i="2" s="1"/>
  <c r="K148" i="2"/>
  <c r="C149" i="2"/>
  <c r="D149" i="2"/>
  <c r="E149" i="2" s="1"/>
  <c r="K149" i="2"/>
  <c r="C150" i="2"/>
  <c r="D150" i="2"/>
  <c r="F150" i="2" s="1"/>
  <c r="K150" i="2"/>
  <c r="C151" i="2"/>
  <c r="D151" i="2"/>
  <c r="E151" i="2" s="1"/>
  <c r="K151" i="2"/>
  <c r="C152" i="2"/>
  <c r="D152" i="2"/>
  <c r="F152" i="2" s="1"/>
  <c r="K152" i="2"/>
  <c r="C153" i="2"/>
  <c r="D153" i="2"/>
  <c r="E153" i="2" s="1"/>
  <c r="K153" i="2"/>
  <c r="C154" i="2"/>
  <c r="D154" i="2"/>
  <c r="F154" i="2" s="1"/>
  <c r="K154" i="2"/>
  <c r="C155" i="2"/>
  <c r="D155" i="2"/>
  <c r="E155" i="2" s="1"/>
  <c r="K155" i="2"/>
  <c r="C156" i="2"/>
  <c r="D156" i="2"/>
  <c r="F156" i="2" s="1"/>
  <c r="K156" i="2"/>
  <c r="C157" i="2"/>
  <c r="D157" i="2"/>
  <c r="E157" i="2" s="1"/>
  <c r="K157" i="2"/>
  <c r="C158" i="2"/>
  <c r="D158" i="2"/>
  <c r="F158" i="2" s="1"/>
  <c r="K158" i="2"/>
  <c r="C159" i="2"/>
  <c r="D159" i="2"/>
  <c r="E159" i="2" s="1"/>
  <c r="K159" i="2"/>
  <c r="C160" i="2"/>
  <c r="D160" i="2"/>
  <c r="F160" i="2" s="1"/>
  <c r="K160" i="2"/>
  <c r="C161" i="2"/>
  <c r="D161" i="2"/>
  <c r="E161" i="2" s="1"/>
  <c r="K161" i="2"/>
  <c r="C162" i="2"/>
  <c r="D162" i="2"/>
  <c r="F162" i="2" s="1"/>
  <c r="K162" i="2"/>
  <c r="C163" i="2"/>
  <c r="D163" i="2"/>
  <c r="E163" i="2" s="1"/>
  <c r="K163" i="2"/>
  <c r="C164" i="2"/>
  <c r="D164" i="2"/>
  <c r="F164" i="2" s="1"/>
  <c r="K164" i="2"/>
  <c r="C165" i="2"/>
  <c r="D165" i="2"/>
  <c r="E165" i="2" s="1"/>
  <c r="K165" i="2"/>
  <c r="C166" i="2"/>
  <c r="D166" i="2"/>
  <c r="F166" i="2" s="1"/>
  <c r="K166" i="2"/>
  <c r="C167" i="2"/>
  <c r="D167" i="2"/>
  <c r="E167" i="2" s="1"/>
  <c r="K167" i="2"/>
  <c r="C168" i="2"/>
  <c r="D168" i="2"/>
  <c r="F168" i="2" s="1"/>
  <c r="K168" i="2"/>
  <c r="C169" i="2"/>
  <c r="D169" i="2"/>
  <c r="E169" i="2" s="1"/>
  <c r="K169" i="2"/>
  <c r="C170" i="2"/>
  <c r="D170" i="2"/>
  <c r="F170" i="2" s="1"/>
  <c r="K170" i="2"/>
  <c r="C116" i="2"/>
  <c r="D116" i="2"/>
  <c r="E116" i="2" s="1"/>
  <c r="K116" i="2"/>
  <c r="C117" i="2"/>
  <c r="D117" i="2"/>
  <c r="E117" i="2" s="1"/>
  <c r="K117" i="2"/>
  <c r="C118" i="2"/>
  <c r="D118" i="2"/>
  <c r="E118" i="2" s="1"/>
  <c r="K118" i="2"/>
  <c r="C119" i="2"/>
  <c r="D119" i="2"/>
  <c r="E119" i="2" s="1"/>
  <c r="K119" i="2"/>
  <c r="C120" i="2"/>
  <c r="D120" i="2"/>
  <c r="E120" i="2" s="1"/>
  <c r="K120" i="2"/>
  <c r="C121" i="2"/>
  <c r="D121" i="2"/>
  <c r="E121" i="2" s="1"/>
  <c r="K121" i="2"/>
  <c r="C122" i="2"/>
  <c r="D122" i="2"/>
  <c r="F122" i="2" s="1"/>
  <c r="K122" i="2"/>
  <c r="C123" i="2"/>
  <c r="D123" i="2"/>
  <c r="E123" i="2" s="1"/>
  <c r="K123" i="2"/>
  <c r="C124" i="2"/>
  <c r="D124" i="2"/>
  <c r="E124" i="2" s="1"/>
  <c r="K124" i="2"/>
  <c r="C125" i="2"/>
  <c r="D125" i="2"/>
  <c r="E125" i="2" s="1"/>
  <c r="K125" i="2"/>
  <c r="C126" i="2"/>
  <c r="D126" i="2"/>
  <c r="E126" i="2" s="1"/>
  <c r="K126" i="2"/>
  <c r="C107" i="2"/>
  <c r="D107" i="2"/>
  <c r="E107" i="2" s="1"/>
  <c r="K107" i="2"/>
  <c r="C108" i="2"/>
  <c r="D108" i="2"/>
  <c r="E108" i="2" s="1"/>
  <c r="K108" i="2"/>
  <c r="C109" i="2"/>
  <c r="D109" i="2"/>
  <c r="F109" i="2" s="1"/>
  <c r="K109" i="2"/>
  <c r="C110" i="2"/>
  <c r="D110" i="2"/>
  <c r="E110" i="2" s="1"/>
  <c r="K110" i="2"/>
  <c r="C111" i="2"/>
  <c r="D111" i="2"/>
  <c r="F111" i="2" s="1"/>
  <c r="K111" i="2"/>
  <c r="C112" i="2"/>
  <c r="D112" i="2"/>
  <c r="E112" i="2" s="1"/>
  <c r="K112" i="2"/>
  <c r="C113" i="2"/>
  <c r="D113" i="2"/>
  <c r="F113" i="2" s="1"/>
  <c r="K113" i="2"/>
  <c r="C114" i="2"/>
  <c r="D114" i="2"/>
  <c r="E114" i="2" s="1"/>
  <c r="K114" i="2"/>
  <c r="C115" i="2"/>
  <c r="D115" i="2"/>
  <c r="F115" i="2" s="1"/>
  <c r="K115" i="2"/>
  <c r="C98" i="2"/>
  <c r="D98" i="2"/>
  <c r="E98" i="2" s="1"/>
  <c r="K98" i="2"/>
  <c r="C99" i="2"/>
  <c r="D99" i="2"/>
  <c r="E99" i="2" s="1"/>
  <c r="K99" i="2"/>
  <c r="C100" i="2"/>
  <c r="D100" i="2"/>
  <c r="E100" i="2" s="1"/>
  <c r="K100" i="2"/>
  <c r="C101" i="2"/>
  <c r="D101" i="2"/>
  <c r="E101" i="2" s="1"/>
  <c r="K101" i="2"/>
  <c r="C102" i="2"/>
  <c r="D102" i="2"/>
  <c r="E102" i="2" s="1"/>
  <c r="K102" i="2"/>
  <c r="C103" i="2"/>
  <c r="D103" i="2"/>
  <c r="E103" i="2" s="1"/>
  <c r="K103" i="2"/>
  <c r="C104" i="2"/>
  <c r="D104" i="2"/>
  <c r="F104" i="2" s="1"/>
  <c r="K104" i="2"/>
  <c r="C105" i="2"/>
  <c r="D105" i="2"/>
  <c r="E105" i="2" s="1"/>
  <c r="K105" i="2"/>
  <c r="C106" i="2"/>
  <c r="D106" i="2"/>
  <c r="F106" i="2" s="1"/>
  <c r="K106" i="2"/>
  <c r="C47" i="2"/>
  <c r="D47" i="2"/>
  <c r="E47" i="2" s="1"/>
  <c r="K47" i="2"/>
  <c r="C48" i="2"/>
  <c r="D48" i="2"/>
  <c r="E48" i="2" s="1"/>
  <c r="K48" i="2"/>
  <c r="C49" i="2"/>
  <c r="D49" i="2"/>
  <c r="E49" i="2" s="1"/>
  <c r="K49" i="2"/>
  <c r="C50" i="2"/>
  <c r="D50" i="2"/>
  <c r="E50" i="2" s="1"/>
  <c r="K50" i="2"/>
  <c r="C51" i="2"/>
  <c r="D51" i="2"/>
  <c r="E51" i="2" s="1"/>
  <c r="K51" i="2"/>
  <c r="C52" i="2"/>
  <c r="D52" i="2"/>
  <c r="E52" i="2" s="1"/>
  <c r="K52" i="2"/>
  <c r="C53" i="2"/>
  <c r="D53" i="2"/>
  <c r="E53" i="2" s="1"/>
  <c r="K53" i="2"/>
  <c r="C54" i="2"/>
  <c r="D54" i="2"/>
  <c r="E54" i="2" s="1"/>
  <c r="K54" i="2"/>
  <c r="C55" i="2"/>
  <c r="D55" i="2"/>
  <c r="E55" i="2" s="1"/>
  <c r="K55" i="2"/>
  <c r="C56" i="2"/>
  <c r="D56" i="2"/>
  <c r="E56" i="2" s="1"/>
  <c r="K56" i="2"/>
  <c r="C57" i="2"/>
  <c r="D57" i="2"/>
  <c r="E57" i="2" s="1"/>
  <c r="K57" i="2"/>
  <c r="C58" i="2"/>
  <c r="D58" i="2"/>
  <c r="E58" i="2" s="1"/>
  <c r="K58" i="2"/>
  <c r="C59" i="2"/>
  <c r="D59" i="2"/>
  <c r="E59" i="2" s="1"/>
  <c r="K59" i="2"/>
  <c r="C60" i="2"/>
  <c r="D60" i="2"/>
  <c r="E60" i="2" s="1"/>
  <c r="K60" i="2"/>
  <c r="C61" i="2"/>
  <c r="D61" i="2"/>
  <c r="E61" i="2" s="1"/>
  <c r="K61" i="2"/>
  <c r="C62" i="2"/>
  <c r="D62" i="2"/>
  <c r="F62" i="2" s="1"/>
  <c r="K62" i="2"/>
  <c r="C63" i="2"/>
  <c r="D63" i="2"/>
  <c r="E63" i="2" s="1"/>
  <c r="K63" i="2"/>
  <c r="C64" i="2"/>
  <c r="D64" i="2"/>
  <c r="F64" i="2" s="1"/>
  <c r="K64" i="2"/>
  <c r="C65" i="2"/>
  <c r="D65" i="2"/>
  <c r="E65" i="2" s="1"/>
  <c r="K65" i="2"/>
  <c r="C66" i="2"/>
  <c r="D66" i="2"/>
  <c r="E66" i="2" s="1"/>
  <c r="K66" i="2"/>
  <c r="C67" i="2"/>
  <c r="D67" i="2"/>
  <c r="E67" i="2" s="1"/>
  <c r="K67" i="2"/>
  <c r="C68" i="2"/>
  <c r="D68" i="2"/>
  <c r="E68" i="2" s="1"/>
  <c r="K68" i="2"/>
  <c r="C69" i="2"/>
  <c r="D69" i="2"/>
  <c r="E69" i="2" s="1"/>
  <c r="K69" i="2"/>
  <c r="C70" i="2"/>
  <c r="D70" i="2"/>
  <c r="E70" i="2" s="1"/>
  <c r="K70" i="2"/>
  <c r="C71" i="2"/>
  <c r="D71" i="2"/>
  <c r="E71" i="2" s="1"/>
  <c r="K71" i="2"/>
  <c r="C72" i="2"/>
  <c r="D72" i="2"/>
  <c r="E72" i="2" s="1"/>
  <c r="K72" i="2"/>
  <c r="C73" i="2"/>
  <c r="D73" i="2"/>
  <c r="E73" i="2" s="1"/>
  <c r="K73" i="2"/>
  <c r="C74" i="2"/>
  <c r="D74" i="2"/>
  <c r="E74" i="2" s="1"/>
  <c r="K74" i="2"/>
  <c r="C75" i="2"/>
  <c r="D75" i="2"/>
  <c r="E75" i="2" s="1"/>
  <c r="K75" i="2"/>
  <c r="C76" i="2"/>
  <c r="D76" i="2"/>
  <c r="F76" i="2" s="1"/>
  <c r="K76" i="2"/>
  <c r="C77" i="2"/>
  <c r="D77" i="2"/>
  <c r="E77" i="2" s="1"/>
  <c r="K77" i="2"/>
  <c r="C78" i="2"/>
  <c r="D78" i="2"/>
  <c r="E78" i="2" s="1"/>
  <c r="K78" i="2"/>
  <c r="C79" i="2"/>
  <c r="D79" i="2"/>
  <c r="E79" i="2" s="1"/>
  <c r="K79" i="2"/>
  <c r="C80" i="2"/>
  <c r="D80" i="2"/>
  <c r="E80" i="2" s="1"/>
  <c r="K80" i="2"/>
  <c r="C81" i="2"/>
  <c r="D81" i="2"/>
  <c r="E81" i="2" s="1"/>
  <c r="K81" i="2"/>
  <c r="C82" i="2"/>
  <c r="D82" i="2"/>
  <c r="F82" i="2" s="1"/>
  <c r="K82" i="2"/>
  <c r="C83" i="2"/>
  <c r="D83" i="2"/>
  <c r="E83" i="2" s="1"/>
  <c r="K83" i="2"/>
  <c r="C84" i="2"/>
  <c r="D84" i="2"/>
  <c r="E84" i="2" s="1"/>
  <c r="K84" i="2"/>
  <c r="C85" i="2"/>
  <c r="D85" i="2"/>
  <c r="E85" i="2" s="1"/>
  <c r="K85" i="2"/>
  <c r="C86" i="2"/>
  <c r="D86" i="2"/>
  <c r="E86" i="2" s="1"/>
  <c r="K86" i="2"/>
  <c r="C87" i="2"/>
  <c r="D87" i="2"/>
  <c r="E87" i="2" s="1"/>
  <c r="K87" i="2"/>
  <c r="C88" i="2"/>
  <c r="D88" i="2"/>
  <c r="F88" i="2" s="1"/>
  <c r="K88" i="2"/>
  <c r="C89" i="2"/>
  <c r="D89" i="2"/>
  <c r="E89" i="2" s="1"/>
  <c r="K89" i="2"/>
  <c r="C90" i="2"/>
  <c r="D90" i="2"/>
  <c r="E90" i="2" s="1"/>
  <c r="K90" i="2"/>
  <c r="C91" i="2"/>
  <c r="D91" i="2"/>
  <c r="E91" i="2" s="1"/>
  <c r="K91" i="2"/>
  <c r="C92" i="2"/>
  <c r="D92" i="2"/>
  <c r="E92" i="2" s="1"/>
  <c r="K92" i="2"/>
  <c r="C93" i="2"/>
  <c r="D93" i="2"/>
  <c r="E93" i="2" s="1"/>
  <c r="K93" i="2"/>
  <c r="C94" i="2"/>
  <c r="D94" i="2"/>
  <c r="F94" i="2" s="1"/>
  <c r="K94" i="2"/>
  <c r="C95" i="2"/>
  <c r="D95" i="2"/>
  <c r="E95" i="2" s="1"/>
  <c r="K95" i="2"/>
  <c r="C96" i="2"/>
  <c r="D96" i="2"/>
  <c r="F96" i="2" s="1"/>
  <c r="K96" i="2"/>
  <c r="C97" i="2"/>
  <c r="D97" i="2"/>
  <c r="E97" i="2" s="1"/>
  <c r="K97" i="2"/>
  <c r="K46" i="2"/>
  <c r="D46" i="2"/>
  <c r="F46" i="2" s="1"/>
  <c r="C46" i="2"/>
  <c r="K45" i="2"/>
  <c r="D45" i="2"/>
  <c r="F45" i="2" s="1"/>
  <c r="C45" i="2"/>
  <c r="K44" i="2"/>
  <c r="D44" i="2"/>
  <c r="F44" i="2" s="1"/>
  <c r="C44" i="2"/>
  <c r="K43" i="2"/>
  <c r="D43" i="2"/>
  <c r="F43" i="2" s="1"/>
  <c r="C43" i="2"/>
  <c r="K42" i="2"/>
  <c r="D42" i="2"/>
  <c r="E42" i="2" s="1"/>
  <c r="C42" i="2"/>
  <c r="K41" i="2"/>
  <c r="D41" i="2"/>
  <c r="C41" i="2"/>
  <c r="K40" i="2"/>
  <c r="D40" i="2"/>
  <c r="F40" i="2" s="1"/>
  <c r="C40" i="2"/>
  <c r="K39" i="2"/>
  <c r="D39" i="2"/>
  <c r="F39" i="2" s="1"/>
  <c r="C39" i="2"/>
  <c r="K38" i="2"/>
  <c r="D38" i="2"/>
  <c r="F38" i="2" s="1"/>
  <c r="C38" i="2"/>
  <c r="K37" i="2"/>
  <c r="D37" i="2"/>
  <c r="F37" i="2" s="1"/>
  <c r="C37" i="2"/>
  <c r="K36" i="2"/>
  <c r="D36" i="2"/>
  <c r="F36" i="2" s="1"/>
  <c r="C36" i="2"/>
  <c r="K35" i="2"/>
  <c r="D35" i="2"/>
  <c r="F35" i="2" s="1"/>
  <c r="C35" i="2"/>
  <c r="K34" i="2"/>
  <c r="D34" i="2"/>
  <c r="F34" i="2" s="1"/>
  <c r="C34" i="2"/>
  <c r="K33" i="2"/>
  <c r="D33" i="2"/>
  <c r="F33" i="2" s="1"/>
  <c r="C33" i="2"/>
  <c r="K32" i="2"/>
  <c r="D32" i="2"/>
  <c r="F32" i="2" s="1"/>
  <c r="C32" i="2"/>
  <c r="K31" i="2"/>
  <c r="D31" i="2"/>
  <c r="F31" i="2" s="1"/>
  <c r="C31" i="2"/>
  <c r="K30" i="2"/>
  <c r="D30" i="2"/>
  <c r="E30" i="2" s="1"/>
  <c r="C30" i="2"/>
  <c r="K29" i="2"/>
  <c r="D29" i="2"/>
  <c r="E29" i="2" s="1"/>
  <c r="C29" i="2"/>
  <c r="K28" i="2"/>
  <c r="D28" i="2"/>
  <c r="E28" i="2" s="1"/>
  <c r="C28" i="2"/>
  <c r="K27" i="2"/>
  <c r="D27" i="2"/>
  <c r="E27" i="2" s="1"/>
  <c r="C27" i="2"/>
  <c r="K26" i="2"/>
  <c r="D26" i="2"/>
  <c r="F26" i="2" s="1"/>
  <c r="C26" i="2"/>
  <c r="K25" i="2"/>
  <c r="D25" i="2"/>
  <c r="C25" i="2"/>
  <c r="K24" i="2"/>
  <c r="D24" i="2"/>
  <c r="F24" i="2" s="1"/>
  <c r="C24" i="2"/>
  <c r="K23" i="2"/>
  <c r="D23" i="2"/>
  <c r="C23" i="2"/>
  <c r="K22" i="2"/>
  <c r="D22" i="2"/>
  <c r="E22" i="2" s="1"/>
  <c r="C22" i="2"/>
  <c r="K21" i="2"/>
  <c r="D21" i="2"/>
  <c r="C21" i="2"/>
  <c r="K20" i="2"/>
  <c r="D20" i="2"/>
  <c r="F20" i="2" s="1"/>
  <c r="C20" i="2"/>
  <c r="K19" i="2"/>
  <c r="D19" i="2"/>
  <c r="F19" i="2" s="1"/>
  <c r="C19" i="2"/>
  <c r="K18" i="2"/>
  <c r="D18" i="2"/>
  <c r="F18" i="2" s="1"/>
  <c r="C18" i="2"/>
  <c r="K17" i="2"/>
  <c r="D17" i="2"/>
  <c r="F17" i="2" s="1"/>
  <c r="C17" i="2"/>
  <c r="K16" i="2"/>
  <c r="D16" i="2"/>
  <c r="E16" i="2" s="1"/>
  <c r="C16" i="2"/>
  <c r="K15" i="2"/>
  <c r="D15" i="2"/>
  <c r="C15" i="2"/>
  <c r="K14" i="2"/>
  <c r="D14" i="2"/>
  <c r="E14" i="2" s="1"/>
  <c r="C14" i="2"/>
  <c r="K13" i="2"/>
  <c r="D13" i="2"/>
  <c r="E13" i="2" s="1"/>
  <c r="C13" i="2"/>
  <c r="K12" i="2"/>
  <c r="D12" i="2"/>
  <c r="E12" i="2" s="1"/>
  <c r="C12" i="2"/>
  <c r="K11" i="2"/>
  <c r="D11" i="2"/>
  <c r="F11" i="2" s="1"/>
  <c r="C11" i="2"/>
  <c r="K10" i="2"/>
  <c r="D10" i="2"/>
  <c r="C10" i="2"/>
  <c r="K9" i="2"/>
  <c r="D9" i="2"/>
  <c r="C9" i="2"/>
  <c r="K8" i="2"/>
  <c r="D8" i="2"/>
  <c r="C8" i="2"/>
  <c r="K7" i="2"/>
  <c r="D7" i="2"/>
  <c r="C7" i="2"/>
  <c r="O7" i="2" l="1"/>
  <c r="F28" i="2"/>
  <c r="G28" i="2" s="1"/>
  <c r="F180" i="2"/>
  <c r="G180" i="2" s="1"/>
  <c r="E171" i="2"/>
  <c r="G171" i="2" s="1"/>
  <c r="F70" i="2"/>
  <c r="G70" i="2" s="1"/>
  <c r="E200" i="2"/>
  <c r="G200" i="2" s="1"/>
  <c r="E196" i="2"/>
  <c r="G196" i="2" s="1"/>
  <c r="E40" i="2"/>
  <c r="G40" i="2" s="1"/>
  <c r="F58" i="2"/>
  <c r="G58" i="2" s="1"/>
  <c r="F29" i="2"/>
  <c r="G29" i="2" s="1"/>
  <c r="F204" i="2"/>
  <c r="G204" i="2" s="1"/>
  <c r="F68" i="2"/>
  <c r="G68" i="2" s="1"/>
  <c r="E173" i="2"/>
  <c r="G173" i="2" s="1"/>
  <c r="E122" i="2"/>
  <c r="G122" i="2" s="1"/>
  <c r="F74" i="2"/>
  <c r="G74" i="2" s="1"/>
  <c r="E36" i="2"/>
  <c r="G36" i="2" s="1"/>
  <c r="E18" i="2"/>
  <c r="G18" i="2" s="1"/>
  <c r="F118" i="2"/>
  <c r="G118" i="2" s="1"/>
  <c r="E44" i="2"/>
  <c r="G44" i="2" s="1"/>
  <c r="E64" i="2"/>
  <c r="G64" i="2" s="1"/>
  <c r="F50" i="2"/>
  <c r="G50" i="2" s="1"/>
  <c r="E138" i="2"/>
  <c r="G138" i="2" s="1"/>
  <c r="E194" i="2"/>
  <c r="G194" i="2" s="1"/>
  <c r="F187" i="2"/>
  <c r="G187" i="2" s="1"/>
  <c r="E184" i="2"/>
  <c r="G184" i="2" s="1"/>
  <c r="E96" i="2"/>
  <c r="G96" i="2" s="1"/>
  <c r="E106" i="2"/>
  <c r="G106" i="2" s="1"/>
  <c r="F12" i="2"/>
  <c r="G12" i="2" s="1"/>
  <c r="E38" i="2"/>
  <c r="G38" i="2" s="1"/>
  <c r="F56" i="2"/>
  <c r="G56" i="2" s="1"/>
  <c r="E193" i="2"/>
  <c r="G193" i="2" s="1"/>
  <c r="E183" i="2"/>
  <c r="G183" i="2" s="1"/>
  <c r="E207" i="2"/>
  <c r="G207" i="2" s="1"/>
  <c r="E111" i="2"/>
  <c r="G111" i="2" s="1"/>
  <c r="E24" i="2"/>
  <c r="G24" i="2" s="1"/>
  <c r="E76" i="2"/>
  <c r="G76" i="2" s="1"/>
  <c r="E136" i="2"/>
  <c r="G136" i="2" s="1"/>
  <c r="F185" i="2"/>
  <c r="G185" i="2" s="1"/>
  <c r="E192" i="2"/>
  <c r="G192" i="2" s="1"/>
  <c r="F182" i="2"/>
  <c r="G182" i="2" s="1"/>
  <c r="E94" i="2"/>
  <c r="G94" i="2" s="1"/>
  <c r="E82" i="2"/>
  <c r="G82" i="2" s="1"/>
  <c r="E62" i="2"/>
  <c r="G62" i="2" s="1"/>
  <c r="F108" i="2"/>
  <c r="G108" i="2" s="1"/>
  <c r="E146" i="2"/>
  <c r="G146" i="2" s="1"/>
  <c r="E172" i="2"/>
  <c r="G172" i="2" s="1"/>
  <c r="F30" i="2"/>
  <c r="G30" i="2" s="1"/>
  <c r="E152" i="2"/>
  <c r="G152" i="2" s="1"/>
  <c r="E132" i="2"/>
  <c r="G132" i="2" s="1"/>
  <c r="E181" i="2"/>
  <c r="G181" i="2" s="1"/>
  <c r="F174" i="2"/>
  <c r="G174" i="2" s="1"/>
  <c r="F52" i="2"/>
  <c r="G52" i="2" s="1"/>
  <c r="E113" i="2"/>
  <c r="G113" i="2" s="1"/>
  <c r="F107" i="2"/>
  <c r="G107" i="2" s="1"/>
  <c r="F124" i="2"/>
  <c r="G124" i="2" s="1"/>
  <c r="P7" i="2"/>
  <c r="E11" i="2"/>
  <c r="G11" i="2" s="1"/>
  <c r="E148" i="2"/>
  <c r="G148" i="2" s="1"/>
  <c r="F195" i="2"/>
  <c r="G195" i="2" s="1"/>
  <c r="E206" i="2"/>
  <c r="G206" i="2" s="1"/>
  <c r="F86" i="2"/>
  <c r="G86" i="2" s="1"/>
  <c r="F22" i="2"/>
  <c r="G22" i="2" s="1"/>
  <c r="F92" i="2"/>
  <c r="G92" i="2" s="1"/>
  <c r="F80" i="2"/>
  <c r="G80" i="2" s="1"/>
  <c r="F112" i="2"/>
  <c r="G112" i="2" s="1"/>
  <c r="E109" i="2"/>
  <c r="G109" i="2" s="1"/>
  <c r="F126" i="2"/>
  <c r="G126" i="2" s="1"/>
  <c r="F116" i="2"/>
  <c r="G116" i="2" s="1"/>
  <c r="E160" i="2"/>
  <c r="G160" i="2" s="1"/>
  <c r="E130" i="2"/>
  <c r="G130" i="2" s="1"/>
  <c r="F16" i="2"/>
  <c r="G16" i="2" s="1"/>
  <c r="E88" i="2"/>
  <c r="G88" i="2" s="1"/>
  <c r="F14" i="2"/>
  <c r="G14" i="2" s="1"/>
  <c r="F42" i="2"/>
  <c r="G42" i="2" s="1"/>
  <c r="E20" i="2"/>
  <c r="G20" i="2" s="1"/>
  <c r="E34" i="2"/>
  <c r="G34" i="2" s="1"/>
  <c r="F84" i="2"/>
  <c r="G84" i="2" s="1"/>
  <c r="F72" i="2"/>
  <c r="G72" i="2" s="1"/>
  <c r="F60" i="2"/>
  <c r="G60" i="2" s="1"/>
  <c r="F48" i="2"/>
  <c r="G48" i="2" s="1"/>
  <c r="F114" i="2"/>
  <c r="G114" i="2" s="1"/>
  <c r="E168" i="2"/>
  <c r="G168" i="2" s="1"/>
  <c r="F189" i="2"/>
  <c r="G189" i="2" s="1"/>
  <c r="F176" i="2"/>
  <c r="G176" i="2" s="1"/>
  <c r="E26" i="2"/>
  <c r="G26" i="2" s="1"/>
  <c r="F8" i="2"/>
  <c r="E162" i="2"/>
  <c r="G162" i="2" s="1"/>
  <c r="E154" i="2"/>
  <c r="G154" i="2" s="1"/>
  <c r="E140" i="2"/>
  <c r="G140" i="2" s="1"/>
  <c r="E134" i="2"/>
  <c r="G134" i="2" s="1"/>
  <c r="E128" i="2"/>
  <c r="G128" i="2" s="1"/>
  <c r="F191" i="2"/>
  <c r="G191" i="2" s="1"/>
  <c r="F178" i="2"/>
  <c r="G178" i="2" s="1"/>
  <c r="F198" i="2"/>
  <c r="G198" i="2" s="1"/>
  <c r="E32" i="2"/>
  <c r="G32" i="2" s="1"/>
  <c r="F27" i="2"/>
  <c r="G27" i="2" s="1"/>
  <c r="E46" i="2"/>
  <c r="G46" i="2" s="1"/>
  <c r="E170" i="2"/>
  <c r="G170" i="2" s="1"/>
  <c r="E164" i="2"/>
  <c r="G164" i="2" s="1"/>
  <c r="E156" i="2"/>
  <c r="G156" i="2" s="1"/>
  <c r="E142" i="2"/>
  <c r="G142" i="2" s="1"/>
  <c r="F120" i="2"/>
  <c r="G120" i="2" s="1"/>
  <c r="F186" i="2"/>
  <c r="G186" i="2" s="1"/>
  <c r="F175" i="2"/>
  <c r="G175" i="2" s="1"/>
  <c r="F90" i="2"/>
  <c r="G90" i="2" s="1"/>
  <c r="F78" i="2"/>
  <c r="G78" i="2" s="1"/>
  <c r="F66" i="2"/>
  <c r="G66" i="2" s="1"/>
  <c r="F54" i="2"/>
  <c r="G54" i="2" s="1"/>
  <c r="E104" i="2"/>
  <c r="G104" i="2" s="1"/>
  <c r="F110" i="2"/>
  <c r="G110" i="2" s="1"/>
  <c r="F188" i="2"/>
  <c r="G188" i="2" s="1"/>
  <c r="F177" i="2"/>
  <c r="G177" i="2" s="1"/>
  <c r="E158" i="2"/>
  <c r="G158" i="2" s="1"/>
  <c r="E150" i="2"/>
  <c r="G150" i="2" s="1"/>
  <c r="E144" i="2"/>
  <c r="G144" i="2" s="1"/>
  <c r="F190" i="2"/>
  <c r="G190" i="2" s="1"/>
  <c r="F179" i="2"/>
  <c r="G179" i="2" s="1"/>
  <c r="F202" i="2"/>
  <c r="G202" i="2" s="1"/>
  <c r="E115" i="2"/>
  <c r="G115" i="2" s="1"/>
  <c r="E166" i="2"/>
  <c r="G166" i="2" s="1"/>
  <c r="E205" i="2"/>
  <c r="F203" i="2"/>
  <c r="F201" i="2"/>
  <c r="F199" i="2"/>
  <c r="F197" i="2"/>
  <c r="E203" i="2"/>
  <c r="E201" i="2"/>
  <c r="E199" i="2"/>
  <c r="E197" i="2"/>
  <c r="F169" i="2"/>
  <c r="G169" i="2" s="1"/>
  <c r="F167" i="2"/>
  <c r="G167" i="2" s="1"/>
  <c r="F165" i="2"/>
  <c r="G165" i="2" s="1"/>
  <c r="F163" i="2"/>
  <c r="G163" i="2" s="1"/>
  <c r="F161" i="2"/>
  <c r="G161" i="2" s="1"/>
  <c r="F159" i="2"/>
  <c r="G159" i="2" s="1"/>
  <c r="F157" i="2"/>
  <c r="G157" i="2" s="1"/>
  <c r="F155" i="2"/>
  <c r="G155" i="2" s="1"/>
  <c r="F153" i="2"/>
  <c r="G153" i="2" s="1"/>
  <c r="F151" i="2"/>
  <c r="G151" i="2" s="1"/>
  <c r="F149" i="2"/>
  <c r="G149" i="2" s="1"/>
  <c r="F147" i="2"/>
  <c r="G147" i="2" s="1"/>
  <c r="F145" i="2"/>
  <c r="G145" i="2" s="1"/>
  <c r="F143" i="2"/>
  <c r="G143" i="2" s="1"/>
  <c r="F141" i="2"/>
  <c r="G141" i="2" s="1"/>
  <c r="F139" i="2"/>
  <c r="G139" i="2" s="1"/>
  <c r="F137" i="2"/>
  <c r="G137" i="2" s="1"/>
  <c r="F135" i="2"/>
  <c r="G135" i="2" s="1"/>
  <c r="F133" i="2"/>
  <c r="G133" i="2" s="1"/>
  <c r="F131" i="2"/>
  <c r="G131" i="2" s="1"/>
  <c r="F129" i="2"/>
  <c r="G129" i="2" s="1"/>
  <c r="F127" i="2"/>
  <c r="E127" i="2"/>
  <c r="F125" i="2"/>
  <c r="G125" i="2" s="1"/>
  <c r="F123" i="2"/>
  <c r="G123" i="2" s="1"/>
  <c r="F121" i="2"/>
  <c r="G121" i="2" s="1"/>
  <c r="F119" i="2"/>
  <c r="G119" i="2" s="1"/>
  <c r="F117" i="2"/>
  <c r="G117" i="2" s="1"/>
  <c r="F105" i="2"/>
  <c r="G105" i="2" s="1"/>
  <c r="F103" i="2"/>
  <c r="G103" i="2" s="1"/>
  <c r="F101" i="2"/>
  <c r="G101" i="2" s="1"/>
  <c r="F99" i="2"/>
  <c r="G99" i="2" s="1"/>
  <c r="F102" i="2"/>
  <c r="G102" i="2" s="1"/>
  <c r="F100" i="2"/>
  <c r="G100" i="2" s="1"/>
  <c r="F98" i="2"/>
  <c r="G98" i="2" s="1"/>
  <c r="F97" i="2"/>
  <c r="G97" i="2" s="1"/>
  <c r="F95" i="2"/>
  <c r="G95" i="2" s="1"/>
  <c r="F93" i="2"/>
  <c r="G93" i="2" s="1"/>
  <c r="F91" i="2"/>
  <c r="G91" i="2" s="1"/>
  <c r="F89" i="2"/>
  <c r="G89" i="2" s="1"/>
  <c r="F87" i="2"/>
  <c r="G87" i="2" s="1"/>
  <c r="F85" i="2"/>
  <c r="G85" i="2" s="1"/>
  <c r="F83" i="2"/>
  <c r="G83" i="2" s="1"/>
  <c r="F81" i="2"/>
  <c r="G81" i="2" s="1"/>
  <c r="F79" i="2"/>
  <c r="G79" i="2" s="1"/>
  <c r="F77" i="2"/>
  <c r="G77" i="2" s="1"/>
  <c r="F75" i="2"/>
  <c r="G75" i="2" s="1"/>
  <c r="F73" i="2"/>
  <c r="G73" i="2" s="1"/>
  <c r="F71" i="2"/>
  <c r="G71" i="2" s="1"/>
  <c r="F69" i="2"/>
  <c r="G69" i="2" s="1"/>
  <c r="F67" i="2"/>
  <c r="G67" i="2" s="1"/>
  <c r="F65" i="2"/>
  <c r="G65" i="2" s="1"/>
  <c r="F63" i="2"/>
  <c r="G63" i="2" s="1"/>
  <c r="F61" i="2"/>
  <c r="G61" i="2" s="1"/>
  <c r="F59" i="2"/>
  <c r="G59" i="2" s="1"/>
  <c r="F57" i="2"/>
  <c r="G57" i="2" s="1"/>
  <c r="F55" i="2"/>
  <c r="G55" i="2" s="1"/>
  <c r="F53" i="2"/>
  <c r="G53" i="2" s="1"/>
  <c r="F51" i="2"/>
  <c r="G51" i="2" s="1"/>
  <c r="F49" i="2"/>
  <c r="G49" i="2" s="1"/>
  <c r="F47" i="2"/>
  <c r="F9" i="2"/>
  <c r="F10" i="2"/>
  <c r="F23" i="2"/>
  <c r="E15" i="2"/>
  <c r="E17" i="2"/>
  <c r="G17" i="2" s="1"/>
  <c r="E19" i="2"/>
  <c r="G19" i="2" s="1"/>
  <c r="E21" i="2"/>
  <c r="F41" i="2"/>
  <c r="E35" i="2"/>
  <c r="G35" i="2" s="1"/>
  <c r="F15" i="2"/>
  <c r="F21" i="2"/>
  <c r="E31" i="2"/>
  <c r="G31" i="2" s="1"/>
  <c r="E37" i="2"/>
  <c r="G37" i="2" s="1"/>
  <c r="E43" i="2"/>
  <c r="G43" i="2" s="1"/>
  <c r="E41" i="2"/>
  <c r="F13" i="2"/>
  <c r="G13" i="2" s="1"/>
  <c r="E25" i="2"/>
  <c r="E7" i="2"/>
  <c r="L4" i="2" s="1"/>
  <c r="L3" i="2" s="1"/>
  <c r="F7" i="2"/>
  <c r="M4" i="2" s="1"/>
  <c r="M3" i="2" s="1"/>
  <c r="E8" i="2"/>
  <c r="F25" i="2"/>
  <c r="E33" i="2"/>
  <c r="G33" i="2" s="1"/>
  <c r="E39" i="2"/>
  <c r="G39" i="2" s="1"/>
  <c r="E45" i="2"/>
  <c r="G45" i="2" s="1"/>
  <c r="E9" i="2"/>
  <c r="E10" i="2"/>
  <c r="E23" i="2"/>
  <c r="M7" i="2" l="1"/>
  <c r="Q7" i="2"/>
  <c r="I7" i="2"/>
  <c r="G23" i="2"/>
  <c r="G203" i="2"/>
  <c r="G41" i="2"/>
  <c r="G15" i="2"/>
  <c r="G8" i="2"/>
  <c r="G201" i="2"/>
  <c r="G205" i="2"/>
  <c r="G197" i="2"/>
  <c r="G199" i="2"/>
  <c r="G127" i="2"/>
  <c r="G47" i="2"/>
  <c r="G10" i="2"/>
  <c r="L7" i="2"/>
  <c r="O8" i="2" s="1"/>
  <c r="G7" i="2"/>
  <c r="H7" i="2" s="1"/>
  <c r="G9" i="2"/>
  <c r="G25" i="2"/>
  <c r="G21" i="2"/>
  <c r="P8" i="2" l="1"/>
  <c r="M8" i="2" s="1"/>
  <c r="P9" i="2" s="1"/>
  <c r="J4" i="2"/>
  <c r="N7" i="2"/>
  <c r="J7" i="2"/>
  <c r="R7" i="2" l="1"/>
  <c r="Q8" i="2"/>
  <c r="M9" i="2"/>
  <c r="P10" i="2" s="1"/>
  <c r="L8" i="2"/>
  <c r="I8" i="2"/>
  <c r="J8" i="2"/>
  <c r="H8" i="2"/>
  <c r="M10" i="2" l="1"/>
  <c r="P11" i="2" s="1"/>
  <c r="S8" i="2"/>
  <c r="O9" i="2"/>
  <c r="I9" i="2" s="1"/>
  <c r="N8" i="2"/>
  <c r="R8" i="2" s="1"/>
  <c r="M11" i="2" l="1"/>
  <c r="P12" i="2" s="1"/>
  <c r="L9" i="2"/>
  <c r="O10" i="2" s="1"/>
  <c r="Q10" i="2" s="1"/>
  <c r="Q9" i="2"/>
  <c r="H9" i="2"/>
  <c r="S9" i="2" s="1"/>
  <c r="J9" i="2"/>
  <c r="M12" i="2" l="1"/>
  <c r="P13" i="2" s="1"/>
  <c r="I10" i="2"/>
  <c r="L10" i="2"/>
  <c r="O11" i="2" s="1"/>
  <c r="J10" i="2"/>
  <c r="H10" i="2"/>
  <c r="N9" i="2"/>
  <c r="R9" i="2" s="1"/>
  <c r="M13" i="2" l="1"/>
  <c r="P14" i="2" s="1"/>
  <c r="M14" i="2" s="1"/>
  <c r="P15" i="2" s="1"/>
  <c r="S10" i="2"/>
  <c r="L11" i="2"/>
  <c r="O12" i="2" s="1"/>
  <c r="H11" i="2" l="1"/>
  <c r="Q11" i="2"/>
  <c r="I11" i="2"/>
  <c r="I12" i="2" s="1"/>
  <c r="L12" i="2"/>
  <c r="O13" i="2" s="1"/>
  <c r="Q12" i="2"/>
  <c r="J11" i="2"/>
  <c r="M15" i="2"/>
  <c r="P16" i="2" s="1"/>
  <c r="N10" i="2"/>
  <c r="R10" i="2" s="1"/>
  <c r="S11" i="2" l="1"/>
  <c r="I13" i="2"/>
  <c r="M16" i="2"/>
  <c r="P17" i="2" s="1"/>
  <c r="N11" i="2"/>
  <c r="R11" i="2" s="1"/>
  <c r="L13" i="2" l="1"/>
  <c r="O14" i="2" s="1"/>
  <c r="M17" i="2"/>
  <c r="P18" i="2" s="1"/>
  <c r="I14" i="2" l="1"/>
  <c r="M18" i="2"/>
  <c r="P19" i="2" s="1"/>
  <c r="L14" i="2" l="1"/>
  <c r="O15" i="2" s="1"/>
  <c r="I15" i="2" s="1"/>
  <c r="M19" i="2"/>
  <c r="P20" i="2" s="1"/>
  <c r="L15" i="2" l="1"/>
  <c r="O16" i="2" s="1"/>
  <c r="I16" i="2" s="1"/>
  <c r="M20" i="2"/>
  <c r="P21" i="2" s="1"/>
  <c r="L16" i="2" l="1"/>
  <c r="O17" i="2" s="1"/>
  <c r="M21" i="2"/>
  <c r="P22" i="2" s="1"/>
  <c r="M22" i="2" l="1"/>
  <c r="P23" i="2" s="1"/>
  <c r="M23" i="2" l="1"/>
  <c r="P24" i="2" s="1"/>
  <c r="M24" i="2" l="1"/>
  <c r="P25" i="2" s="1"/>
  <c r="M25" i="2" l="1"/>
  <c r="P26" i="2" s="1"/>
  <c r="M26" i="2" l="1"/>
  <c r="P27" i="2" s="1"/>
  <c r="M27" i="2" l="1"/>
  <c r="P28" i="2" s="1"/>
  <c r="M28" i="2" l="1"/>
  <c r="P29" i="2" s="1"/>
  <c r="M29" i="2" l="1"/>
  <c r="P30" i="2" s="1"/>
  <c r="M30" i="2" l="1"/>
  <c r="P31" i="2" s="1"/>
  <c r="M31" i="2" l="1"/>
  <c r="P32" i="2" s="1"/>
  <c r="M32" i="2" l="1"/>
  <c r="P33" i="2" s="1"/>
  <c r="M33" i="2" l="1"/>
  <c r="P34" i="2" s="1"/>
  <c r="M34" i="2" l="1"/>
  <c r="P35" i="2" s="1"/>
  <c r="M35" i="2" l="1"/>
  <c r="P36" i="2" s="1"/>
  <c r="M36" i="2" l="1"/>
  <c r="P37" i="2" s="1"/>
  <c r="M37" i="2" l="1"/>
  <c r="P38" i="2" s="1"/>
  <c r="M38" i="2" l="1"/>
  <c r="P39" i="2" s="1"/>
  <c r="M39" i="2" l="1"/>
  <c r="P40" i="2" s="1"/>
  <c r="M40" i="2" l="1"/>
  <c r="P41" i="2" s="1"/>
  <c r="M41" i="2" l="1"/>
  <c r="P42" i="2" s="1"/>
  <c r="M42" i="2" l="1"/>
  <c r="P43" i="2" s="1"/>
  <c r="M43" i="2" l="1"/>
  <c r="P44" i="2" s="1"/>
  <c r="M44" i="2" l="1"/>
  <c r="P45" i="2" s="1"/>
  <c r="M45" i="2" l="1"/>
  <c r="P46" i="2" s="1"/>
  <c r="M46" i="2" l="1"/>
  <c r="P47" i="2" s="1"/>
  <c r="M47" i="2" l="1"/>
  <c r="P48" i="2" s="1"/>
  <c r="M48" i="2" l="1"/>
  <c r="P49" i="2" s="1"/>
  <c r="M49" i="2" l="1"/>
  <c r="P50" i="2" s="1"/>
  <c r="M50" i="2" l="1"/>
  <c r="P51" i="2" s="1"/>
  <c r="M51" i="2" l="1"/>
  <c r="P52" i="2" s="1"/>
  <c r="M52" i="2" l="1"/>
  <c r="P53" i="2" s="1"/>
  <c r="M53" i="2" l="1"/>
  <c r="P54" i="2" s="1"/>
  <c r="M54" i="2" l="1"/>
  <c r="P55" i="2" s="1"/>
  <c r="M55" i="2" l="1"/>
  <c r="P56" i="2" s="1"/>
  <c r="M56" i="2" l="1"/>
  <c r="P57" i="2" s="1"/>
  <c r="M57" i="2" l="1"/>
  <c r="P58" i="2" s="1"/>
  <c r="M58" i="2" l="1"/>
  <c r="P59" i="2" s="1"/>
  <c r="M59" i="2" l="1"/>
  <c r="P60" i="2" s="1"/>
  <c r="M60" i="2" l="1"/>
  <c r="P61" i="2" s="1"/>
  <c r="M61" i="2" l="1"/>
  <c r="P62" i="2" s="1"/>
  <c r="M62" i="2" l="1"/>
  <c r="P63" i="2" s="1"/>
  <c r="M63" i="2" l="1"/>
  <c r="P64" i="2" s="1"/>
  <c r="M64" i="2" l="1"/>
  <c r="P65" i="2" s="1"/>
  <c r="M65" i="2" l="1"/>
  <c r="P66" i="2" s="1"/>
  <c r="M66" i="2" l="1"/>
  <c r="P67" i="2" s="1"/>
  <c r="M67" i="2" l="1"/>
  <c r="P68" i="2" s="1"/>
  <c r="M68" i="2" l="1"/>
  <c r="P69" i="2" s="1"/>
  <c r="M69" i="2" l="1"/>
  <c r="P70" i="2" s="1"/>
  <c r="M70" i="2" l="1"/>
  <c r="P71" i="2" s="1"/>
  <c r="M71" i="2" l="1"/>
  <c r="P72" i="2" s="1"/>
  <c r="M72" i="2" l="1"/>
  <c r="P73" i="2" s="1"/>
  <c r="M73" i="2" l="1"/>
  <c r="P74" i="2" s="1"/>
  <c r="M74" i="2" l="1"/>
  <c r="P75" i="2" s="1"/>
  <c r="M75" i="2" l="1"/>
  <c r="P76" i="2" s="1"/>
  <c r="M76" i="2" l="1"/>
  <c r="P77" i="2" s="1"/>
  <c r="M77" i="2" l="1"/>
  <c r="P78" i="2" s="1"/>
  <c r="M78" i="2" l="1"/>
  <c r="P79" i="2" s="1"/>
  <c r="M79" i="2" l="1"/>
  <c r="P80" i="2" s="1"/>
  <c r="M80" i="2" l="1"/>
  <c r="P81" i="2" s="1"/>
  <c r="M81" i="2" l="1"/>
  <c r="P82" i="2" s="1"/>
  <c r="M82" i="2" l="1"/>
  <c r="P83" i="2" s="1"/>
  <c r="M83" i="2" l="1"/>
  <c r="P84" i="2" s="1"/>
  <c r="M84" i="2" l="1"/>
  <c r="P85" i="2" s="1"/>
  <c r="M85" i="2" l="1"/>
  <c r="P86" i="2" s="1"/>
  <c r="M86" i="2" l="1"/>
  <c r="P87" i="2" s="1"/>
  <c r="M87" i="2" l="1"/>
  <c r="P88" i="2" s="1"/>
  <c r="M88" i="2" l="1"/>
  <c r="P89" i="2" s="1"/>
  <c r="M89" i="2" l="1"/>
  <c r="P90" i="2" s="1"/>
  <c r="M90" i="2" l="1"/>
  <c r="P91" i="2" s="1"/>
  <c r="M91" i="2" l="1"/>
  <c r="P92" i="2" s="1"/>
  <c r="M92" i="2" l="1"/>
  <c r="P93" i="2" s="1"/>
  <c r="M93" i="2" l="1"/>
  <c r="P94" i="2" s="1"/>
  <c r="M94" i="2" l="1"/>
  <c r="P95" i="2" s="1"/>
  <c r="M95" i="2" l="1"/>
  <c r="P96" i="2" s="1"/>
  <c r="M96" i="2" l="1"/>
  <c r="P97" i="2" s="1"/>
  <c r="M97" i="2" l="1"/>
  <c r="P98" i="2" s="1"/>
  <c r="J12" i="2"/>
  <c r="Q13" i="2"/>
  <c r="H12" i="2"/>
  <c r="S12" i="2" s="1"/>
  <c r="M98" i="2" l="1"/>
  <c r="P99" i="2" s="1"/>
  <c r="J13" i="2"/>
  <c r="N12" i="2"/>
  <c r="R12" i="2" s="1"/>
  <c r="Q14" i="2"/>
  <c r="H13" i="2"/>
  <c r="S13" i="2" s="1"/>
  <c r="M99" i="2" l="1"/>
  <c r="P100" i="2" s="1"/>
  <c r="J14" i="2"/>
  <c r="N13" i="2"/>
  <c r="R13" i="2" s="1"/>
  <c r="Q15" i="2"/>
  <c r="H14" i="2"/>
  <c r="S14" i="2" s="1"/>
  <c r="M100" i="2" l="1"/>
  <c r="P101" i="2" s="1"/>
  <c r="Q16" i="2"/>
  <c r="N14" i="2"/>
  <c r="H15" i="2"/>
  <c r="S15" i="2" s="1"/>
  <c r="R14" i="2"/>
  <c r="J15" i="2"/>
  <c r="J16" i="2" s="1"/>
  <c r="M101" i="2" l="1"/>
  <c r="P102" i="2" s="1"/>
  <c r="N15" i="2"/>
  <c r="H16" i="2"/>
  <c r="S16" i="2" s="1"/>
  <c r="R15" i="2"/>
  <c r="L17" i="2" l="1"/>
  <c r="O18" i="2" s="1"/>
  <c r="I17" i="2"/>
  <c r="Q17" i="2"/>
  <c r="M102" i="2"/>
  <c r="P103" i="2" s="1"/>
  <c r="N16" i="2"/>
  <c r="R16" i="2"/>
  <c r="I18" i="2" l="1"/>
  <c r="M103" i="2"/>
  <c r="P104" i="2" s="1"/>
  <c r="J17" i="2"/>
  <c r="H17" i="2"/>
  <c r="S17" i="2" s="1"/>
  <c r="L18" i="2" l="1"/>
  <c r="O19" i="2" s="1"/>
  <c r="Q18" i="2"/>
  <c r="M104" i="2"/>
  <c r="P105" i="2" s="1"/>
  <c r="N17" i="2"/>
  <c r="J18" i="2"/>
  <c r="H18" i="2"/>
  <c r="S18" i="2" s="1"/>
  <c r="R17" i="2"/>
  <c r="I19" i="2" l="1"/>
  <c r="M105" i="2"/>
  <c r="P106" i="2" s="1"/>
  <c r="Q19" i="2" l="1"/>
  <c r="L19" i="2"/>
  <c r="O20" i="2" s="1"/>
  <c r="M106" i="2"/>
  <c r="P107" i="2" s="1"/>
  <c r="N18" i="2"/>
  <c r="R18" i="2" s="1"/>
  <c r="I20" i="2" l="1"/>
  <c r="M107" i="2"/>
  <c r="P108" i="2" s="1"/>
  <c r="J19" i="2"/>
  <c r="H19" i="2"/>
  <c r="S19" i="2" s="1"/>
  <c r="Q20" i="2" l="1"/>
  <c r="L20" i="2"/>
  <c r="O21" i="2" s="1"/>
  <c r="M108" i="2"/>
  <c r="P109" i="2" s="1"/>
  <c r="N19" i="2"/>
  <c r="R19" i="2" s="1"/>
  <c r="H20" i="2"/>
  <c r="S20" i="2" s="1"/>
  <c r="M109" i="2" l="1"/>
  <c r="P110" i="2" s="1"/>
  <c r="J20" i="2"/>
  <c r="N20" i="2"/>
  <c r="R20" i="2" s="1"/>
  <c r="I21" i="2" l="1"/>
  <c r="Q21" i="2"/>
  <c r="L21" i="2"/>
  <c r="O22" i="2" s="1"/>
  <c r="M110" i="2"/>
  <c r="P111" i="2" s="1"/>
  <c r="J21" i="2"/>
  <c r="H21" i="2"/>
  <c r="S21" i="2" s="1"/>
  <c r="Q22" i="2" l="1"/>
  <c r="M111" i="2"/>
  <c r="P112" i="2" s="1"/>
  <c r="N21" i="2"/>
  <c r="R21" i="2" s="1"/>
  <c r="I22" i="2" l="1"/>
  <c r="L22" i="2"/>
  <c r="M112" i="2"/>
  <c r="P113" i="2" s="1"/>
  <c r="J22" i="2"/>
  <c r="H22" i="2"/>
  <c r="S22" i="2" s="1"/>
  <c r="N22" i="2" l="1"/>
  <c r="R22" i="2" s="1"/>
  <c r="O23" i="2"/>
  <c r="Q23" i="2" s="1"/>
  <c r="M113" i="2"/>
  <c r="P114" i="2" s="1"/>
  <c r="H23" i="2" l="1"/>
  <c r="I23" i="2"/>
  <c r="S23" i="2" s="1"/>
  <c r="L23" i="2"/>
  <c r="O24" i="2" s="1"/>
  <c r="J23" i="2"/>
  <c r="M114" i="2"/>
  <c r="P115" i="2" s="1"/>
  <c r="N23" i="2" l="1"/>
  <c r="R23" i="2" s="1"/>
  <c r="M115" i="2"/>
  <c r="P116" i="2" s="1"/>
  <c r="Q24" i="2" l="1"/>
  <c r="I24" i="2"/>
  <c r="H24" i="2"/>
  <c r="J24" i="2"/>
  <c r="L24" i="2"/>
  <c r="O25" i="2" s="1"/>
  <c r="M116" i="2"/>
  <c r="P117" i="2" s="1"/>
  <c r="S24" i="2" l="1"/>
  <c r="L25" i="2"/>
  <c r="O26" i="2" s="1"/>
  <c r="N24" i="2"/>
  <c r="R24" i="2" s="1"/>
  <c r="M117" i="2"/>
  <c r="P118" i="2" s="1"/>
  <c r="I25" i="2" l="1"/>
  <c r="I26" i="2" s="1"/>
  <c r="Q26" i="2"/>
  <c r="N25" i="2"/>
  <c r="Q25" i="2"/>
  <c r="J25" i="2"/>
  <c r="H25" i="2"/>
  <c r="S25" i="2" s="1"/>
  <c r="M118" i="2"/>
  <c r="P119" i="2" s="1"/>
  <c r="J26" i="2" l="1"/>
  <c r="H26" i="2"/>
  <c r="S26" i="2" s="1"/>
  <c r="R25" i="2"/>
  <c r="L26" i="2"/>
  <c r="O27" i="2" s="1"/>
  <c r="M119" i="2"/>
  <c r="P120" i="2" s="1"/>
  <c r="L27" i="2" l="1"/>
  <c r="O28" i="2" s="1"/>
  <c r="N26" i="2"/>
  <c r="R26" i="2" s="1"/>
  <c r="M120" i="2"/>
  <c r="P121" i="2" s="1"/>
  <c r="Q28" i="2" l="1"/>
  <c r="N27" i="2"/>
  <c r="Q27" i="2"/>
  <c r="I27" i="2"/>
  <c r="J27" i="2"/>
  <c r="H27" i="2"/>
  <c r="M121" i="2"/>
  <c r="P122" i="2" s="1"/>
  <c r="S27" i="2" l="1"/>
  <c r="J28" i="2"/>
  <c r="I28" i="2"/>
  <c r="H28" i="2"/>
  <c r="R27" i="2"/>
  <c r="L28" i="2"/>
  <c r="O29" i="2" s="1"/>
  <c r="M122" i="2"/>
  <c r="P123" i="2" s="1"/>
  <c r="S28" i="2" l="1"/>
  <c r="N28" i="2"/>
  <c r="R28" i="2" s="1"/>
  <c r="J29" i="2"/>
  <c r="M123" i="2"/>
  <c r="P124" i="2" s="1"/>
  <c r="H29" i="2" l="1"/>
  <c r="Q29" i="2"/>
  <c r="I29" i="2"/>
  <c r="L29" i="2"/>
  <c r="M124" i="2"/>
  <c r="P125" i="2" s="1"/>
  <c r="S29" i="2" l="1"/>
  <c r="N29" i="2"/>
  <c r="O30" i="2"/>
  <c r="Q30" i="2" s="1"/>
  <c r="R29" i="2"/>
  <c r="M125" i="2"/>
  <c r="P126" i="2" s="1"/>
  <c r="H30" i="2" l="1"/>
  <c r="J30" i="2"/>
  <c r="I30" i="2"/>
  <c r="L30" i="2"/>
  <c r="M126" i="2"/>
  <c r="P127" i="2" s="1"/>
  <c r="S30" i="2" l="1"/>
  <c r="N30" i="2"/>
  <c r="R30" i="2" s="1"/>
  <c r="O31" i="2"/>
  <c r="Q31" i="2" s="1"/>
  <c r="M127" i="2"/>
  <c r="P128" i="2" s="1"/>
  <c r="H31" i="2" l="1"/>
  <c r="I31" i="2"/>
  <c r="J31" i="2"/>
  <c r="L31" i="2"/>
  <c r="M128" i="2"/>
  <c r="P129" i="2" s="1"/>
  <c r="S31" i="2" l="1"/>
  <c r="N31" i="2"/>
  <c r="R31" i="2" s="1"/>
  <c r="O32" i="2"/>
  <c r="J32" i="2" s="1"/>
  <c r="M129" i="2"/>
  <c r="P130" i="2" s="1"/>
  <c r="Q32" i="2" l="1"/>
  <c r="I32" i="2"/>
  <c r="H32" i="2"/>
  <c r="L32" i="2"/>
  <c r="M130" i="2"/>
  <c r="P131" i="2" s="1"/>
  <c r="S32" i="2" l="1"/>
  <c r="N32" i="2"/>
  <c r="R32" i="2" s="1"/>
  <c r="O33" i="2"/>
  <c r="Q33" i="2" s="1"/>
  <c r="M131" i="2"/>
  <c r="P132" i="2" s="1"/>
  <c r="H33" i="2" l="1"/>
  <c r="J33" i="2"/>
  <c r="I33" i="2"/>
  <c r="L33" i="2"/>
  <c r="O34" i="2" s="1"/>
  <c r="M132" i="2"/>
  <c r="P133" i="2" s="1"/>
  <c r="S33" i="2" l="1"/>
  <c r="I34" i="2"/>
  <c r="N33" i="2"/>
  <c r="R33" i="2" s="1"/>
  <c r="M133" i="2"/>
  <c r="P134" i="2" s="1"/>
  <c r="Q34" i="2" l="1"/>
  <c r="J34" i="2"/>
  <c r="H34" i="2"/>
  <c r="S34" i="2" s="1"/>
  <c r="L34" i="2"/>
  <c r="O35" i="2" s="1"/>
  <c r="M134" i="2"/>
  <c r="P135" i="2" s="1"/>
  <c r="L35" i="2" l="1"/>
  <c r="O36" i="2" s="1"/>
  <c r="N34" i="2"/>
  <c r="R34" i="2" s="1"/>
  <c r="M135" i="2"/>
  <c r="P136" i="2" s="1"/>
  <c r="Q36" i="2" l="1"/>
  <c r="N35" i="2"/>
  <c r="Q35" i="2"/>
  <c r="I35" i="2"/>
  <c r="I36" i="2" s="1"/>
  <c r="H35" i="2"/>
  <c r="S35" i="2" s="1"/>
  <c r="J35" i="2"/>
  <c r="M136" i="2"/>
  <c r="P137" i="2" s="1"/>
  <c r="H36" i="2" l="1"/>
  <c r="S36" i="2" s="1"/>
  <c r="R35" i="2"/>
  <c r="J36" i="2"/>
  <c r="L36" i="2"/>
  <c r="O37" i="2" s="1"/>
  <c r="M137" i="2"/>
  <c r="P138" i="2" s="1"/>
  <c r="N36" i="2" l="1"/>
  <c r="R36" i="2" s="1"/>
  <c r="H37" i="2"/>
  <c r="M138" i="2"/>
  <c r="P139" i="2" s="1"/>
  <c r="Q37" i="2" l="1"/>
  <c r="I37" i="2"/>
  <c r="S37" i="2" s="1"/>
  <c r="L37" i="2"/>
  <c r="O38" i="2" s="1"/>
  <c r="J37" i="2"/>
  <c r="M139" i="2"/>
  <c r="P140" i="2" s="1"/>
  <c r="N37" i="2" l="1"/>
  <c r="R37" i="2" s="1"/>
  <c r="M140" i="2"/>
  <c r="P141" i="2" s="1"/>
  <c r="Q38" i="2" l="1"/>
  <c r="H38" i="2"/>
  <c r="L38" i="2"/>
  <c r="O39" i="2" s="1"/>
  <c r="I38" i="2"/>
  <c r="J38" i="2"/>
  <c r="M141" i="2"/>
  <c r="P142" i="2" s="1"/>
  <c r="S38" i="2" l="1"/>
  <c r="Q39" i="2"/>
  <c r="N38" i="2"/>
  <c r="H39" i="2"/>
  <c r="R38" i="2"/>
  <c r="M142" i="2"/>
  <c r="P143" i="2" s="1"/>
  <c r="I39" i="2" l="1"/>
  <c r="S39" i="2" s="1"/>
  <c r="L39" i="2"/>
  <c r="O40" i="2" s="1"/>
  <c r="Q40" i="2" s="1"/>
  <c r="J39" i="2"/>
  <c r="M143" i="2"/>
  <c r="P144" i="2" s="1"/>
  <c r="N39" i="2" l="1"/>
  <c r="R39" i="2" s="1"/>
  <c r="H40" i="2"/>
  <c r="I40" i="2"/>
  <c r="J40" i="2"/>
  <c r="L40" i="2"/>
  <c r="O41" i="2" s="1"/>
  <c r="M144" i="2"/>
  <c r="P145" i="2" s="1"/>
  <c r="S40" i="2" l="1"/>
  <c r="Q41" i="2"/>
  <c r="N40" i="2"/>
  <c r="R40" i="2" s="1"/>
  <c r="I41" i="2"/>
  <c r="M145" i="2"/>
  <c r="P146" i="2" s="1"/>
  <c r="J41" i="2" l="1"/>
  <c r="L41" i="2"/>
  <c r="O42" i="2" s="1"/>
  <c r="H41" i="2"/>
  <c r="S41" i="2" s="1"/>
  <c r="M146" i="2"/>
  <c r="P147" i="2" s="1"/>
  <c r="L42" i="2" l="1"/>
  <c r="O43" i="2" s="1"/>
  <c r="N41" i="2"/>
  <c r="R41" i="2" s="1"/>
  <c r="M147" i="2"/>
  <c r="P148" i="2" s="1"/>
  <c r="Q43" i="2" l="1"/>
  <c r="N42" i="2"/>
  <c r="J42" i="2"/>
  <c r="Q42" i="2"/>
  <c r="I42" i="2"/>
  <c r="H42" i="2"/>
  <c r="M148" i="2"/>
  <c r="P149" i="2" s="1"/>
  <c r="S42" i="2" l="1"/>
  <c r="I43" i="2"/>
  <c r="J43" i="2"/>
  <c r="H43" i="2"/>
  <c r="R42" i="2"/>
  <c r="L43" i="2"/>
  <c r="O44" i="2" s="1"/>
  <c r="M149" i="2"/>
  <c r="P150" i="2" s="1"/>
  <c r="S43" i="2" l="1"/>
  <c r="J44" i="2"/>
  <c r="N43" i="2"/>
  <c r="R43" i="2" s="1"/>
  <c r="M150" i="2"/>
  <c r="P151" i="2" s="1"/>
  <c r="H44" i="2" l="1"/>
  <c r="Q44" i="2"/>
  <c r="I44" i="2"/>
  <c r="L44" i="2"/>
  <c r="O45" i="2" s="1"/>
  <c r="M151" i="2"/>
  <c r="P152" i="2" s="1"/>
  <c r="S44" i="2" l="1"/>
  <c r="L45" i="2"/>
  <c r="O46" i="2" s="1"/>
  <c r="N44" i="2"/>
  <c r="R44" i="2" s="1"/>
  <c r="M152" i="2"/>
  <c r="P153" i="2" s="1"/>
  <c r="Q46" i="2" l="1"/>
  <c r="N45" i="2"/>
  <c r="Q45" i="2"/>
  <c r="J45" i="2"/>
  <c r="J46" i="2" s="1"/>
  <c r="H45" i="2"/>
  <c r="I45" i="2"/>
  <c r="I46" i="2" s="1"/>
  <c r="M153" i="2"/>
  <c r="P154" i="2" s="1"/>
  <c r="S45" i="2" l="1"/>
  <c r="H46" i="2"/>
  <c r="S46" i="2" s="1"/>
  <c r="R45" i="2"/>
  <c r="L46" i="2"/>
  <c r="O47" i="2" s="1"/>
  <c r="M154" i="2"/>
  <c r="P155" i="2" s="1"/>
  <c r="H47" i="2" l="1"/>
  <c r="N46" i="2"/>
  <c r="R46" i="2" s="1"/>
  <c r="M155" i="2"/>
  <c r="P156" i="2" s="1"/>
  <c r="Q47" i="2" l="1"/>
  <c r="I47" i="2"/>
  <c r="S47" i="2" s="1"/>
  <c r="J47" i="2"/>
  <c r="L47" i="2"/>
  <c r="O48" i="2" s="1"/>
  <c r="M156" i="2"/>
  <c r="P157" i="2" s="1"/>
  <c r="J48" i="2" l="1"/>
  <c r="N47" i="2"/>
  <c r="R47" i="2" s="1"/>
  <c r="I48" i="2"/>
  <c r="M157" i="2"/>
  <c r="P158" i="2" s="1"/>
  <c r="Q48" i="2" l="1"/>
  <c r="H48" i="2"/>
  <c r="S48" i="2" s="1"/>
  <c r="L48" i="2"/>
  <c r="O49" i="2" s="1"/>
  <c r="M158" i="2"/>
  <c r="P159" i="2" s="1"/>
  <c r="N48" i="2" l="1"/>
  <c r="R48" i="2" s="1"/>
  <c r="M159" i="2"/>
  <c r="P160" i="2" s="1"/>
  <c r="Q49" i="2" l="1"/>
  <c r="J49" i="2"/>
  <c r="I49" i="2"/>
  <c r="H49" i="2"/>
  <c r="L49" i="2"/>
  <c r="O50" i="2" s="1"/>
  <c r="M160" i="2"/>
  <c r="P161" i="2" s="1"/>
  <c r="S49" i="2" l="1"/>
  <c r="Q50" i="2"/>
  <c r="N49" i="2"/>
  <c r="R49" i="2" s="1"/>
  <c r="I50" i="2"/>
  <c r="M161" i="2"/>
  <c r="P162" i="2" s="1"/>
  <c r="J50" i="2" l="1"/>
  <c r="H50" i="2"/>
  <c r="S50" i="2" s="1"/>
  <c r="L50" i="2"/>
  <c r="O51" i="2" s="1"/>
  <c r="M162" i="2"/>
  <c r="P163" i="2" s="1"/>
  <c r="N50" i="2" l="1"/>
  <c r="R50" i="2" s="1"/>
  <c r="H51" i="2"/>
  <c r="J51" i="2"/>
  <c r="M163" i="2"/>
  <c r="P164" i="2" s="1"/>
  <c r="Q51" i="2" l="1"/>
  <c r="I51" i="2"/>
  <c r="S51" i="2" s="1"/>
  <c r="L51" i="2"/>
  <c r="O52" i="2" s="1"/>
  <c r="M164" i="2"/>
  <c r="P165" i="2" s="1"/>
  <c r="N51" i="2" l="1"/>
  <c r="R51" i="2" s="1"/>
  <c r="M165" i="2"/>
  <c r="P166" i="2" s="1"/>
  <c r="Q52" i="2" l="1"/>
  <c r="J52" i="2"/>
  <c r="H52" i="2"/>
  <c r="L52" i="2"/>
  <c r="O53" i="2" s="1"/>
  <c r="I52" i="2"/>
  <c r="M166" i="2"/>
  <c r="P167" i="2" s="1"/>
  <c r="S52" i="2" l="1"/>
  <c r="Q53" i="2"/>
  <c r="N52" i="2"/>
  <c r="R52" i="2" s="1"/>
  <c r="M167" i="2"/>
  <c r="P168" i="2" s="1"/>
  <c r="J53" i="2" l="1"/>
  <c r="L53" i="2"/>
  <c r="O54" i="2" s="1"/>
  <c r="H53" i="2"/>
  <c r="I53" i="2"/>
  <c r="M168" i="2"/>
  <c r="P169" i="2" s="1"/>
  <c r="S53" i="2" l="1"/>
  <c r="Q54" i="2"/>
  <c r="N53" i="2"/>
  <c r="R53" i="2" s="1"/>
  <c r="M169" i="2"/>
  <c r="P170" i="2" s="1"/>
  <c r="L54" i="2" l="1"/>
  <c r="O55" i="2" s="1"/>
  <c r="J54" i="2"/>
  <c r="H54" i="2"/>
  <c r="I54" i="2"/>
  <c r="M170" i="2"/>
  <c r="P171" i="2" s="1"/>
  <c r="S54" i="2" l="1"/>
  <c r="Q55" i="2"/>
  <c r="N54" i="2"/>
  <c r="R54" i="2" s="1"/>
  <c r="M171" i="2"/>
  <c r="P172" i="2" s="1"/>
  <c r="J55" i="2" l="1"/>
  <c r="H55" i="2"/>
  <c r="L55" i="2"/>
  <c r="O56" i="2" s="1"/>
  <c r="I55" i="2"/>
  <c r="M172" i="2"/>
  <c r="P173" i="2" s="1"/>
  <c r="S55" i="2" l="1"/>
  <c r="Q56" i="2"/>
  <c r="N55" i="2"/>
  <c r="R55" i="2" s="1"/>
  <c r="M173" i="2"/>
  <c r="P174" i="2" s="1"/>
  <c r="J56" i="2" l="1"/>
  <c r="H56" i="2"/>
  <c r="L56" i="2"/>
  <c r="O57" i="2" s="1"/>
  <c r="I56" i="2"/>
  <c r="M174" i="2"/>
  <c r="P175" i="2" s="1"/>
  <c r="S56" i="2" l="1"/>
  <c r="Q57" i="2"/>
  <c r="N56" i="2"/>
  <c r="R56" i="2" s="1"/>
  <c r="M175" i="2"/>
  <c r="P176" i="2" s="1"/>
  <c r="J57" i="2" l="1"/>
  <c r="L57" i="2"/>
  <c r="O58" i="2" s="1"/>
  <c r="H57" i="2"/>
  <c r="I57" i="2"/>
  <c r="M176" i="2"/>
  <c r="P177" i="2" s="1"/>
  <c r="S57" i="2" l="1"/>
  <c r="Q58" i="2"/>
  <c r="N57" i="2"/>
  <c r="R57" i="2" s="1"/>
  <c r="M177" i="2"/>
  <c r="P178" i="2" s="1"/>
  <c r="H58" i="2" l="1"/>
  <c r="J58" i="2"/>
  <c r="L58" i="2"/>
  <c r="O59" i="2" s="1"/>
  <c r="I58" i="2"/>
  <c r="M178" i="2"/>
  <c r="P179" i="2" s="1"/>
  <c r="S58" i="2" l="1"/>
  <c r="I59" i="2"/>
  <c r="N58" i="2"/>
  <c r="R58" i="2" s="1"/>
  <c r="M179" i="2"/>
  <c r="P180" i="2" s="1"/>
  <c r="J59" i="2" l="1"/>
  <c r="Q59" i="2"/>
  <c r="H59" i="2"/>
  <c r="S59" i="2" s="1"/>
  <c r="L59" i="2"/>
  <c r="O60" i="2" s="1"/>
  <c r="M180" i="2"/>
  <c r="P181" i="2" s="1"/>
  <c r="H60" i="2" l="1"/>
  <c r="N59" i="2"/>
  <c r="R59" i="2" s="1"/>
  <c r="M181" i="2"/>
  <c r="P182" i="2" s="1"/>
  <c r="Q60" i="2" l="1"/>
  <c r="J60" i="2"/>
  <c r="I60" i="2"/>
  <c r="S60" i="2" s="1"/>
  <c r="L60" i="2"/>
  <c r="O61" i="2" s="1"/>
  <c r="M182" i="2"/>
  <c r="P183" i="2" s="1"/>
  <c r="J61" i="2" l="1"/>
  <c r="N60" i="2"/>
  <c r="R60" i="2" s="1"/>
  <c r="I61" i="2"/>
  <c r="M183" i="2"/>
  <c r="P184" i="2" s="1"/>
  <c r="Q61" i="2" l="1"/>
  <c r="H61" i="2"/>
  <c r="S61" i="2" s="1"/>
  <c r="L61" i="2"/>
  <c r="O62" i="2" s="1"/>
  <c r="M184" i="2"/>
  <c r="P185" i="2" s="1"/>
  <c r="N61" i="2" l="1"/>
  <c r="R61" i="2" s="1"/>
  <c r="M185" i="2"/>
  <c r="P186" i="2" s="1"/>
  <c r="Q62" i="2" l="1"/>
  <c r="J62" i="2"/>
  <c r="I62" i="2"/>
  <c r="L62" i="2"/>
  <c r="O63" i="2" s="1"/>
  <c r="H62" i="2"/>
  <c r="S62" i="2" s="1"/>
  <c r="M186" i="2"/>
  <c r="P187" i="2" s="1"/>
  <c r="Q63" i="2" l="1"/>
  <c r="N62" i="2"/>
  <c r="R62" i="2" s="1"/>
  <c r="M187" i="2"/>
  <c r="P188" i="2" s="1"/>
  <c r="I63" i="2" l="1"/>
  <c r="J63" i="2"/>
  <c r="L63" i="2"/>
  <c r="O64" i="2" s="1"/>
  <c r="H63" i="2"/>
  <c r="S63" i="2" s="1"/>
  <c r="M188" i="2"/>
  <c r="P189" i="2" s="1"/>
  <c r="Q64" i="2" l="1"/>
  <c r="N63" i="2"/>
  <c r="R63" i="2" s="1"/>
  <c r="I64" i="2"/>
  <c r="M189" i="2"/>
  <c r="P190" i="2" s="1"/>
  <c r="J64" i="2" l="1"/>
  <c r="L64" i="2"/>
  <c r="O65" i="2" s="1"/>
  <c r="H64" i="2"/>
  <c r="S64" i="2" s="1"/>
  <c r="M190" i="2"/>
  <c r="P191" i="2" s="1"/>
  <c r="L65" i="2" l="1"/>
  <c r="O66" i="2" s="1"/>
  <c r="N64" i="2"/>
  <c r="R64" i="2" s="1"/>
  <c r="M191" i="2"/>
  <c r="P192" i="2" s="1"/>
  <c r="Q66" i="2" l="1"/>
  <c r="N65" i="2"/>
  <c r="J65" i="2"/>
  <c r="Q65" i="2"/>
  <c r="I65" i="2"/>
  <c r="I66" i="2" s="1"/>
  <c r="H65" i="2"/>
  <c r="M192" i="2"/>
  <c r="P193" i="2" s="1"/>
  <c r="S65" i="2" l="1"/>
  <c r="H66" i="2"/>
  <c r="S66" i="2" s="1"/>
  <c r="R65" i="2"/>
  <c r="J66" i="2"/>
  <c r="L66" i="2"/>
  <c r="O67" i="2" s="1"/>
  <c r="M193" i="2"/>
  <c r="P194" i="2" s="1"/>
  <c r="J67" i="2" l="1"/>
  <c r="N66" i="2"/>
  <c r="R66" i="2"/>
  <c r="M194" i="2"/>
  <c r="P195" i="2" s="1"/>
  <c r="H67" i="2" l="1"/>
  <c r="Q67" i="2"/>
  <c r="I67" i="2"/>
  <c r="L67" i="2"/>
  <c r="O68" i="2" s="1"/>
  <c r="M195" i="2"/>
  <c r="P196" i="2" s="1"/>
  <c r="S67" i="2" l="1"/>
  <c r="N67" i="2"/>
  <c r="R67" i="2" s="1"/>
  <c r="I68" i="2"/>
  <c r="M196" i="2"/>
  <c r="P197" i="2" s="1"/>
  <c r="Q68" i="2" l="1"/>
  <c r="J68" i="2"/>
  <c r="H68" i="2"/>
  <c r="S68" i="2" s="1"/>
  <c r="L68" i="2"/>
  <c r="O69" i="2" s="1"/>
  <c r="M197" i="2"/>
  <c r="P198" i="2" s="1"/>
  <c r="H69" i="2" l="1"/>
  <c r="N68" i="2"/>
  <c r="R68" i="2" s="1"/>
  <c r="M198" i="2"/>
  <c r="P199" i="2" s="1"/>
  <c r="J69" i="2" l="1"/>
  <c r="Q69" i="2"/>
  <c r="I69" i="2"/>
  <c r="S69" i="2" s="1"/>
  <c r="L69" i="2"/>
  <c r="O70" i="2" s="1"/>
  <c r="M199" i="2"/>
  <c r="P200" i="2" s="1"/>
  <c r="N69" i="2" l="1"/>
  <c r="R69" i="2" s="1"/>
  <c r="M200" i="2"/>
  <c r="P201" i="2" s="1"/>
  <c r="Q70" i="2" l="1"/>
  <c r="J70" i="2"/>
  <c r="H70" i="2"/>
  <c r="L70" i="2"/>
  <c r="O71" i="2" s="1"/>
  <c r="I70" i="2"/>
  <c r="M201" i="2"/>
  <c r="P202" i="2" s="1"/>
  <c r="S70" i="2" l="1"/>
  <c r="Q71" i="2"/>
  <c r="N70" i="2"/>
  <c r="R70" i="2" s="1"/>
  <c r="M202" i="2"/>
  <c r="P203" i="2" s="1"/>
  <c r="J71" i="2" l="1"/>
  <c r="L71" i="2"/>
  <c r="O72" i="2" s="1"/>
  <c r="H71" i="2"/>
  <c r="I71" i="2"/>
  <c r="M203" i="2"/>
  <c r="P204" i="2" s="1"/>
  <c r="S71" i="2" l="1"/>
  <c r="Q72" i="2"/>
  <c r="N71" i="2"/>
  <c r="R71" i="2" s="1"/>
  <c r="M204" i="2"/>
  <c r="P205" i="2" s="1"/>
  <c r="H72" i="2" l="1"/>
  <c r="J72" i="2"/>
  <c r="L72" i="2"/>
  <c r="O73" i="2" s="1"/>
  <c r="I72" i="2"/>
  <c r="M205" i="2"/>
  <c r="P206" i="2" s="1"/>
  <c r="S72" i="2" l="1"/>
  <c r="Q73" i="2"/>
  <c r="N72" i="2"/>
  <c r="R72" i="2" s="1"/>
  <c r="M206" i="2"/>
  <c r="P207" i="2" s="1"/>
  <c r="H73" i="2" l="1"/>
  <c r="I73" i="2"/>
  <c r="L73" i="2"/>
  <c r="O74" i="2" s="1"/>
  <c r="J73" i="2"/>
  <c r="M207" i="2"/>
  <c r="S73" i="2" l="1"/>
  <c r="N73" i="2"/>
  <c r="R73" i="2" s="1"/>
  <c r="Q74" i="2" l="1"/>
  <c r="I74" i="2"/>
  <c r="H74" i="2"/>
  <c r="S74" i="2" s="1"/>
  <c r="L74" i="2"/>
  <c r="O75" i="2" s="1"/>
  <c r="J74" i="2"/>
  <c r="Q75" i="2" l="1"/>
  <c r="N74" i="2"/>
  <c r="R74" i="2"/>
  <c r="I75" i="2"/>
  <c r="H75" i="2" l="1"/>
  <c r="S75" i="2" s="1"/>
  <c r="J75" i="2"/>
  <c r="L75" i="2"/>
  <c r="O76" i="2" s="1"/>
  <c r="N75" i="2" l="1"/>
  <c r="R75" i="2" s="1"/>
  <c r="Q76" i="2" l="1"/>
  <c r="H76" i="2"/>
  <c r="I76" i="2"/>
  <c r="L76" i="2"/>
  <c r="O77" i="2" s="1"/>
  <c r="J76" i="2"/>
  <c r="S76" i="2" l="1"/>
  <c r="Q77" i="2"/>
  <c r="N76" i="2"/>
  <c r="R76" i="2" s="1"/>
  <c r="H77" i="2" l="1"/>
  <c r="L77" i="2"/>
  <c r="O78" i="2" s="1"/>
  <c r="I77" i="2"/>
  <c r="J77" i="2"/>
  <c r="S77" i="2" l="1"/>
  <c r="Q78" i="2"/>
  <c r="N77" i="2"/>
  <c r="R77" i="2" s="1"/>
  <c r="H78" i="2" l="1"/>
  <c r="I78" i="2"/>
  <c r="L78" i="2"/>
  <c r="O79" i="2" s="1"/>
  <c r="J78" i="2"/>
  <c r="S78" i="2" l="1"/>
  <c r="N78" i="2"/>
  <c r="R78" i="2" s="1"/>
  <c r="J79" i="2"/>
  <c r="Q79" i="2" l="1"/>
  <c r="H79" i="2"/>
  <c r="I79" i="2"/>
  <c r="L79" i="2"/>
  <c r="O80" i="2" s="1"/>
  <c r="S79" i="2" l="1"/>
  <c r="N79" i="2"/>
  <c r="R79" i="2" s="1"/>
  <c r="I80" i="2"/>
  <c r="H80" i="2"/>
  <c r="S80" i="2" l="1"/>
  <c r="Q80" i="2"/>
  <c r="J80" i="2"/>
  <c r="L80" i="2"/>
  <c r="O81" i="2" s="1"/>
  <c r="N80" i="2" l="1"/>
  <c r="R80" i="2" s="1"/>
  <c r="Q81" i="2" l="1"/>
  <c r="H81" i="2"/>
  <c r="I81" i="2"/>
  <c r="L81" i="2"/>
  <c r="O82" i="2" s="1"/>
  <c r="J81" i="2"/>
  <c r="S81" i="2" l="1"/>
  <c r="Q82" i="2"/>
  <c r="N81" i="2"/>
  <c r="H82" i="2"/>
  <c r="R81" i="2"/>
  <c r="L82" i="2" l="1"/>
  <c r="O83" i="2" s="1"/>
  <c r="I82" i="2"/>
  <c r="S82" i="2" s="1"/>
  <c r="J82" i="2"/>
  <c r="N82" i="2" l="1"/>
  <c r="R82" i="2" s="1"/>
  <c r="Q83" i="2" l="1"/>
  <c r="H83" i="2"/>
  <c r="L83" i="2"/>
  <c r="O84" i="2" s="1"/>
  <c r="J83" i="2"/>
  <c r="I83" i="2"/>
  <c r="S83" i="2" l="1"/>
  <c r="Q84" i="2"/>
  <c r="N83" i="2"/>
  <c r="R83" i="2" s="1"/>
  <c r="I84" i="2"/>
  <c r="H84" i="2" l="1"/>
  <c r="S84" i="2" s="1"/>
  <c r="L84" i="2"/>
  <c r="O85" i="2" s="1"/>
  <c r="J84" i="2"/>
  <c r="N84" i="2" l="1"/>
  <c r="R84" i="2" s="1"/>
  <c r="Q85" i="2" l="1"/>
  <c r="I85" i="2"/>
  <c r="H85" i="2"/>
  <c r="L85" i="2"/>
  <c r="O86" i="2" s="1"/>
  <c r="J85" i="2"/>
  <c r="S85" i="2" l="1"/>
  <c r="Q86" i="2"/>
  <c r="N85" i="2"/>
  <c r="R85" i="2" s="1"/>
  <c r="H86" i="2"/>
  <c r="I86" i="2"/>
  <c r="S86" i="2" l="1"/>
  <c r="L86" i="2"/>
  <c r="O87" i="2" s="1"/>
  <c r="J86" i="2"/>
  <c r="J87" i="2" l="1"/>
  <c r="N86" i="2"/>
  <c r="R86" i="2" s="1"/>
  <c r="Q87" i="2" l="1"/>
  <c r="I87" i="2"/>
  <c r="H87" i="2"/>
  <c r="L87" i="2"/>
  <c r="O88" i="2" s="1"/>
  <c r="S87" i="2" l="1"/>
  <c r="H88" i="2"/>
  <c r="N87" i="2"/>
  <c r="R87" i="2" s="1"/>
  <c r="I88" i="2"/>
  <c r="S88" i="2" l="1"/>
  <c r="Q88" i="2"/>
  <c r="J88" i="2"/>
  <c r="L88" i="2"/>
  <c r="O89" i="2" s="1"/>
  <c r="N88" i="2" l="1"/>
  <c r="R88" i="2" s="1"/>
  <c r="Q89" i="2" l="1"/>
  <c r="H89" i="2"/>
  <c r="I89" i="2"/>
  <c r="L89" i="2"/>
  <c r="O90" i="2" s="1"/>
  <c r="J89" i="2"/>
  <c r="S89" i="2" l="1"/>
  <c r="Q90" i="2"/>
  <c r="N89" i="2"/>
  <c r="R89" i="2" s="1"/>
  <c r="H90" i="2" l="1"/>
  <c r="L90" i="2"/>
  <c r="O91" i="2" s="1"/>
  <c r="J90" i="2"/>
  <c r="I90" i="2"/>
  <c r="S90" i="2" l="1"/>
  <c r="Q91" i="2"/>
  <c r="N90" i="2"/>
  <c r="R90" i="2" s="1"/>
  <c r="H91" i="2" l="1"/>
  <c r="I91" i="2"/>
  <c r="L91" i="2"/>
  <c r="O92" i="2" s="1"/>
  <c r="J91" i="2"/>
  <c r="S91" i="2" l="1"/>
  <c r="Q92" i="2"/>
  <c r="N91" i="2"/>
  <c r="R91" i="2" s="1"/>
  <c r="L92" i="2" l="1"/>
  <c r="O93" i="2" s="1"/>
  <c r="H92" i="2"/>
  <c r="I92" i="2"/>
  <c r="J92" i="2"/>
  <c r="S92" i="2" l="1"/>
  <c r="Q93" i="2"/>
  <c r="N92" i="2"/>
  <c r="R92" i="2" s="1"/>
  <c r="L93" i="2" l="1"/>
  <c r="O94" i="2" s="1"/>
  <c r="H93" i="2"/>
  <c r="I93" i="2"/>
  <c r="J93" i="2"/>
  <c r="S93" i="2" l="1"/>
  <c r="Q94" i="2"/>
  <c r="N93" i="2"/>
  <c r="R93" i="2" s="1"/>
  <c r="L94" i="2" l="1"/>
  <c r="O95" i="2" s="1"/>
  <c r="H94" i="2"/>
  <c r="I94" i="2"/>
  <c r="J94" i="2"/>
  <c r="S94" i="2" l="1"/>
  <c r="Q95" i="2"/>
  <c r="N94" i="2"/>
  <c r="R94" i="2" s="1"/>
  <c r="I95" i="2" l="1"/>
  <c r="L95" i="2"/>
  <c r="O96" i="2" s="1"/>
  <c r="H95" i="2"/>
  <c r="J95" i="2"/>
  <c r="S95" i="2" l="1"/>
  <c r="Q96" i="2"/>
  <c r="N95" i="2"/>
  <c r="R95" i="2" s="1"/>
  <c r="I96" i="2" l="1"/>
  <c r="L96" i="2"/>
  <c r="O97" i="2" s="1"/>
  <c r="H96" i="2"/>
  <c r="S96" i="2" s="1"/>
  <c r="J96" i="2"/>
  <c r="Q97" i="2" l="1"/>
  <c r="N96" i="2"/>
  <c r="R96" i="2" s="1"/>
  <c r="I97" i="2"/>
  <c r="L97" i="2" l="1"/>
  <c r="O98" i="2" s="1"/>
  <c r="J97" i="2"/>
  <c r="H97" i="2"/>
  <c r="S97" i="2" s="1"/>
  <c r="H98" i="2" l="1"/>
  <c r="N97" i="2"/>
  <c r="R97" i="2" s="1"/>
  <c r="Q98" i="2" l="1"/>
  <c r="I98" i="2"/>
  <c r="S98" i="2" s="1"/>
  <c r="L98" i="2"/>
  <c r="O99" i="2" s="1"/>
  <c r="J98" i="2"/>
  <c r="N98" i="2" l="1"/>
  <c r="R98" i="2" s="1"/>
  <c r="Q99" i="2" l="1"/>
  <c r="H99" i="2"/>
  <c r="I99" i="2"/>
  <c r="L99" i="2"/>
  <c r="O100" i="2" s="1"/>
  <c r="J99" i="2"/>
  <c r="S99" i="2" l="1"/>
  <c r="Q100" i="2"/>
  <c r="N99" i="2"/>
  <c r="R99" i="2" s="1"/>
  <c r="L100" i="2" l="1"/>
  <c r="O101" i="2" s="1"/>
  <c r="H100" i="2"/>
  <c r="I100" i="2"/>
  <c r="J100" i="2"/>
  <c r="S100" i="2" l="1"/>
  <c r="Q101" i="2"/>
  <c r="N100" i="2"/>
  <c r="R100" i="2" s="1"/>
  <c r="L101" i="2" l="1"/>
  <c r="O102" i="2" s="1"/>
  <c r="H101" i="2"/>
  <c r="I101" i="2"/>
  <c r="J101" i="2"/>
  <c r="S101" i="2" l="1"/>
  <c r="Q102" i="2"/>
  <c r="N101" i="2"/>
  <c r="R101" i="2" s="1"/>
  <c r="I102" i="2" l="1"/>
  <c r="H102" i="2"/>
  <c r="S102" i="2" s="1"/>
  <c r="L102" i="2"/>
  <c r="O103" i="2" s="1"/>
  <c r="J102" i="2"/>
  <c r="Q103" i="2" l="1"/>
  <c r="N102" i="2"/>
  <c r="R102" i="2"/>
  <c r="I103" i="2"/>
  <c r="H103" i="2" l="1"/>
  <c r="S103" i="2" s="1"/>
  <c r="L103" i="2"/>
  <c r="O104" i="2" s="1"/>
  <c r="J103" i="2"/>
  <c r="H104" i="2" l="1"/>
  <c r="N103" i="2"/>
  <c r="R103" i="2" s="1"/>
  <c r="Q104" i="2" l="1"/>
  <c r="I104" i="2"/>
  <c r="S104" i="2" s="1"/>
  <c r="L104" i="2"/>
  <c r="O105" i="2" s="1"/>
  <c r="J104" i="2"/>
  <c r="J105" i="2" l="1"/>
  <c r="N104" i="2"/>
  <c r="R104" i="2" s="1"/>
  <c r="I105" i="2"/>
  <c r="Q105" i="2" l="1"/>
  <c r="H105" i="2"/>
  <c r="S105" i="2" s="1"/>
  <c r="L105" i="2"/>
  <c r="O106" i="2" s="1"/>
  <c r="H106" i="2" l="1"/>
  <c r="N105" i="2"/>
  <c r="R105" i="2" s="1"/>
  <c r="Q106" i="2" l="1"/>
  <c r="J106" i="2"/>
  <c r="I106" i="2"/>
  <c r="S106" i="2" s="1"/>
  <c r="L106" i="2"/>
  <c r="O107" i="2" s="1"/>
  <c r="J107" i="2" l="1"/>
  <c r="N106" i="2"/>
  <c r="R106" i="2" s="1"/>
  <c r="I107" i="2"/>
  <c r="Q107" i="2" l="1"/>
  <c r="H107" i="2"/>
  <c r="S107" i="2" s="1"/>
  <c r="L107" i="2"/>
  <c r="O108" i="2" s="1"/>
  <c r="N107" i="2" l="1"/>
  <c r="R107" i="2" s="1"/>
  <c r="Q108" i="2" l="1"/>
  <c r="J108" i="2"/>
  <c r="I108" i="2"/>
  <c r="H108" i="2"/>
  <c r="L108" i="2"/>
  <c r="O109" i="2" s="1"/>
  <c r="S108" i="2" l="1"/>
  <c r="Q109" i="2"/>
  <c r="N108" i="2"/>
  <c r="R108" i="2" s="1"/>
  <c r="J109" i="2" l="1"/>
  <c r="H109" i="2"/>
  <c r="I109" i="2"/>
  <c r="L109" i="2"/>
  <c r="O110" i="2" s="1"/>
  <c r="S109" i="2" l="1"/>
  <c r="Q110" i="2"/>
  <c r="N109" i="2"/>
  <c r="R109" i="2" s="1"/>
  <c r="J110" i="2" l="1"/>
  <c r="I110" i="2"/>
  <c r="H110" i="2"/>
  <c r="S110" i="2" s="1"/>
  <c r="L110" i="2"/>
  <c r="O111" i="2" s="1"/>
  <c r="Q111" i="2" l="1"/>
  <c r="N110" i="2"/>
  <c r="R110" i="2" s="1"/>
  <c r="I111" i="2"/>
  <c r="J111" i="2" l="1"/>
  <c r="L111" i="2"/>
  <c r="O112" i="2" s="1"/>
  <c r="H111" i="2"/>
  <c r="S111" i="2" s="1"/>
  <c r="N111" i="2" l="1"/>
  <c r="R111" i="2" s="1"/>
  <c r="Q112" i="2" l="1"/>
  <c r="I112" i="2"/>
  <c r="J112" i="2"/>
  <c r="L112" i="2"/>
  <c r="O113" i="2" s="1"/>
  <c r="H112" i="2"/>
  <c r="S112" i="2" s="1"/>
  <c r="Q113" i="2" l="1"/>
  <c r="N112" i="2"/>
  <c r="R112" i="2" s="1"/>
  <c r="J113" i="2" l="1"/>
  <c r="I113" i="2"/>
  <c r="L113" i="2"/>
  <c r="O114" i="2" s="1"/>
  <c r="H113" i="2"/>
  <c r="S113" i="2" s="1"/>
  <c r="Q114" i="2" l="1"/>
  <c r="N113" i="2"/>
  <c r="R113" i="2" s="1"/>
  <c r="J114" i="2" l="1"/>
  <c r="H114" i="2"/>
  <c r="L114" i="2"/>
  <c r="O115" i="2" s="1"/>
  <c r="I114" i="2"/>
  <c r="S114" i="2" l="1"/>
  <c r="Q115" i="2"/>
  <c r="N114" i="2"/>
  <c r="R114" i="2" s="1"/>
  <c r="H115" i="2" l="1"/>
  <c r="J115" i="2"/>
  <c r="L115" i="2"/>
  <c r="O116" i="2" s="1"/>
  <c r="I115" i="2"/>
  <c r="S115" i="2" l="1"/>
  <c r="Q116" i="2"/>
  <c r="N115" i="2"/>
  <c r="R115" i="2" s="1"/>
  <c r="I116" i="2"/>
  <c r="J116" i="2" l="1"/>
  <c r="H116" i="2"/>
  <c r="S116" i="2" s="1"/>
  <c r="L116" i="2"/>
  <c r="O117" i="2" s="1"/>
  <c r="L117" i="2" l="1"/>
  <c r="O118" i="2" s="1"/>
  <c r="N116" i="2"/>
  <c r="R116" i="2" s="1"/>
  <c r="Q118" i="2" l="1"/>
  <c r="N117" i="2"/>
  <c r="J117" i="2"/>
  <c r="Q117" i="2"/>
  <c r="I117" i="2"/>
  <c r="I118" i="2" s="1"/>
  <c r="H117" i="2"/>
  <c r="S117" i="2" l="1"/>
  <c r="J118" i="2"/>
  <c r="H118" i="2"/>
  <c r="S118" i="2" s="1"/>
  <c r="R117" i="2"/>
  <c r="L118" i="2"/>
  <c r="O119" i="2" s="1"/>
  <c r="N118" i="2" l="1"/>
  <c r="R118" i="2" s="1"/>
  <c r="H119" i="2"/>
  <c r="Q119" i="2" l="1"/>
  <c r="I119" i="2"/>
  <c r="S119" i="2" s="1"/>
  <c r="J119" i="2"/>
  <c r="L119" i="2"/>
  <c r="O120" i="2" s="1"/>
  <c r="J120" i="2" l="1"/>
  <c r="N119" i="2"/>
  <c r="R119" i="2" s="1"/>
  <c r="I120" i="2"/>
  <c r="Q120" i="2" l="1"/>
  <c r="H120" i="2"/>
  <c r="S120" i="2" s="1"/>
  <c r="L120" i="2"/>
  <c r="O121" i="2" s="1"/>
  <c r="N120" i="2" l="1"/>
  <c r="R120" i="2" s="1"/>
  <c r="Q121" i="2" l="1"/>
  <c r="J121" i="2"/>
  <c r="I121" i="2"/>
  <c r="H121" i="2"/>
  <c r="L121" i="2"/>
  <c r="O122" i="2" s="1"/>
  <c r="S121" i="2" l="1"/>
  <c r="Q122" i="2"/>
  <c r="N121" i="2"/>
  <c r="I122" i="2"/>
  <c r="H122" i="2"/>
  <c r="R121" i="2"/>
  <c r="J122" i="2"/>
  <c r="S122" i="2" l="1"/>
  <c r="L122" i="2"/>
  <c r="O123" i="2" s="1"/>
  <c r="N122" i="2" l="1"/>
  <c r="R122" i="2" s="1"/>
  <c r="Q123" i="2" l="1"/>
  <c r="H123" i="2"/>
  <c r="J123" i="2"/>
  <c r="I123" i="2"/>
  <c r="L123" i="2"/>
  <c r="O124" i="2" s="1"/>
  <c r="S123" i="2" l="1"/>
  <c r="Q124" i="2"/>
  <c r="N123" i="2"/>
  <c r="I124" i="2"/>
  <c r="R123" i="2"/>
  <c r="H124" i="2" l="1"/>
  <c r="S124" i="2" s="1"/>
  <c r="J124" i="2"/>
  <c r="L124" i="2"/>
  <c r="O125" i="2" s="1"/>
  <c r="N124" i="2" l="1"/>
  <c r="R124" i="2" s="1"/>
  <c r="Q125" i="2" l="1"/>
  <c r="I125" i="2"/>
  <c r="H125" i="2"/>
  <c r="J125" i="2"/>
  <c r="L125" i="2"/>
  <c r="O126" i="2" s="1"/>
  <c r="S125" i="2" l="1"/>
  <c r="Q126" i="2"/>
  <c r="N125" i="2"/>
  <c r="R125" i="2" s="1"/>
  <c r="I126" i="2"/>
  <c r="H126" i="2" l="1"/>
  <c r="S126" i="2" s="1"/>
  <c r="L126" i="2"/>
  <c r="O127" i="2" s="1"/>
  <c r="J126" i="2"/>
  <c r="J127" i="2" l="1"/>
  <c r="N126" i="2"/>
  <c r="R126" i="2" s="1"/>
  <c r="H127" i="2" l="1"/>
  <c r="Q127" i="2"/>
  <c r="I127" i="2"/>
  <c r="L127" i="2"/>
  <c r="O128" i="2" s="1"/>
  <c r="S127" i="2" l="1"/>
  <c r="N127" i="2"/>
  <c r="R127" i="2" s="1"/>
  <c r="Q128" i="2" l="1"/>
  <c r="J128" i="2"/>
  <c r="H128" i="2"/>
  <c r="L128" i="2"/>
  <c r="O129" i="2" s="1"/>
  <c r="I128" i="2"/>
  <c r="S128" i="2" l="1"/>
  <c r="Q129" i="2"/>
  <c r="N128" i="2"/>
  <c r="R128" i="2" s="1"/>
  <c r="J129" i="2" l="1"/>
  <c r="L129" i="2"/>
  <c r="O130" i="2" s="1"/>
  <c r="H129" i="2"/>
  <c r="I129" i="2"/>
  <c r="S129" i="2" l="1"/>
  <c r="Q130" i="2"/>
  <c r="N129" i="2"/>
  <c r="R129" i="2" s="1"/>
  <c r="J130" i="2" l="1"/>
  <c r="L130" i="2"/>
  <c r="O131" i="2" s="1"/>
  <c r="H130" i="2"/>
  <c r="I130" i="2"/>
  <c r="S130" i="2" l="1"/>
  <c r="Q131" i="2"/>
  <c r="N130" i="2"/>
  <c r="R130" i="2" s="1"/>
  <c r="H131" i="2" l="1"/>
  <c r="L131" i="2"/>
  <c r="O132" i="2" s="1"/>
  <c r="J131" i="2"/>
  <c r="I131" i="2"/>
  <c r="S131" i="2" l="1"/>
  <c r="Q132" i="2"/>
  <c r="N131" i="2"/>
  <c r="R131" i="2" s="1"/>
  <c r="L132" i="2" l="1"/>
  <c r="O133" i="2" s="1"/>
  <c r="H132" i="2"/>
  <c r="J132" i="2"/>
  <c r="I132" i="2"/>
  <c r="S132" i="2" l="1"/>
  <c r="Q133" i="2"/>
  <c r="N132" i="2"/>
  <c r="R132" i="2" s="1"/>
  <c r="L133" i="2" l="1"/>
  <c r="O134" i="2" s="1"/>
  <c r="J133" i="2"/>
  <c r="H133" i="2"/>
  <c r="I133" i="2"/>
  <c r="S133" i="2" l="1"/>
  <c r="Q134" i="2"/>
  <c r="N133" i="2"/>
  <c r="R133" i="2" s="1"/>
  <c r="L134" i="2" l="1"/>
  <c r="O135" i="2" s="1"/>
  <c r="H134" i="2"/>
  <c r="J134" i="2"/>
  <c r="I134" i="2"/>
  <c r="S134" i="2" l="1"/>
  <c r="Q135" i="2"/>
  <c r="N134" i="2"/>
  <c r="R134" i="2" s="1"/>
  <c r="J135" i="2" l="1"/>
  <c r="L135" i="2"/>
  <c r="O136" i="2" s="1"/>
  <c r="H135" i="2"/>
  <c r="I135" i="2"/>
  <c r="S135" i="2" l="1"/>
  <c r="Q136" i="2"/>
  <c r="N135" i="2"/>
  <c r="R135" i="2" s="1"/>
  <c r="J136" i="2" l="1"/>
  <c r="L136" i="2"/>
  <c r="O137" i="2" s="1"/>
  <c r="H136" i="2"/>
  <c r="I136" i="2"/>
  <c r="S136" i="2" l="1"/>
  <c r="Q137" i="2"/>
  <c r="N136" i="2"/>
  <c r="R136" i="2" s="1"/>
  <c r="L137" i="2" l="1"/>
  <c r="O138" i="2" s="1"/>
  <c r="J137" i="2"/>
  <c r="H137" i="2"/>
  <c r="I137" i="2"/>
  <c r="S137" i="2" l="1"/>
  <c r="Q138" i="2"/>
  <c r="N137" i="2"/>
  <c r="R137" i="2" s="1"/>
  <c r="L138" i="2" l="1"/>
  <c r="O139" i="2" s="1"/>
  <c r="I138" i="2"/>
  <c r="J138" i="2"/>
  <c r="H138" i="2"/>
  <c r="S138" i="2" l="1"/>
  <c r="Q139" i="2"/>
  <c r="N138" i="2"/>
  <c r="R138" i="2" s="1"/>
  <c r="J139" i="2" l="1"/>
  <c r="L139" i="2"/>
  <c r="O140" i="2" s="1"/>
  <c r="I139" i="2"/>
  <c r="H139" i="2"/>
  <c r="S139" i="2" s="1"/>
  <c r="Q140" i="2" l="1"/>
  <c r="N139" i="2"/>
  <c r="R139" i="2" s="1"/>
  <c r="I140" i="2"/>
  <c r="J140" i="2"/>
  <c r="L140" i="2" l="1"/>
  <c r="O141" i="2" s="1"/>
  <c r="H140" i="2"/>
  <c r="S140" i="2" s="1"/>
  <c r="H141" i="2" l="1"/>
  <c r="N140" i="2"/>
  <c r="R140" i="2"/>
  <c r="Q141" i="2" l="1"/>
  <c r="I141" i="2"/>
  <c r="S141" i="2" s="1"/>
  <c r="J141" i="2"/>
  <c r="L141" i="2"/>
  <c r="O142" i="2" s="1"/>
  <c r="J142" i="2" l="1"/>
  <c r="N141" i="2"/>
  <c r="R141" i="2" s="1"/>
  <c r="I142" i="2"/>
  <c r="Q142" i="2" l="1"/>
  <c r="H142" i="2"/>
  <c r="S142" i="2" s="1"/>
  <c r="L142" i="2"/>
  <c r="O143" i="2" s="1"/>
  <c r="H143" i="2" l="1"/>
  <c r="N142" i="2"/>
  <c r="R142" i="2"/>
  <c r="Q143" i="2" l="1"/>
  <c r="J143" i="2"/>
  <c r="I143" i="2"/>
  <c r="S143" i="2" s="1"/>
  <c r="L143" i="2"/>
  <c r="O144" i="2" s="1"/>
  <c r="N143" i="2" l="1"/>
  <c r="R143" i="2" s="1"/>
  <c r="Q144" i="2" l="1"/>
  <c r="H144" i="2"/>
  <c r="L144" i="2"/>
  <c r="O145" i="2" s="1"/>
  <c r="J144" i="2"/>
  <c r="I144" i="2"/>
  <c r="S144" i="2" l="1"/>
  <c r="Q145" i="2"/>
  <c r="N144" i="2"/>
  <c r="R144" i="2" s="1"/>
  <c r="H145" i="2"/>
  <c r="L145" i="2" l="1"/>
  <c r="O146" i="2" s="1"/>
  <c r="J145" i="2"/>
  <c r="I145" i="2"/>
  <c r="S145" i="2" s="1"/>
  <c r="N145" i="2" l="1"/>
  <c r="R145" i="2" s="1"/>
  <c r="Q146" i="2" l="1"/>
  <c r="H146" i="2"/>
  <c r="I146" i="2"/>
  <c r="L146" i="2"/>
  <c r="O147" i="2" s="1"/>
  <c r="J146" i="2"/>
  <c r="S146" i="2" l="1"/>
  <c r="Q147" i="2"/>
  <c r="N146" i="2"/>
  <c r="R146" i="2" s="1"/>
  <c r="L147" i="2" l="1"/>
  <c r="O148" i="2" s="1"/>
  <c r="J147" i="2"/>
  <c r="H147" i="2"/>
  <c r="I147" i="2"/>
  <c r="S147" i="2" l="1"/>
  <c r="Q148" i="2"/>
  <c r="N147" i="2"/>
  <c r="R147" i="2" s="1"/>
  <c r="L148" i="2" l="1"/>
  <c r="O149" i="2" s="1"/>
  <c r="H148" i="2"/>
  <c r="J148" i="2"/>
  <c r="I148" i="2"/>
  <c r="S148" i="2" l="1"/>
  <c r="Q149" i="2"/>
  <c r="N148" i="2"/>
  <c r="R148" i="2" s="1"/>
  <c r="I149" i="2" l="1"/>
  <c r="H149" i="2"/>
  <c r="L149" i="2"/>
  <c r="O150" i="2" s="1"/>
  <c r="J149" i="2"/>
  <c r="S149" i="2" l="1"/>
  <c r="Q150" i="2"/>
  <c r="N149" i="2"/>
  <c r="R149" i="2" s="1"/>
  <c r="I150" i="2"/>
  <c r="H150" i="2" l="1"/>
  <c r="S150" i="2" s="1"/>
  <c r="J150" i="2"/>
  <c r="L150" i="2"/>
  <c r="O151" i="2" s="1"/>
  <c r="J151" i="2" l="1"/>
  <c r="N150" i="2"/>
  <c r="R150" i="2" s="1"/>
  <c r="H151" i="2"/>
  <c r="Q151" i="2" l="1"/>
  <c r="I151" i="2"/>
  <c r="S151" i="2" s="1"/>
  <c r="L151" i="2"/>
  <c r="O152" i="2" s="1"/>
  <c r="N151" i="2" l="1"/>
  <c r="R151" i="2" s="1"/>
  <c r="I152" i="2"/>
  <c r="Q152" i="2" l="1"/>
  <c r="J152" i="2"/>
  <c r="H152" i="2"/>
  <c r="S152" i="2" s="1"/>
  <c r="L152" i="2"/>
  <c r="O153" i="2" s="1"/>
  <c r="N152" i="2" l="1"/>
  <c r="R152" i="2" s="1"/>
  <c r="Q153" i="2" l="1"/>
  <c r="I153" i="2"/>
  <c r="J153" i="2"/>
  <c r="H153" i="2"/>
  <c r="L153" i="2"/>
  <c r="O154" i="2" s="1"/>
  <c r="S153" i="2" l="1"/>
  <c r="Q154" i="2"/>
  <c r="N153" i="2"/>
  <c r="R153" i="2" s="1"/>
  <c r="I154" i="2"/>
  <c r="J154" i="2" l="1"/>
  <c r="L154" i="2"/>
  <c r="O155" i="2" s="1"/>
  <c r="Q155" i="2" s="1"/>
  <c r="H154" i="2"/>
  <c r="S154" i="2" s="1"/>
  <c r="N154" i="2" l="1"/>
  <c r="R154" i="2" s="1"/>
  <c r="I155" i="2"/>
  <c r="H155" i="2"/>
  <c r="L155" i="2"/>
  <c r="O156" i="2" s="1"/>
  <c r="J155" i="2"/>
  <c r="S155" i="2" l="1"/>
  <c r="N155" i="2"/>
  <c r="R155" i="2" s="1"/>
  <c r="H156" i="2"/>
  <c r="Q156" i="2" l="1"/>
  <c r="I156" i="2"/>
  <c r="S156" i="2" s="1"/>
  <c r="L156" i="2"/>
  <c r="O157" i="2" s="1"/>
  <c r="J156" i="2"/>
  <c r="N156" i="2" l="1"/>
  <c r="R156" i="2" s="1"/>
  <c r="I157" i="2"/>
  <c r="Q157" i="2" l="1"/>
  <c r="H157" i="2"/>
  <c r="S157" i="2" s="1"/>
  <c r="L157" i="2"/>
  <c r="O158" i="2" s="1"/>
  <c r="J157" i="2"/>
  <c r="N157" i="2" l="1"/>
  <c r="R157" i="2" s="1"/>
  <c r="H158" i="2"/>
  <c r="Q158" i="2" l="1"/>
  <c r="I158" i="2"/>
  <c r="S158" i="2" s="1"/>
  <c r="L158" i="2"/>
  <c r="O159" i="2" s="1"/>
  <c r="J158" i="2"/>
  <c r="N158" i="2" l="1"/>
  <c r="R158" i="2" s="1"/>
  <c r="I159" i="2"/>
  <c r="Q159" i="2" l="1"/>
  <c r="H159" i="2"/>
  <c r="S159" i="2" s="1"/>
  <c r="L159" i="2"/>
  <c r="O160" i="2" s="1"/>
  <c r="J159" i="2"/>
  <c r="N159" i="2" l="1"/>
  <c r="R159" i="2" s="1"/>
  <c r="H160" i="2"/>
  <c r="Q160" i="2" l="1"/>
  <c r="I160" i="2"/>
  <c r="S160" i="2" s="1"/>
  <c r="L160" i="2"/>
  <c r="O161" i="2" s="1"/>
  <c r="J160" i="2"/>
  <c r="N160" i="2" l="1"/>
  <c r="R160" i="2" s="1"/>
  <c r="J161" i="2"/>
  <c r="I161" i="2"/>
  <c r="Q161" i="2" l="1"/>
  <c r="H161" i="2"/>
  <c r="S161" i="2" s="1"/>
  <c r="L161" i="2"/>
  <c r="O162" i="2" s="1"/>
  <c r="N161" i="2" l="1"/>
  <c r="R161" i="2" s="1"/>
  <c r="Q162" i="2" l="1"/>
  <c r="J162" i="2"/>
  <c r="I162" i="2"/>
  <c r="H162" i="2"/>
  <c r="L162" i="2"/>
  <c r="O163" i="2" s="1"/>
  <c r="S162" i="2" l="1"/>
  <c r="Q163" i="2"/>
  <c r="N162" i="2"/>
  <c r="I163" i="2"/>
  <c r="R162" i="2"/>
  <c r="H163" i="2"/>
  <c r="J163" i="2"/>
  <c r="S163" i="2" l="1"/>
  <c r="L163" i="2"/>
  <c r="O164" i="2" s="1"/>
  <c r="N163" i="2" l="1"/>
  <c r="R163" i="2" s="1"/>
  <c r="Q164" i="2" l="1"/>
  <c r="J164" i="2"/>
  <c r="I164" i="2"/>
  <c r="H164" i="2"/>
  <c r="L164" i="2"/>
  <c r="O165" i="2" s="1"/>
  <c r="S164" i="2" l="1"/>
  <c r="Q165" i="2"/>
  <c r="N164" i="2"/>
  <c r="R164" i="2" s="1"/>
  <c r="H165" i="2"/>
  <c r="I165" i="2"/>
  <c r="J165" i="2"/>
  <c r="S165" i="2" l="1"/>
  <c r="L165" i="2"/>
  <c r="O166" i="2" s="1"/>
  <c r="N165" i="2" l="1"/>
  <c r="R165" i="2" s="1"/>
  <c r="Q166" i="2" l="1"/>
  <c r="J166" i="2"/>
  <c r="I166" i="2"/>
  <c r="H166" i="2"/>
  <c r="L166" i="2"/>
  <c r="O167" i="2" s="1"/>
  <c r="S166" i="2" l="1"/>
  <c r="Q167" i="2"/>
  <c r="N166" i="2"/>
  <c r="R166" i="2" s="1"/>
  <c r="I167" i="2" l="1"/>
  <c r="J167" i="2"/>
  <c r="H167" i="2"/>
  <c r="S167" i="2" s="1"/>
  <c r="L167" i="2"/>
  <c r="O168" i="2" s="1"/>
  <c r="N167" i="2" l="1"/>
  <c r="R167" i="2" s="1"/>
  <c r="Q168" i="2" l="1"/>
  <c r="J168" i="2"/>
  <c r="H168" i="2"/>
  <c r="I168" i="2"/>
  <c r="L168" i="2"/>
  <c r="O169" i="2" s="1"/>
  <c r="S168" i="2" l="1"/>
  <c r="Q169" i="2"/>
  <c r="N168" i="2"/>
  <c r="R168" i="2" s="1"/>
  <c r="J169" i="2" l="1"/>
  <c r="I169" i="2"/>
  <c r="H169" i="2"/>
  <c r="L169" i="2"/>
  <c r="O170" i="2" s="1"/>
  <c r="S169" i="2" l="1"/>
  <c r="Q170" i="2"/>
  <c r="N169" i="2"/>
  <c r="R169" i="2" s="1"/>
  <c r="J170" i="2" l="1"/>
  <c r="H170" i="2"/>
  <c r="I170" i="2"/>
  <c r="L170" i="2"/>
  <c r="O171" i="2" s="1"/>
  <c r="S170" i="2" l="1"/>
  <c r="Q171" i="2"/>
  <c r="N170" i="2"/>
  <c r="R170" i="2" s="1"/>
  <c r="J171" i="2" l="1"/>
  <c r="L171" i="2"/>
  <c r="O172" i="2" s="1"/>
  <c r="H171" i="2"/>
  <c r="I171" i="2"/>
  <c r="S171" i="2" l="1"/>
  <c r="Q172" i="2"/>
  <c r="N171" i="2"/>
  <c r="R171" i="2" s="1"/>
  <c r="J172" i="2" l="1"/>
  <c r="H172" i="2"/>
  <c r="L172" i="2"/>
  <c r="O173" i="2" s="1"/>
  <c r="I172" i="2"/>
  <c r="S172" i="2" l="1"/>
  <c r="N172" i="2"/>
  <c r="R172" i="2" s="1"/>
  <c r="Q173" i="2" l="1"/>
  <c r="J173" i="2"/>
  <c r="H173" i="2"/>
  <c r="L173" i="2"/>
  <c r="O174" i="2" s="1"/>
  <c r="I173" i="2"/>
  <c r="S173" i="2" l="1"/>
  <c r="Q174" i="2"/>
  <c r="N173" i="2"/>
  <c r="R173" i="2" s="1"/>
  <c r="H174" i="2" l="1"/>
  <c r="J174" i="2"/>
  <c r="I174" i="2"/>
  <c r="L174" i="2"/>
  <c r="O175" i="2" s="1"/>
  <c r="S174" i="2" l="1"/>
  <c r="Q175" i="2"/>
  <c r="N174" i="2"/>
  <c r="R174" i="2" s="1"/>
  <c r="H175" i="2"/>
  <c r="J175" i="2" l="1"/>
  <c r="I175" i="2"/>
  <c r="S175" i="2" s="1"/>
  <c r="L175" i="2"/>
  <c r="O176" i="2" s="1"/>
  <c r="N175" i="2" l="1"/>
  <c r="R175" i="2" s="1"/>
  <c r="Q176" i="2" l="1"/>
  <c r="H176" i="2"/>
  <c r="L176" i="2"/>
  <c r="O177" i="2" s="1"/>
  <c r="J176" i="2"/>
  <c r="I176" i="2"/>
  <c r="S176" i="2" l="1"/>
  <c r="Q177" i="2"/>
  <c r="N176" i="2"/>
  <c r="R176" i="2" s="1"/>
  <c r="H177" i="2"/>
  <c r="L177" i="2" l="1"/>
  <c r="O178" i="2" s="1"/>
  <c r="I177" i="2"/>
  <c r="S177" i="2" s="1"/>
  <c r="J177" i="2"/>
  <c r="N177" i="2" l="1"/>
  <c r="R177" i="2" s="1"/>
  <c r="Q178" i="2" l="1"/>
  <c r="H178" i="2"/>
  <c r="L178" i="2"/>
  <c r="O179" i="2" s="1"/>
  <c r="I178" i="2"/>
  <c r="J178" i="2"/>
  <c r="S178" i="2" l="1"/>
  <c r="Q179" i="2"/>
  <c r="N178" i="2"/>
  <c r="R178" i="2" s="1"/>
  <c r="L179" i="2" l="1"/>
  <c r="O180" i="2" s="1"/>
  <c r="J179" i="2"/>
  <c r="H179" i="2"/>
  <c r="I179" i="2"/>
  <c r="S179" i="2" l="1"/>
  <c r="Q180" i="2"/>
  <c r="N179" i="2"/>
  <c r="R179" i="2" s="1"/>
  <c r="L180" i="2" l="1"/>
  <c r="O181" i="2" s="1"/>
  <c r="J180" i="2"/>
  <c r="H180" i="2"/>
  <c r="I180" i="2"/>
  <c r="S180" i="2" l="1"/>
  <c r="Q181" i="2"/>
  <c r="N180" i="2"/>
  <c r="R180" i="2" s="1"/>
  <c r="H181" i="2" l="1"/>
  <c r="J181" i="2"/>
  <c r="L181" i="2"/>
  <c r="O182" i="2" s="1"/>
  <c r="I181" i="2"/>
  <c r="S181" i="2" l="1"/>
  <c r="Q182" i="2"/>
  <c r="N181" i="2"/>
  <c r="R181" i="2" s="1"/>
  <c r="L182" i="2" l="1"/>
  <c r="O183" i="2" s="1"/>
  <c r="H182" i="2"/>
  <c r="I182" i="2"/>
  <c r="J182" i="2"/>
  <c r="S182" i="2" l="1"/>
  <c r="Q183" i="2"/>
  <c r="N182" i="2"/>
  <c r="R182" i="2" s="1"/>
  <c r="L183" i="2" l="1"/>
  <c r="O184" i="2" s="1"/>
  <c r="I183" i="2"/>
  <c r="H183" i="2"/>
  <c r="J183" i="2"/>
  <c r="S183" i="2" l="1"/>
  <c r="Q184" i="2"/>
  <c r="N183" i="2"/>
  <c r="R183" i="2" s="1"/>
  <c r="H184" i="2" l="1"/>
  <c r="J184" i="2"/>
  <c r="L184" i="2"/>
  <c r="O185" i="2" s="1"/>
  <c r="I184" i="2"/>
  <c r="S184" i="2" l="1"/>
  <c r="Q185" i="2"/>
  <c r="N184" i="2"/>
  <c r="R184" i="2" s="1"/>
  <c r="H185" i="2" l="1"/>
  <c r="L185" i="2"/>
  <c r="O186" i="2" s="1"/>
  <c r="J185" i="2"/>
  <c r="I185" i="2"/>
  <c r="S185" i="2" l="1"/>
  <c r="Q186" i="2"/>
  <c r="N185" i="2"/>
  <c r="R185" i="2" s="1"/>
  <c r="J186" i="2" l="1"/>
  <c r="L186" i="2"/>
  <c r="O187" i="2" s="1"/>
  <c r="H186" i="2"/>
  <c r="I186" i="2"/>
  <c r="S186" i="2" l="1"/>
  <c r="Q187" i="2"/>
  <c r="N186" i="2"/>
  <c r="R186" i="2" s="1"/>
  <c r="I187" i="2"/>
  <c r="J187" i="2" l="1"/>
  <c r="H187" i="2"/>
  <c r="S187" i="2" s="1"/>
  <c r="L187" i="2"/>
  <c r="O188" i="2" s="1"/>
  <c r="N187" i="2" l="1"/>
  <c r="R187" i="2" s="1"/>
  <c r="Q188" i="2" l="1"/>
  <c r="I188" i="2"/>
  <c r="J188" i="2"/>
  <c r="H188" i="2"/>
  <c r="S188" i="2" s="1"/>
  <c r="L188" i="2"/>
  <c r="O189" i="2" s="1"/>
  <c r="Q189" i="2" l="1"/>
  <c r="N188" i="2"/>
  <c r="R188" i="2" s="1"/>
  <c r="I189" i="2"/>
  <c r="J189" i="2" l="1"/>
  <c r="H189" i="2"/>
  <c r="S189" i="2" s="1"/>
  <c r="L189" i="2"/>
  <c r="O190" i="2" s="1"/>
  <c r="H190" i="2" l="1"/>
  <c r="N189" i="2"/>
  <c r="R189" i="2" s="1"/>
  <c r="J190" i="2"/>
  <c r="Q190" i="2" l="1"/>
  <c r="I190" i="2"/>
  <c r="S190" i="2" s="1"/>
  <c r="L190" i="2"/>
  <c r="O191" i="2" s="1"/>
  <c r="N190" i="2" l="1"/>
  <c r="R190" i="2" s="1"/>
  <c r="Q191" i="2" l="1"/>
  <c r="J191" i="2"/>
  <c r="H191" i="2"/>
  <c r="L191" i="2"/>
  <c r="O192" i="2" s="1"/>
  <c r="I191" i="2"/>
  <c r="S191" i="2" l="1"/>
  <c r="Q192" i="2"/>
  <c r="N191" i="2"/>
  <c r="R191" i="2" s="1"/>
  <c r="H192" i="2" l="1"/>
  <c r="J192" i="2"/>
  <c r="L192" i="2"/>
  <c r="O193" i="2" s="1"/>
  <c r="I192" i="2"/>
  <c r="S192" i="2" l="1"/>
  <c r="Q193" i="2"/>
  <c r="N192" i="2"/>
  <c r="R192" i="2" s="1"/>
  <c r="J193" i="2" l="1"/>
  <c r="L193" i="2"/>
  <c r="O194" i="2" s="1"/>
  <c r="H193" i="2"/>
  <c r="I193" i="2"/>
  <c r="S193" i="2" l="1"/>
  <c r="Q194" i="2"/>
  <c r="N193" i="2"/>
  <c r="R193" i="2" s="1"/>
  <c r="L194" i="2" l="1"/>
  <c r="O195" i="2" s="1"/>
  <c r="J194" i="2"/>
  <c r="H194" i="2"/>
  <c r="I194" i="2"/>
  <c r="S194" i="2" l="1"/>
  <c r="Q195" i="2"/>
  <c r="N194" i="2"/>
  <c r="R194" i="2" s="1"/>
  <c r="L195" i="2" l="1"/>
  <c r="O196" i="2" s="1"/>
  <c r="J195" i="2"/>
  <c r="H195" i="2"/>
  <c r="I195" i="2"/>
  <c r="S195" i="2" l="1"/>
  <c r="Q196" i="2"/>
  <c r="N195" i="2"/>
  <c r="R195" i="2" s="1"/>
  <c r="L196" i="2" l="1"/>
  <c r="O197" i="2" s="1"/>
  <c r="I196" i="2"/>
  <c r="J196" i="2"/>
  <c r="H196" i="2"/>
  <c r="S196" i="2" l="1"/>
  <c r="Q197" i="2"/>
  <c r="N196" i="2"/>
  <c r="R196" i="2" s="1"/>
  <c r="I197" i="2" l="1"/>
  <c r="L197" i="2"/>
  <c r="O198" i="2" s="1"/>
  <c r="J197" i="2"/>
  <c r="H197" i="2"/>
  <c r="S197" i="2" s="1"/>
  <c r="Q198" i="2" l="1"/>
  <c r="N197" i="2"/>
  <c r="R197" i="2" s="1"/>
  <c r="I198" i="2"/>
  <c r="L198" i="2" l="1"/>
  <c r="O199" i="2" s="1"/>
  <c r="H198" i="2"/>
  <c r="S198" i="2" s="1"/>
  <c r="J198" i="2"/>
  <c r="N198" i="2" l="1"/>
  <c r="R198" i="2" s="1"/>
  <c r="Q199" i="2" l="1"/>
  <c r="I199" i="2"/>
  <c r="L199" i="2"/>
  <c r="O200" i="2" s="1"/>
  <c r="H199" i="2"/>
  <c r="S199" i="2" s="1"/>
  <c r="J199" i="2"/>
  <c r="Q200" i="2" l="1"/>
  <c r="N199" i="2"/>
  <c r="R199" i="2" s="1"/>
  <c r="I200" i="2"/>
  <c r="J200" i="2" l="1"/>
  <c r="L200" i="2"/>
  <c r="O201" i="2" s="1"/>
  <c r="H200" i="2"/>
  <c r="S200" i="2" s="1"/>
  <c r="L201" i="2" l="1"/>
  <c r="O202" i="2" s="1"/>
  <c r="N200" i="2"/>
  <c r="R200" i="2" s="1"/>
  <c r="J201" i="2"/>
  <c r="Q202" i="2" l="1"/>
  <c r="N201" i="2"/>
  <c r="J202" i="2"/>
  <c r="Q201" i="2"/>
  <c r="I201" i="2"/>
  <c r="I202" i="2" s="1"/>
  <c r="H201" i="2"/>
  <c r="S201" i="2" l="1"/>
  <c r="H202" i="2"/>
  <c r="S202" i="2" s="1"/>
  <c r="R201" i="2"/>
  <c r="L202" i="2"/>
  <c r="O203" i="2" s="1"/>
  <c r="N202" i="2" l="1"/>
  <c r="R202" i="2" s="1"/>
  <c r="H203" i="2"/>
  <c r="Q203" i="2" l="1"/>
  <c r="I203" i="2"/>
  <c r="S203" i="2" s="1"/>
  <c r="J203" i="2"/>
  <c r="L203" i="2"/>
  <c r="O204" i="2" s="1"/>
  <c r="J204" i="2" l="1"/>
  <c r="N203" i="2"/>
  <c r="R203" i="2" s="1"/>
  <c r="I204" i="2"/>
  <c r="Q204" i="2" l="1"/>
  <c r="H204" i="2"/>
  <c r="S204" i="2" s="1"/>
  <c r="L204" i="2"/>
  <c r="O205" i="2" s="1"/>
  <c r="H205" i="2" l="1"/>
  <c r="N204" i="2"/>
  <c r="R204" i="2" s="1"/>
  <c r="Q205" i="2" l="1"/>
  <c r="J205" i="2"/>
  <c r="I205" i="2"/>
  <c r="S205" i="2" s="1"/>
  <c r="L205" i="2"/>
  <c r="O206" i="2" s="1"/>
  <c r="J206" i="2" l="1"/>
  <c r="N205" i="2"/>
  <c r="R205" i="2" s="1"/>
  <c r="I206" i="2"/>
  <c r="Q206" i="2" l="1"/>
  <c r="H206" i="2"/>
  <c r="S206" i="2" s="1"/>
  <c r="L206" i="2"/>
  <c r="O207" i="2" s="1"/>
  <c r="N206" i="2" l="1"/>
  <c r="R206" i="2" s="1"/>
  <c r="H207" i="2"/>
  <c r="Q207" i="2" l="1"/>
  <c r="J207" i="2"/>
  <c r="I207" i="2"/>
  <c r="S207" i="2" s="1"/>
  <c r="L207" i="2"/>
  <c r="N207" i="2" s="1"/>
  <c r="B38" i="1" l="1" a="1"/>
  <c r="B38" i="1" s="1"/>
  <c r="R20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<sst xmlns="http://schemas.openxmlformats.org/spreadsheetml/2006/main" count="58" uniqueCount="38">
  <si>
    <t>DH1</t>
  </si>
  <si>
    <t>DH2</t>
  </si>
  <si>
    <t>Félév</t>
  </si>
  <si>
    <t>DH1+DH2</t>
  </si>
  <si>
    <t>Hallgató</t>
  </si>
  <si>
    <t>Stratégia 1</t>
  </si>
  <si>
    <t>Stratégia 2</t>
  </si>
  <si>
    <t>Stratégia 3</t>
  </si>
  <si>
    <t>Képzésből hátralévő félévek száma</t>
  </si>
  <si>
    <t>Diákhitel1 kamata</t>
  </si>
  <si>
    <t>Állampapír hozam</t>
  </si>
  <si>
    <t>Önköltséges?</t>
  </si>
  <si>
    <t>Igen</t>
  </si>
  <si>
    <t>Nem</t>
  </si>
  <si>
    <t>DH1 adósság</t>
  </si>
  <si>
    <t>Stratégia</t>
  </si>
  <si>
    <t>DH2 adósság</t>
  </si>
  <si>
    <t>Összes adósság</t>
  </si>
  <si>
    <t>DH2 törlesztő</t>
  </si>
  <si>
    <t>DH1 törlesztő</t>
  </si>
  <si>
    <t>Diákhitel1/félév (Ft)</t>
  </si>
  <si>
    <t>Tandíj/félév (Ft)</t>
  </si>
  <si>
    <t>S1 Eszköz</t>
  </si>
  <si>
    <t>S2 Eszköz</t>
  </si>
  <si>
    <t>S3 Eszköz</t>
  </si>
  <si>
    <t>Kockázatos hozam</t>
  </si>
  <si>
    <t>Kockázatos hozam átlag</t>
  </si>
  <si>
    <t>Kockázatos hozam volatilitás</t>
  </si>
  <si>
    <t>Havi Bér (Ft)</t>
  </si>
  <si>
    <t>Nettó profit</t>
  </si>
  <si>
    <t>Összes törlesztés</t>
  </si>
  <si>
    <t>Eltelt évek</t>
  </si>
  <si>
    <t>Hány év múlva végtörlesztek?</t>
  </si>
  <si>
    <t>Felélt</t>
  </si>
  <si>
    <t>Beállítható paraméterek</t>
  </si>
  <si>
    <t>Haladó paraméterek</t>
  </si>
  <si>
    <t>Számítások:</t>
  </si>
  <si>
    <t>DH2 Törlesztő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</si>
</sst>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\ [$Ft-40E]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0" fontId="0" fillId="3" borderId="5" xfId="0" applyFill="1" applyBorder="1"/>
    <xf numFmtId="0" fontId="0" fillId="3" borderId="6" xfId="0" applyFill="1" applyBorder="1"/>
    <xf numFmtId="0" fontId="0" fillId="5" borderId="5" xfId="0" applyFill="1" applyBorder="1"/>
    <xf numFmtId="0" fontId="0" fillId="5" borderId="7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9" fontId="0" fillId="7" borderId="9" xfId="0" applyNumberFormat="1" applyFill="1" applyBorder="1"/>
    <xf numFmtId="9" fontId="0" fillId="7" borderId="8" xfId="0" applyNumberFormat="1" applyFill="1" applyBorder="1"/>
    <xf numFmtId="9" fontId="0" fillId="7" borderId="7" xfId="0" applyNumberFormat="1" applyFill="1" applyBorder="1"/>
    <xf numFmtId="0" fontId="0" fillId="8" borderId="12" xfId="0" applyFill="1" applyBorder="1"/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167" fontId="0" fillId="3" borderId="6" xfId="0" applyNumberFormat="1" applyFill="1" applyBorder="1"/>
    <xf numFmtId="10" fontId="0" fillId="3" borderId="6" xfId="1" applyNumberFormat="1" applyFont="1" applyFill="1" applyBorder="1"/>
    <xf numFmtId="0" fontId="0" fillId="11" borderId="12" xfId="0" applyFill="1" applyBorder="1"/>
    <xf numFmtId="0" fontId="0" fillId="12" borderId="10" xfId="0" applyFill="1" applyBorder="1"/>
    <xf numFmtId="0" fontId="0" fillId="12" borderId="15" xfId="0" applyFill="1" applyBorder="1"/>
    <xf numFmtId="0" fontId="0" fillId="12" borderId="11" xfId="0" applyFill="1" applyBorder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Diákhitel!$N$37</c:f>
              <c:strCache>
                <c:ptCount val="1"/>
                <c:pt idx="0">
                  <c:v>Összes adósság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Diákhitel!$C$38:$C$209</c:f>
              <c:numCache>
                <c:formatCode>General</c:formatCode>
                <c:ptCount val="17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Diákhitel!$N$38:$N$209</c:f>
              <c:numCache>
                <c:formatCode>General</c:formatCode>
                <c:ptCount val="172"/>
                <c:pt idx="0">
                  <c:v>1250000</c:v>
                </c:pt>
                <c:pt idx="1">
                  <c:v>2514852.9270389178</c:v>
                </c:pt>
                <c:pt idx="2">
                  <c:v>3794852.9270389178</c:v>
                </c:pt>
                <c:pt idx="3">
                  <c:v>5090299.971159393</c:v>
                </c:pt>
                <c:pt idx="4">
                  <c:v>6401499.971159393</c:v>
                </c:pt>
                <c:pt idx="5">
                  <c:v>7728764.8970446866</c:v>
                </c:pt>
                <c:pt idx="6">
                  <c:v>9072412.8970446866</c:v>
                </c:pt>
                <c:pt idx="7">
                  <c:v>10432768.419965392</c:v>
                </c:pt>
                <c:pt idx="8">
                  <c:v>11810162.339965392</c:v>
                </c:pt>
                <c:pt idx="9">
                  <c:v>13204932.083802927</c:v>
                </c:pt>
                <c:pt idx="10">
                  <c:v>12347421.760602927</c:v>
                </c:pt>
                <c:pt idx="11">
                  <c:v>11485999.962176364</c:v>
                </c:pt>
                <c:pt idx="12">
                  <c:v>10740589.226048365</c:v>
                </c:pt>
                <c:pt idx="13">
                  <c:v>9991110.5556847379</c:v>
                </c:pt>
                <c:pt idx="14">
                  <c:v>9357483.3901116196</c:v>
                </c:pt>
                <c:pt idx="15">
                  <c:v>8719625.5729334503</c:v>
                </c:pt>
                <c:pt idx="16">
                  <c:v>8197453.3207374047</c:v>
                </c:pt>
                <c:pt idx="17">
                  <c:v>7670881.1908721076</c:v>
                </c:pt>
                <c:pt idx="18">
                  <c:v>7139822.0485882219</c:v>
                </c:pt>
                <c:pt idx="19">
                  <c:v>6664187.0335283121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BB-4683-89C7-3A61F233ACC4}"/>
            </c:ext>
          </c:extLst>
        </c:ser>
        <c:ser>
          <c:idx val="1"/>
          <c:order val="1"/>
          <c:tx>
            <c:strRef>
              <c:f>Diákhitel!$R$37</c:f>
              <c:strCache>
                <c:ptCount val="1"/>
                <c:pt idx="0">
                  <c:v>Nettó profit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Diákhitel!$C$38:$C$209</c:f>
              <c:numCache>
                <c:formatCode>General</c:formatCode>
                <c:ptCount val="17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Diákhitel!$R$38:$R$209</c:f>
              <c:numCache>
                <c:formatCode>General</c:formatCode>
                <c:ptCount val="172"/>
                <c:pt idx="0">
                  <c:v>0</c:v>
                </c:pt>
                <c:pt idx="1">
                  <c:v>16015.918706031982</c:v>
                </c:pt>
                <c:pt idx="2">
                  <c:v>48515.918706031982</c:v>
                </c:pt>
                <c:pt idx="3">
                  <c:v>97981.162617754191</c:v>
                </c:pt>
                <c:pt idx="4">
                  <c:v>164906.16261775512</c:v>
                </c:pt>
                <c:pt idx="5">
                  <c:v>249799.13916626945</c:v>
                </c:pt>
                <c:pt idx="6">
                  <c:v>353182.38916627131</c:v>
                </c:pt>
                <c:pt idx="7">
                  <c:v>475592.66380106471</c:v>
                </c:pt>
                <c:pt idx="8">
                  <c:v>617581.55630106665</c:v>
                </c:pt>
                <c:pt idx="9">
                  <c:v>779715.89989680424</c:v>
                </c:pt>
                <c:pt idx="10">
                  <c:v>962578.17622180656</c:v>
                </c:pt>
                <c:pt idx="11">
                  <c:v>1132691.4425804783</c:v>
                </c:pt>
                <c:pt idx="12">
                  <c:v>1289721.7294897288</c:v>
                </c:pt>
                <c:pt idx="13">
                  <c:v>1436289.8503735848</c:v>
                </c:pt>
                <c:pt idx="14">
                  <c:v>1572117.5442670174</c:v>
                </c:pt>
                <c:pt idx="15">
                  <c:v>1699882.6936829425</c:v>
                </c:pt>
                <c:pt idx="16">
                  <c:v>1819365.5006153174</c:v>
                </c:pt>
                <c:pt idx="17">
                  <c:v>1933303.7385217724</c:v>
                </c:pt>
                <c:pt idx="18">
                  <c:v>2041538.963278804</c:v>
                </c:pt>
                <c:pt idx="19">
                  <c:v>2143908.3917819308</c:v>
                </c:pt>
                <c:pt idx="20">
                  <c:v>2241726.4909497323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BB-4683-89C7-3A61F233ACC4}"/>
            </c:ext>
          </c:extLst>
        </c:ser>
        <c:ser>
          <c:idx val="2"/>
          <c:order val="2"/>
          <c:tx>
            <c:strRef>
              <c:f>Diákhitel!$S$37</c:f>
              <c:strCache>
                <c:ptCount val="1"/>
                <c:pt idx="0">
                  <c:v>Felélt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Diákhitel!$C$38:$C$238</c:f>
              <c:numCache>
                <c:formatCode>General</c:formatCode>
                <c:ptCount val="20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Diákhitel!$S$38:$S$238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BB-4683-89C7-3A61F233A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228479"/>
        <c:axId val="1746224639"/>
      </c:scatterChart>
      <c:valAx>
        <c:axId val="1746228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Eltelt évek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46224639"/>
        <c:crosses val="autoZero"/>
        <c:crossBetween val="midCat"/>
      </c:valAx>
      <c:valAx>
        <c:axId val="174622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46228479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5</xdr:row>
      <xdr:rowOff>166686</xdr:rowOff>
    </xdr:from>
    <xdr:to>
      <xdr:col>9</xdr:col>
      <xdr:colOff>971550</xdr:colOff>
      <xdr:row>32</xdr:row>
      <xdr:rowOff>190499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2CA18F5C-8683-F611-F2A5-1AE1602844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CF4E-88C5-43A7-9AD6-BF2F3F719C5B}">
  <dimension ref="B1:S58"/>
  <sheetViews>
    <sheetView tabSelected="1" zoomScaleNormal="100" workbookViewId="0">
      <selection activeCell="M16" sqref="M16"/>
    </sheetView>
  </sheetViews>
  <sheetFormatPr defaultRowHeight="15" x14ac:dyDescent="0.25"/>
  <cols>
    <col min="2" max="2" width="20.7109375" customWidth="1"/>
    <col min="3" max="3" width="16.42578125" customWidth="1"/>
    <col min="4" max="4" width="17.42578125" customWidth="1"/>
    <col min="5" max="5" width="17.28515625" customWidth="1"/>
    <col min="6" max="6" width="12" customWidth="1"/>
    <col min="7" max="7" width="17.5703125" bestFit="1" customWidth="1"/>
    <col min="8" max="8" width="12.5703125" bestFit="1" customWidth="1"/>
    <col min="9" max="9" width="15.28515625" customWidth="1"/>
    <col min="10" max="10" width="19" customWidth="1"/>
    <col min="11" max="11" width="18.5703125" customWidth="1"/>
    <col min="12" max="12" width="17.7109375" customWidth="1"/>
    <col min="13" max="13" width="16.28515625" bestFit="1" customWidth="1"/>
    <col min="14" max="14" width="15.85546875" customWidth="1"/>
    <col min="15" max="15" width="14.28515625" customWidth="1"/>
    <col min="16" max="16" width="13.42578125" customWidth="1"/>
    <col min="17" max="17" width="15.5703125" customWidth="1"/>
    <col min="18" max="18" width="15.7109375" customWidth="1"/>
    <col min="19" max="19" width="13.7109375" customWidth="1"/>
    <col min="20" max="20" width="13.42578125" customWidth="1"/>
  </cols>
  <sheetData>
    <row r="1" spans="2:13" ht="15.75" thickBot="1" x14ac:dyDescent="0.3"/>
    <row r="2" spans="2:13" ht="15.75" thickBot="1" x14ac:dyDescent="0.3">
      <c r="B2" s="16" t="s">
        <v>34</v>
      </c>
      <c r="C2" s="17"/>
      <c r="D2" s="17"/>
      <c r="E2" s="17"/>
      <c r="F2" s="17"/>
      <c r="G2" s="17"/>
      <c r="H2" s="17"/>
      <c r="I2" s="17"/>
      <c r="J2" s="18"/>
      <c r="L2" s="14" t="s">
        <v>35</v>
      </c>
      <c r="M2" s="15"/>
    </row>
    <row r="3" spans="2:13" ht="39.75" customHeight="1" thickBot="1" x14ac:dyDescent="0.3">
      <c r="B3" s="19" t="s">
        <v>8</v>
      </c>
      <c r="C3" s="21" t="s">
        <v>32</v>
      </c>
      <c r="D3" s="20" t="s">
        <v>15</v>
      </c>
      <c r="E3" s="20" t="s">
        <v>21</v>
      </c>
      <c r="F3" s="21" t="s">
        <v>9</v>
      </c>
      <c r="G3" s="21" t="s">
        <v>10</v>
      </c>
      <c r="H3" s="20" t="s">
        <v>28</v>
      </c>
      <c r="I3" s="21" t="s">
        <v>20</v>
      </c>
      <c r="J3" s="22" t="s">
        <v>11</v>
      </c>
      <c r="L3" s="23" t="s">
        <v>26</v>
      </c>
      <c r="M3" s="24" t="s">
        <v>27</v>
      </c>
    </row>
    <row r="4" spans="2:13" ht="16.5" thickTop="1" thickBot="1" x14ac:dyDescent="0.3">
      <c r="B4" s="3">
        <v>10</v>
      </c>
      <c r="C4" s="4">
        <v>10</v>
      </c>
      <c r="D4" s="26" t="s">
        <v>5</v>
      </c>
      <c r="E4" s="27">
        <v>500000</v>
      </c>
      <c r="F4" s="28">
        <v>0.04</v>
      </c>
      <c r="G4" s="28">
        <v>0.05</v>
      </c>
      <c r="H4" s="27">
        <v>1000000</v>
      </c>
      <c r="I4" s="27">
        <v>750000</v>
      </c>
      <c r="J4" s="25" t="s">
        <v>12</v>
      </c>
      <c r="L4" s="5">
        <v>0.1</v>
      </c>
      <c r="M4" s="6">
        <v>0.01</v>
      </c>
    </row>
    <row r="28" spans="18:19" ht="15.75" thickBot="1" x14ac:dyDescent="0.3"/>
    <row r="29" spans="18:19" ht="15.75" thickBot="1" x14ac:dyDescent="0.3">
      <c r="R29" s="13" t="s">
        <v>37</v>
      </c>
    </row>
    <row r="30" spans="18:19" x14ac:dyDescent="0.25">
      <c r="R30" s="7">
        <v>0</v>
      </c>
      <c r="S30" s="10">
        <v>0.04</v>
      </c>
    </row>
    <row r="31" spans="18:19" x14ac:dyDescent="0.25">
      <c r="R31" s="8">
        <v>1000000</v>
      </c>
      <c r="S31" s="11">
        <v>0.05</v>
      </c>
    </row>
    <row r="32" spans="18:19" x14ac:dyDescent="0.25">
      <c r="R32" s="8">
        <v>2000000</v>
      </c>
      <c r="S32" s="11">
        <v>7.0000000000000007E-2</v>
      </c>
    </row>
    <row r="33" spans="2:19" x14ac:dyDescent="0.25">
      <c r="R33" s="8">
        <v>3000000</v>
      </c>
      <c r="S33" s="11">
        <v>0.09</v>
      </c>
    </row>
    <row r="34" spans="2:19" ht="15.75" thickBot="1" x14ac:dyDescent="0.3">
      <c r="R34" s="9">
        <v>4000000</v>
      </c>
      <c r="S34" s="12">
        <v>0.11</v>
      </c>
    </row>
    <row r="35" spans="2:19" ht="15.75" thickBot="1" x14ac:dyDescent="0.3"/>
    <row r="36" spans="2:19" ht="15.75" thickBot="1" x14ac:dyDescent="0.3">
      <c r="B36" s="29" t="s">
        <v>36</v>
      </c>
    </row>
    <row r="37" spans="2:19" ht="15.75" thickBot="1" x14ac:dyDescent="0.3">
      <c r="B37" s="30" t="s">
        <v>2</v>
      </c>
      <c r="C37" s="31" t="s">
        <v>31</v>
      </c>
      <c r="D37" s="31" t="s">
        <v>4</v>
      </c>
      <c r="E37" s="31" t="s">
        <v>0</v>
      </c>
      <c r="F37" s="31" t="s">
        <v>1</v>
      </c>
      <c r="G37" s="31" t="s">
        <v>3</v>
      </c>
      <c r="H37" s="31" t="s">
        <v>22</v>
      </c>
      <c r="I37" s="31" t="s">
        <v>23</v>
      </c>
      <c r="J37" s="31" t="s">
        <v>24</v>
      </c>
      <c r="K37" s="31" t="s">
        <v>25</v>
      </c>
      <c r="L37" s="31" t="s">
        <v>14</v>
      </c>
      <c r="M37" s="31" t="s">
        <v>16</v>
      </c>
      <c r="N37" s="31" t="s">
        <v>17</v>
      </c>
      <c r="O37" s="31" t="s">
        <v>19</v>
      </c>
      <c r="P37" s="31" t="s">
        <v>18</v>
      </c>
      <c r="Q37" s="31" t="s">
        <v>30</v>
      </c>
      <c r="R37" s="31" t="s">
        <v>29</v>
      </c>
      <c r="S37" s="32" t="s">
        <v>33</v>
      </c>
    </row>
    <row r="38" spans="2:19" x14ac:dyDescent="0.25">
      <c r="B38" s="2" cm="1">
        <f t="array" aca="1" ref="B38:S58" ca="1">_xlfn._xlws.FILTER(Munka1!B7:S207,Munka1!C7:C207&lt;=Évek_száma)</f>
        <v>1</v>
      </c>
      <c r="C38" s="2">
        <f ca="1"/>
        <v>0</v>
      </c>
      <c r="D38" s="2" t="str">
        <f ca="1"/>
        <v>Igen</v>
      </c>
      <c r="E38" s="2">
        <f ca="1"/>
        <v>750000</v>
      </c>
      <c r="F38" s="2">
        <f ca="1"/>
        <v>500000</v>
      </c>
      <c r="G38" s="2">
        <f ca="1"/>
        <v>1250000</v>
      </c>
      <c r="H38" s="2">
        <f ca="1"/>
        <v>1250000</v>
      </c>
      <c r="I38" s="2">
        <f ca="1"/>
        <v>1106722.621639377</v>
      </c>
      <c r="J38" s="2">
        <f ca="1"/>
        <v>1250000</v>
      </c>
      <c r="K38" s="2">
        <f ca="1"/>
        <v>4.3245022832231375E-2</v>
      </c>
      <c r="L38" s="2">
        <f ca="1"/>
        <v>750000</v>
      </c>
      <c r="M38" s="2">
        <f ca="1"/>
        <v>500000</v>
      </c>
      <c r="N38" s="2">
        <f ca="1"/>
        <v>1250000</v>
      </c>
      <c r="O38" s="2">
        <f ca="1"/>
        <v>0</v>
      </c>
      <c r="P38" s="2">
        <f ca="1"/>
        <v>0</v>
      </c>
      <c r="Q38" s="2">
        <f ca="1"/>
        <v>0</v>
      </c>
      <c r="R38" s="2">
        <f ca="1"/>
        <v>0</v>
      </c>
      <c r="S38" s="2">
        <f ca="1"/>
        <v>0</v>
      </c>
    </row>
    <row r="39" spans="2:19" x14ac:dyDescent="0.25">
      <c r="B39" s="2">
        <f ca="1"/>
        <v>2</v>
      </c>
      <c r="C39" s="2">
        <f ca="1"/>
        <v>0.5</v>
      </c>
      <c r="D39" s="2" t="str">
        <f ca="1"/>
        <v>Igen</v>
      </c>
      <c r="E39" s="2">
        <f ca="1"/>
        <v>750000</v>
      </c>
      <c r="F39" s="2">
        <f ca="1"/>
        <v>500000</v>
      </c>
      <c r="G39" s="2">
        <f ca="1"/>
        <v>1250000</v>
      </c>
      <c r="H39" s="2">
        <f ca="1"/>
        <v>2530868.8457449498</v>
      </c>
      <c r="I39" s="2">
        <f ca="1"/>
        <v>2253879.54474576</v>
      </c>
      <c r="J39" s="2">
        <f ca="1"/>
        <v>2554056.278540289</v>
      </c>
      <c r="K39" s="2">
        <f ca="1"/>
        <v>6.3481243055812195E-2</v>
      </c>
      <c r="L39" s="2">
        <f ca="1"/>
        <v>1514852.9270389178</v>
      </c>
      <c r="M39" s="2">
        <f ca="1"/>
        <v>1000000</v>
      </c>
      <c r="N39" s="2">
        <f ca="1"/>
        <v>2514852.9270389178</v>
      </c>
      <c r="O39" s="2">
        <f ca="1"/>
        <v>0</v>
      </c>
      <c r="P39" s="2">
        <f ca="1"/>
        <v>0</v>
      </c>
      <c r="Q39" s="2">
        <f ca="1"/>
        <v>0</v>
      </c>
      <c r="R39" s="2">
        <f ca="1"/>
        <v>16015.918706031982</v>
      </c>
      <c r="S39" s="2">
        <f ca="1"/>
        <v>0</v>
      </c>
    </row>
    <row r="40" spans="2:19" x14ac:dyDescent="0.25">
      <c r="B40" s="2">
        <f ca="1"/>
        <v>3</v>
      </c>
      <c r="C40" s="2">
        <f ca="1"/>
        <v>1</v>
      </c>
      <c r="D40" s="2" t="str">
        <f ca="1"/>
        <v>Igen</v>
      </c>
      <c r="E40" s="2">
        <f ca="1"/>
        <v>750000</v>
      </c>
      <c r="F40" s="2">
        <f ca="1"/>
        <v>500000</v>
      </c>
      <c r="G40" s="2">
        <f ca="1"/>
        <v>1250000</v>
      </c>
      <c r="H40" s="2">
        <f ca="1"/>
        <v>3843368.8457449498</v>
      </c>
      <c r="I40" s="2">
        <f ca="1"/>
        <v>3442724.6594886151</v>
      </c>
      <c r="J40" s="2">
        <f ca="1"/>
        <v>3966190.9459365285</v>
      </c>
      <c r="K40" s="2">
        <f ca="1"/>
        <v>6.6128758729982917E-2</v>
      </c>
      <c r="L40" s="2">
        <f ca="1"/>
        <v>2294852.9270389178</v>
      </c>
      <c r="M40" s="2">
        <f ca="1"/>
        <v>1500000</v>
      </c>
      <c r="N40" s="2">
        <f ca="1"/>
        <v>3794852.9270389178</v>
      </c>
      <c r="O40" s="2">
        <f ca="1"/>
        <v>0</v>
      </c>
      <c r="P40" s="2">
        <f ca="1"/>
        <v>0</v>
      </c>
      <c r="Q40" s="2">
        <f ca="1"/>
        <v>0</v>
      </c>
      <c r="R40" s="2">
        <f ca="1"/>
        <v>48515.918706031982</v>
      </c>
      <c r="S40" s="2">
        <f ca="1"/>
        <v>0</v>
      </c>
    </row>
    <row r="41" spans="2:19" x14ac:dyDescent="0.25">
      <c r="B41" s="2">
        <f ca="1"/>
        <v>4</v>
      </c>
      <c r="C41" s="2">
        <f ca="1"/>
        <v>1.5</v>
      </c>
      <c r="D41" s="2" t="str">
        <f ca="1"/>
        <v>Igen</v>
      </c>
      <c r="E41" s="2">
        <f ca="1"/>
        <v>750000</v>
      </c>
      <c r="F41" s="2">
        <f ca="1"/>
        <v>500000</v>
      </c>
      <c r="G41" s="2">
        <f ca="1"/>
        <v>1250000</v>
      </c>
      <c r="H41" s="2">
        <f ca="1"/>
        <v>5188281.1337771472</v>
      </c>
      <c r="I41" s="2">
        <f ca="1"/>
        <v>4674548.799867616</v>
      </c>
      <c r="J41" s="2">
        <f ca="1"/>
        <v>5478470.2300774073</v>
      </c>
      <c r="K41" s="2">
        <f ca="1"/>
        <v>5.7258564251453294E-2</v>
      </c>
      <c r="L41" s="2">
        <f ca="1"/>
        <v>3090299.9711593925</v>
      </c>
      <c r="M41" s="2">
        <f ca="1"/>
        <v>2000000</v>
      </c>
      <c r="N41" s="2">
        <f ca="1"/>
        <v>5090299.971159393</v>
      </c>
      <c r="O41" s="2">
        <f ca="1"/>
        <v>0</v>
      </c>
      <c r="P41" s="2">
        <f ca="1"/>
        <v>0</v>
      </c>
      <c r="Q41" s="2">
        <f ca="1"/>
        <v>0</v>
      </c>
      <c r="R41" s="2">
        <f ca="1"/>
        <v>97981.162617754191</v>
      </c>
      <c r="S41" s="2">
        <f ca="1"/>
        <v>0</v>
      </c>
    </row>
    <row r="42" spans="2:19" x14ac:dyDescent="0.25">
      <c r="B42" s="2">
        <f ca="1"/>
        <v>5</v>
      </c>
      <c r="C42" s="2">
        <f ca="1"/>
        <v>2</v>
      </c>
      <c r="D42" s="2" t="str">
        <f ca="1"/>
        <v>Igen</v>
      </c>
      <c r="E42" s="2">
        <f ca="1"/>
        <v>750000</v>
      </c>
      <c r="F42" s="2">
        <f ca="1"/>
        <v>500000</v>
      </c>
      <c r="G42" s="2">
        <f ca="1"/>
        <v>1250000</v>
      </c>
      <c r="H42" s="2">
        <f ca="1"/>
        <v>6566406.1337771481</v>
      </c>
      <c r="I42" s="2">
        <f ca="1"/>
        <v>5950680.8021235196</v>
      </c>
      <c r="J42" s="2">
        <f ca="1"/>
        <v>7042159.569745969</v>
      </c>
      <c r="K42" s="2">
        <f ca="1"/>
        <v>5.5923122309274806E-2</v>
      </c>
      <c r="L42" s="2">
        <f ca="1"/>
        <v>3901499.9711593925</v>
      </c>
      <c r="M42" s="2">
        <f ca="1"/>
        <v>2500000</v>
      </c>
      <c r="N42" s="2">
        <f ca="1"/>
        <v>6401499.971159393</v>
      </c>
      <c r="O42" s="2">
        <f ca="1"/>
        <v>0</v>
      </c>
      <c r="P42" s="2">
        <f ca="1"/>
        <v>0</v>
      </c>
      <c r="Q42" s="2">
        <f ca="1"/>
        <v>0</v>
      </c>
      <c r="R42" s="2">
        <f ca="1"/>
        <v>164906.16261775512</v>
      </c>
      <c r="S42" s="2">
        <f ca="1"/>
        <v>0</v>
      </c>
    </row>
    <row r="43" spans="2:19" x14ac:dyDescent="0.25">
      <c r="B43" s="2">
        <f ca="1"/>
        <v>6</v>
      </c>
      <c r="C43" s="2">
        <f ca="1"/>
        <v>2.5</v>
      </c>
      <c r="D43" s="2" t="str">
        <f ca="1"/>
        <v>Igen</v>
      </c>
      <c r="E43" s="2">
        <f ca="1"/>
        <v>750000</v>
      </c>
      <c r="F43" s="2">
        <f ca="1"/>
        <v>500000</v>
      </c>
      <c r="G43" s="2">
        <f ca="1"/>
        <v>1250000</v>
      </c>
      <c r="H43" s="2">
        <f ca="1"/>
        <v>7978564.0362109561</v>
      </c>
      <c r="I43" s="2">
        <f ca="1"/>
        <v>7272488.5928865196</v>
      </c>
      <c r="J43" s="2">
        <f ca="1"/>
        <v>8685979.1206863038</v>
      </c>
      <c r="K43" s="2">
        <f ca="1"/>
        <v>4.764861709330237E-2</v>
      </c>
      <c r="L43" s="2">
        <f ca="1"/>
        <v>4728764.8970446866</v>
      </c>
      <c r="M43" s="2">
        <f ca="1"/>
        <v>3000000</v>
      </c>
      <c r="N43" s="2">
        <f ca="1"/>
        <v>7728764.8970446866</v>
      </c>
      <c r="O43" s="2">
        <f ca="1"/>
        <v>0</v>
      </c>
      <c r="P43" s="2">
        <f ca="1"/>
        <v>0</v>
      </c>
      <c r="Q43" s="2">
        <f ca="1"/>
        <v>0</v>
      </c>
      <c r="R43" s="2">
        <f ca="1"/>
        <v>249799.13916626945</v>
      </c>
      <c r="S43" s="2">
        <f ca="1"/>
        <v>0</v>
      </c>
    </row>
    <row r="44" spans="2:19" x14ac:dyDescent="0.25">
      <c r="B44" s="2">
        <f ca="1"/>
        <v>7</v>
      </c>
      <c r="C44" s="2">
        <f ca="1"/>
        <v>3</v>
      </c>
      <c r="D44" s="2" t="str">
        <f ca="1"/>
        <v>Igen</v>
      </c>
      <c r="E44" s="2">
        <f ca="1"/>
        <v>750000</v>
      </c>
      <c r="F44" s="2">
        <f ca="1"/>
        <v>500000</v>
      </c>
      <c r="G44" s="2">
        <f ca="1"/>
        <v>1250000</v>
      </c>
      <c r="H44" s="2">
        <f ca="1"/>
        <v>9425595.2862109579</v>
      </c>
      <c r="I44" s="2">
        <f ca="1"/>
        <v>8641380.3078852929</v>
      </c>
      <c r="J44" s="2">
        <f ca="1"/>
        <v>10349854.013888305</v>
      </c>
      <c r="K44" s="2">
        <f ca="1"/>
        <v>4.240042945793196E-2</v>
      </c>
      <c r="L44" s="2">
        <f ca="1"/>
        <v>5572412.8970446866</v>
      </c>
      <c r="M44" s="2">
        <f ca="1"/>
        <v>3500000</v>
      </c>
      <c r="N44" s="2">
        <f ca="1"/>
        <v>9072412.8970446866</v>
      </c>
      <c r="O44" s="2">
        <f ca="1"/>
        <v>0</v>
      </c>
      <c r="P44" s="2">
        <f ca="1"/>
        <v>0</v>
      </c>
      <c r="Q44" s="2">
        <f ca="1"/>
        <v>0</v>
      </c>
      <c r="R44" s="2">
        <f ca="1"/>
        <v>353182.38916627131</v>
      </c>
      <c r="S44" s="2">
        <f ca="1"/>
        <v>0</v>
      </c>
    </row>
    <row r="45" spans="2:19" x14ac:dyDescent="0.25">
      <c r="B45" s="2">
        <f ca="1"/>
        <v>8</v>
      </c>
      <c r="C45" s="2">
        <f ca="1"/>
        <v>3.5</v>
      </c>
      <c r="D45" s="2" t="str">
        <f ca="1"/>
        <v>Igen</v>
      </c>
      <c r="E45" s="2">
        <f ca="1"/>
        <v>750000</v>
      </c>
      <c r="F45" s="2">
        <f ca="1"/>
        <v>500000</v>
      </c>
      <c r="G45" s="2">
        <f ca="1"/>
        <v>1250000</v>
      </c>
      <c r="H45" s="2">
        <f ca="1"/>
        <v>10908361.083766457</v>
      </c>
      <c r="I45" s="2">
        <f ca="1"/>
        <v>10058805.442062514</v>
      </c>
      <c r="J45" s="2">
        <f ca="1"/>
        <v>12038692.268904069</v>
      </c>
      <c r="K45" s="2">
        <f ca="1"/>
        <v>4.3541266351612547E-2</v>
      </c>
      <c r="L45" s="2">
        <f ca="1"/>
        <v>6432768.419965392</v>
      </c>
      <c r="M45" s="2">
        <f ca="1"/>
        <v>4000000</v>
      </c>
      <c r="N45" s="2">
        <f ca="1"/>
        <v>10432768.419965392</v>
      </c>
      <c r="O45" s="2">
        <f ca="1"/>
        <v>0</v>
      </c>
      <c r="P45" s="2">
        <f ca="1"/>
        <v>0</v>
      </c>
      <c r="Q45" s="2">
        <f ca="1"/>
        <v>0</v>
      </c>
      <c r="R45" s="2">
        <f ca="1"/>
        <v>475592.66380106471</v>
      </c>
      <c r="S45" s="2">
        <f ca="1"/>
        <v>0</v>
      </c>
    </row>
    <row r="46" spans="2:19" x14ac:dyDescent="0.25">
      <c r="B46" s="2">
        <f ca="1"/>
        <v>9</v>
      </c>
      <c r="C46" s="2">
        <f ca="1"/>
        <v>4</v>
      </c>
      <c r="D46" s="2" t="str">
        <f ca="1"/>
        <v>Igen</v>
      </c>
      <c r="E46" s="2">
        <f ca="1"/>
        <v>750000</v>
      </c>
      <c r="F46" s="2">
        <f ca="1"/>
        <v>500000</v>
      </c>
      <c r="G46" s="2">
        <f ca="1"/>
        <v>1250000</v>
      </c>
      <c r="H46" s="2">
        <f ca="1"/>
        <v>12427743.896266459</v>
      </c>
      <c r="I46" s="2">
        <f ca="1"/>
        <v>11526256.031965725</v>
      </c>
      <c r="J46" s="2">
        <f ca="1"/>
        <v>13812872.175509522</v>
      </c>
      <c r="K46" s="2">
        <f ca="1"/>
        <v>4.8519473154405746E-2</v>
      </c>
      <c r="L46" s="2">
        <f ca="1"/>
        <v>7310162.3399653928</v>
      </c>
      <c r="M46" s="2">
        <f ca="1"/>
        <v>4500000</v>
      </c>
      <c r="N46" s="2">
        <f ca="1"/>
        <v>11810162.339965392</v>
      </c>
      <c r="O46" s="2">
        <f ca="1"/>
        <v>0</v>
      </c>
      <c r="P46" s="2">
        <f ca="1"/>
        <v>0</v>
      </c>
      <c r="Q46" s="2">
        <f ca="1"/>
        <v>0</v>
      </c>
      <c r="R46" s="2">
        <f ca="1"/>
        <v>617581.55630106665</v>
      </c>
      <c r="S46" s="2">
        <f ca="1"/>
        <v>0</v>
      </c>
    </row>
    <row r="47" spans="2:19" x14ac:dyDescent="0.25">
      <c r="B47" s="2">
        <f ca="1"/>
        <v>10</v>
      </c>
      <c r="C47" s="2">
        <f ca="1"/>
        <v>4.5</v>
      </c>
      <c r="D47" s="2" t="str">
        <f ca="1"/>
        <v>Igen</v>
      </c>
      <c r="E47" s="2">
        <f ca="1"/>
        <v>750000</v>
      </c>
      <c r="F47" s="2">
        <f ca="1"/>
        <v>500000</v>
      </c>
      <c r="G47" s="2">
        <f ca="1"/>
        <v>1250000</v>
      </c>
      <c r="H47" s="2">
        <f ca="1"/>
        <v>13984647.983699732</v>
      </c>
      <c r="I47" s="2">
        <f ca="1"/>
        <v>13045267.871306211</v>
      </c>
      <c r="J47" s="2">
        <f ca="1"/>
        <v>15733065.456214393</v>
      </c>
      <c r="K47" s="2">
        <f ca="1"/>
        <v>4.72816579423921E-2</v>
      </c>
      <c r="L47" s="2">
        <f ca="1"/>
        <v>8204932.0838029264</v>
      </c>
      <c r="M47" s="2">
        <f ca="1"/>
        <v>5000000</v>
      </c>
      <c r="N47" s="2">
        <f ca="1"/>
        <v>13204932.083802927</v>
      </c>
      <c r="O47" s="2">
        <f ca="1"/>
        <v>0</v>
      </c>
      <c r="P47" s="2">
        <f ca="1"/>
        <v>0</v>
      </c>
      <c r="Q47" s="2">
        <f ca="1"/>
        <v>0</v>
      </c>
      <c r="R47" s="2">
        <f ca="1"/>
        <v>779715.89989680424</v>
      </c>
      <c r="S47" s="2">
        <f ca="1"/>
        <v>0</v>
      </c>
    </row>
    <row r="48" spans="2:19" x14ac:dyDescent="0.25">
      <c r="B48" s="2">
        <f ca="1"/>
        <v>11</v>
      </c>
      <c r="C48" s="2">
        <f ca="1"/>
        <v>5</v>
      </c>
      <c r="D48" s="2" t="str">
        <f ca="1"/>
        <v>Nem</v>
      </c>
      <c r="E48" s="2">
        <f ca="1"/>
        <v>0</v>
      </c>
      <c r="F48" s="2">
        <f ca="1"/>
        <v>0</v>
      </c>
      <c r="G48" s="2">
        <f ca="1"/>
        <v>0</v>
      </c>
      <c r="H48" s="2">
        <f ca="1"/>
        <v>13309999.936824733</v>
      </c>
      <c r="I48" s="2">
        <f ca="1"/>
        <v>12347421.760602932</v>
      </c>
      <c r="J48" s="2">
        <f ca="1"/>
        <v>15456950.875500385</v>
      </c>
      <c r="K48" s="2">
        <f ca="1"/>
        <v>5.913776487770972E-2</v>
      </c>
      <c r="L48" s="2">
        <f ca="1"/>
        <v>8007421.7606029268</v>
      </c>
      <c r="M48" s="2">
        <f ca="1"/>
        <v>4340000</v>
      </c>
      <c r="N48" s="2">
        <f ca="1"/>
        <v>12347421.760602927</v>
      </c>
      <c r="O48" s="2">
        <f ca="1"/>
        <v>360000</v>
      </c>
      <c r="P48" s="2">
        <f ca="1"/>
        <v>660000</v>
      </c>
      <c r="Q48" s="2">
        <f ca="1"/>
        <v>1020000</v>
      </c>
      <c r="R48" s="2">
        <f ca="1"/>
        <v>962578.17622180656</v>
      </c>
      <c r="S48" s="2">
        <f ca="1"/>
        <v>0</v>
      </c>
    </row>
    <row r="49" spans="2:19" x14ac:dyDescent="0.25">
      <c r="B49" s="2">
        <f ca="1"/>
        <v>12</v>
      </c>
      <c r="C49" s="2">
        <f ca="1"/>
        <v>5.5</v>
      </c>
      <c r="D49" s="2" t="str">
        <f ca="1"/>
        <v>Nem</v>
      </c>
      <c r="E49" s="2">
        <f ca="1"/>
        <v>0</v>
      </c>
      <c r="F49" s="2">
        <f ca="1"/>
        <v>0</v>
      </c>
      <c r="G49" s="2">
        <f ca="1"/>
        <v>0</v>
      </c>
      <c r="H49" s="2">
        <f ca="1"/>
        <v>12618691.404756842</v>
      </c>
      <c r="I49" s="2">
        <f ca="1"/>
        <v>11632342.286743645</v>
      </c>
      <c r="J49" s="2">
        <f ca="1"/>
        <v>15351040.402102038</v>
      </c>
      <c r="K49" s="2">
        <f ca="1"/>
        <v>3.698218356778489E-2</v>
      </c>
      <c r="L49" s="2">
        <f ca="1"/>
        <v>7805999.9621763639</v>
      </c>
      <c r="M49" s="2">
        <f ca="1"/>
        <v>3680000</v>
      </c>
      <c r="N49" s="2">
        <f ca="1"/>
        <v>11485999.962176364</v>
      </c>
      <c r="O49" s="2">
        <f ca="1"/>
        <v>360000</v>
      </c>
      <c r="P49" s="2">
        <f ca="1"/>
        <v>660000</v>
      </c>
      <c r="Q49" s="2">
        <f ca="1"/>
        <v>1020000</v>
      </c>
      <c r="R49" s="2">
        <f ca="1"/>
        <v>1132691.4425804783</v>
      </c>
      <c r="S49" s="2">
        <f ca="1"/>
        <v>0</v>
      </c>
    </row>
    <row r="50" spans="2:19" x14ac:dyDescent="0.25">
      <c r="B50" s="2">
        <f ca="1"/>
        <v>13</v>
      </c>
      <c r="C50" s="2">
        <f ca="1"/>
        <v>6</v>
      </c>
      <c r="D50" s="2" t="str">
        <f ca="1"/>
        <v>Nem</v>
      </c>
      <c r="E50" s="2">
        <f ca="1"/>
        <v>0</v>
      </c>
      <c r="F50" s="2">
        <f ca="1"/>
        <v>0</v>
      </c>
      <c r="G50" s="2">
        <f ca="1"/>
        <v>0</v>
      </c>
      <c r="H50" s="2">
        <f ca="1"/>
        <v>12030310.955538094</v>
      </c>
      <c r="I50" s="2">
        <f ca="1"/>
        <v>11019603.870505203</v>
      </c>
      <c r="J50" s="2">
        <f ca="1"/>
        <v>15018755.396209057</v>
      </c>
      <c r="K50" s="2">
        <f ca="1"/>
        <v>4.6516240526584131E-2</v>
      </c>
      <c r="L50" s="2">
        <f ca="1"/>
        <v>7600589.2260483643</v>
      </c>
      <c r="M50" s="2">
        <f ca="1"/>
        <v>3140000</v>
      </c>
      <c r="N50" s="2">
        <f ca="1"/>
        <v>10740589.226048365</v>
      </c>
      <c r="O50" s="2">
        <f ca="1"/>
        <v>360000</v>
      </c>
      <c r="P50" s="2">
        <f ca="1"/>
        <v>540000</v>
      </c>
      <c r="Q50" s="2">
        <f ca="1"/>
        <v>900000</v>
      </c>
      <c r="R50" s="2">
        <f ca="1"/>
        <v>1289721.7294897288</v>
      </c>
      <c r="S50" s="2">
        <f ca="1"/>
        <v>0</v>
      </c>
    </row>
    <row r="51" spans="2:19" x14ac:dyDescent="0.25">
      <c r="B51" s="2">
        <f ca="1"/>
        <v>14</v>
      </c>
      <c r="C51" s="2">
        <f ca="1"/>
        <v>6.5</v>
      </c>
      <c r="D51" s="2" t="str">
        <f ca="1"/>
        <v>Nem</v>
      </c>
      <c r="E51" s="2">
        <f ca="1"/>
        <v>0</v>
      </c>
      <c r="F51" s="2">
        <f ca="1"/>
        <v>0</v>
      </c>
      <c r="G51" s="2">
        <f ca="1"/>
        <v>0</v>
      </c>
      <c r="H51" s="2">
        <f ca="1"/>
        <v>11427400.406058323</v>
      </c>
      <c r="I51" s="2">
        <f ca="1"/>
        <v>10391733.832144465</v>
      </c>
      <c r="J51" s="2">
        <f ca="1"/>
        <v>14817371.434629053</v>
      </c>
      <c r="K51" s="2">
        <f ca="1"/>
        <v>4.6607031700569339E-2</v>
      </c>
      <c r="L51" s="2">
        <f ca="1"/>
        <v>7391110.5556847388</v>
      </c>
      <c r="M51" s="2">
        <f ca="1"/>
        <v>2600000</v>
      </c>
      <c r="N51" s="2">
        <f ca="1"/>
        <v>9991110.5556847379</v>
      </c>
      <c r="O51" s="2">
        <f ca="1"/>
        <v>360000</v>
      </c>
      <c r="P51" s="2">
        <f ca="1"/>
        <v>540000</v>
      </c>
      <c r="Q51" s="2">
        <f ca="1"/>
        <v>900000</v>
      </c>
      <c r="R51" s="2">
        <f ca="1"/>
        <v>1436289.8503735848</v>
      </c>
      <c r="S51" s="2">
        <f ca="1"/>
        <v>0</v>
      </c>
    </row>
    <row r="52" spans="2:19" x14ac:dyDescent="0.25">
      <c r="B52" s="2">
        <f ca="1"/>
        <v>15</v>
      </c>
      <c r="C52" s="2">
        <f ca="1"/>
        <v>7</v>
      </c>
      <c r="D52" s="2" t="str">
        <f ca="1"/>
        <v>Nem</v>
      </c>
      <c r="E52" s="2">
        <f ca="1"/>
        <v>0</v>
      </c>
      <c r="F52" s="2">
        <f ca="1"/>
        <v>0</v>
      </c>
      <c r="G52" s="2">
        <f ca="1"/>
        <v>0</v>
      </c>
      <c r="H52" s="2">
        <f ca="1"/>
        <v>10929600.934378637</v>
      </c>
      <c r="I52" s="2">
        <f ca="1"/>
        <v>9868358.4950941019</v>
      </c>
      <c r="J52" s="2">
        <f ca="1"/>
        <v>14727965.134801921</v>
      </c>
      <c r="K52" s="2">
        <f ca="1"/>
        <v>3.5687603271442409E-2</v>
      </c>
      <c r="L52" s="2">
        <f ca="1"/>
        <v>7177483.3901116196</v>
      </c>
      <c r="M52" s="2">
        <f ca="1"/>
        <v>2180000</v>
      </c>
      <c r="N52" s="2">
        <f ca="1"/>
        <v>9357483.3901116196</v>
      </c>
      <c r="O52" s="2">
        <f ca="1"/>
        <v>360000</v>
      </c>
      <c r="P52" s="2">
        <f ca="1"/>
        <v>420000</v>
      </c>
      <c r="Q52" s="2">
        <f ca="1"/>
        <v>780000</v>
      </c>
      <c r="R52" s="2">
        <f ca="1"/>
        <v>1572117.5442670174</v>
      </c>
      <c r="S52" s="2">
        <f ca="1"/>
        <v>0</v>
      </c>
    </row>
    <row r="53" spans="2:19" x14ac:dyDescent="0.25">
      <c r="B53" s="2">
        <f ca="1"/>
        <v>16</v>
      </c>
      <c r="C53" s="2">
        <f ca="1"/>
        <v>7.5</v>
      </c>
      <c r="D53" s="2" t="str">
        <f ca="1"/>
        <v>Nem</v>
      </c>
      <c r="E53" s="2">
        <f ca="1"/>
        <v>0</v>
      </c>
      <c r="F53" s="2">
        <f ca="1"/>
        <v>0</v>
      </c>
      <c r="G53" s="2">
        <f ca="1"/>
        <v>0</v>
      </c>
      <c r="H53" s="2">
        <f ca="1"/>
        <v>10419508.266616393</v>
      </c>
      <c r="I53" s="2">
        <f ca="1"/>
        <v>9332058.3640068434</v>
      </c>
      <c r="J53" s="2">
        <f ca="1"/>
        <v>14473570.911528368</v>
      </c>
      <c r="K53" s="2">
        <f ca="1"/>
        <v>6.3047375761273033E-2</v>
      </c>
      <c r="L53" s="2">
        <f ca="1"/>
        <v>6959625.5729334494</v>
      </c>
      <c r="M53" s="2">
        <f ca="1"/>
        <v>1760000</v>
      </c>
      <c r="N53" s="2">
        <f ca="1"/>
        <v>8719625.5729334503</v>
      </c>
      <c r="O53" s="2">
        <f ca="1"/>
        <v>360000</v>
      </c>
      <c r="P53" s="2">
        <f ca="1"/>
        <v>420000</v>
      </c>
      <c r="Q53" s="2">
        <f ca="1"/>
        <v>780000</v>
      </c>
      <c r="R53" s="2">
        <f ca="1"/>
        <v>1699882.6936829425</v>
      </c>
      <c r="S53" s="2">
        <f ca="1"/>
        <v>0</v>
      </c>
    </row>
    <row r="54" spans="2:19" x14ac:dyDescent="0.25">
      <c r="B54" s="2">
        <f ca="1"/>
        <v>17</v>
      </c>
      <c r="C54" s="2">
        <f ca="1"/>
        <v>8</v>
      </c>
      <c r="D54" s="2" t="str">
        <f ca="1"/>
        <v>Nem</v>
      </c>
      <c r="E54" s="2">
        <f ca="1"/>
        <v>0</v>
      </c>
      <c r="F54" s="2">
        <f ca="1"/>
        <v>0</v>
      </c>
      <c r="G54" s="2">
        <f ca="1"/>
        <v>0</v>
      </c>
      <c r="H54" s="2">
        <f ca="1"/>
        <v>10016818.821352722</v>
      </c>
      <c r="I54" s="2">
        <f ca="1"/>
        <v>8902514.2601039615</v>
      </c>
      <c r="J54" s="2">
        <f ca="1"/>
        <v>14726091.575394928</v>
      </c>
      <c r="K54" s="2">
        <f ca="1"/>
        <v>5.1858260919467727E-2</v>
      </c>
      <c r="L54" s="2">
        <f ca="1"/>
        <v>6737453.3207374047</v>
      </c>
      <c r="M54" s="2">
        <f ca="1"/>
        <v>1460000</v>
      </c>
      <c r="N54" s="2">
        <f ca="1"/>
        <v>8197453.3207374047</v>
      </c>
      <c r="O54" s="2">
        <f ca="1"/>
        <v>360000</v>
      </c>
      <c r="P54" s="2">
        <f ca="1"/>
        <v>300000</v>
      </c>
      <c r="Q54" s="2">
        <f ca="1"/>
        <v>660000</v>
      </c>
      <c r="R54" s="2">
        <f ca="1"/>
        <v>1819365.5006153174</v>
      </c>
      <c r="S54" s="2">
        <f ca="1"/>
        <v>0</v>
      </c>
    </row>
    <row r="55" spans="2:19" x14ac:dyDescent="0.25">
      <c r="B55" s="2">
        <f ca="1"/>
        <v>18</v>
      </c>
      <c r="C55" s="2">
        <f ca="1"/>
        <v>8.5</v>
      </c>
      <c r="D55" s="2" t="str">
        <f ca="1"/>
        <v>Nem</v>
      </c>
      <c r="E55" s="2">
        <f ca="1"/>
        <v>0</v>
      </c>
      <c r="F55" s="2">
        <f ca="1"/>
        <v>0</v>
      </c>
      <c r="G55" s="2">
        <f ca="1"/>
        <v>0</v>
      </c>
      <c r="H55" s="2">
        <f ca="1"/>
        <v>9604184.9293938801</v>
      </c>
      <c r="I55" s="2">
        <f ca="1"/>
        <v>8462362.531653855</v>
      </c>
      <c r="J55" s="2">
        <f ca="1"/>
        <v>14829761.074635735</v>
      </c>
      <c r="K55" s="2">
        <f ca="1"/>
        <v>5.9015933249955355E-2</v>
      </c>
      <c r="L55" s="2">
        <f ca="1"/>
        <v>6510881.1908721076</v>
      </c>
      <c r="M55" s="2">
        <f ca="1"/>
        <v>1160000</v>
      </c>
      <c r="N55" s="2">
        <f ca="1"/>
        <v>7670881.1908721076</v>
      </c>
      <c r="O55" s="2">
        <f ca="1"/>
        <v>360000</v>
      </c>
      <c r="P55" s="2">
        <f ca="1"/>
        <v>300000</v>
      </c>
      <c r="Q55" s="2">
        <f ca="1"/>
        <v>660000</v>
      </c>
      <c r="R55" s="2">
        <f ca="1"/>
        <v>1933303.7385217724</v>
      </c>
      <c r="S55" s="2">
        <f ca="1"/>
        <v>0</v>
      </c>
    </row>
    <row r="56" spans="2:19" x14ac:dyDescent="0.25">
      <c r="B56" s="2">
        <f ca="1"/>
        <v>19</v>
      </c>
      <c r="C56" s="2">
        <f ca="1"/>
        <v>9</v>
      </c>
      <c r="D56" s="2" t="str">
        <f ca="1"/>
        <v>Nem</v>
      </c>
      <c r="E56" s="2">
        <f ca="1"/>
        <v>0</v>
      </c>
      <c r="F56" s="2">
        <f ca="1"/>
        <v>0</v>
      </c>
      <c r="G56" s="2">
        <f ca="1"/>
        <v>0</v>
      </c>
      <c r="H56" s="2">
        <f ca="1"/>
        <v>9181361.0118670259</v>
      </c>
      <c r="I56" s="2">
        <f ca="1"/>
        <v>8011341.2225558292</v>
      </c>
      <c r="J56" s="2">
        <f ca="1"/>
        <v>15044953.264329223</v>
      </c>
      <c r="K56" s="2">
        <f ca="1"/>
        <v>3.7300356401950119E-2</v>
      </c>
      <c r="L56" s="2">
        <f ca="1"/>
        <v>6279822.0485882219</v>
      </c>
      <c r="M56" s="2">
        <f ca="1"/>
        <v>860000</v>
      </c>
      <c r="N56" s="2">
        <f ca="1"/>
        <v>7139822.0485882219</v>
      </c>
      <c r="O56" s="2">
        <f ca="1"/>
        <v>360000</v>
      </c>
      <c r="P56" s="2">
        <f ca="1"/>
        <v>300000</v>
      </c>
      <c r="Q56" s="2">
        <f ca="1"/>
        <v>660000</v>
      </c>
      <c r="R56" s="2">
        <f ca="1"/>
        <v>2041538.963278804</v>
      </c>
      <c r="S56" s="2">
        <f ca="1"/>
        <v>0</v>
      </c>
    </row>
    <row r="57" spans="2:19" x14ac:dyDescent="0.25">
      <c r="B57" s="2">
        <f ca="1"/>
        <v>20</v>
      </c>
      <c r="C57" s="2">
        <f ca="1"/>
        <v>9.5</v>
      </c>
      <c r="D57" s="2" t="str">
        <f ca="1"/>
        <v>Nem</v>
      </c>
      <c r="E57" s="2">
        <f ca="1"/>
        <v>0</v>
      </c>
      <c r="F57" s="2">
        <f ca="1"/>
        <v>0</v>
      </c>
      <c r="G57" s="2">
        <f ca="1"/>
        <v>0</v>
      </c>
      <c r="H57" s="2">
        <f ca="1"/>
        <v>8808095.4253102429</v>
      </c>
      <c r="I57" s="2">
        <f ca="1"/>
        <v>7609181.907683217</v>
      </c>
      <c r="J57" s="2">
        <f ca="1"/>
        <v>15006135.383139385</v>
      </c>
      <c r="K57" s="2">
        <f ca="1"/>
        <v>4.6756713112727125E-2</v>
      </c>
      <c r="L57" s="2">
        <f ca="1"/>
        <v>6044187.0335283121</v>
      </c>
      <c r="M57" s="2">
        <f ca="1"/>
        <v>620000</v>
      </c>
      <c r="N57" s="2">
        <f ca="1"/>
        <v>6664187.0335283121</v>
      </c>
      <c r="O57" s="2">
        <f ca="1"/>
        <v>360000</v>
      </c>
      <c r="P57" s="2">
        <f ca="1"/>
        <v>240000</v>
      </c>
      <c r="Q57" s="2">
        <f ca="1"/>
        <v>600000</v>
      </c>
      <c r="R57" s="2">
        <f ca="1"/>
        <v>2143908.3917819308</v>
      </c>
      <c r="S57" s="2">
        <f ca="1"/>
        <v>0</v>
      </c>
    </row>
    <row r="58" spans="2:19" x14ac:dyDescent="0.25">
      <c r="B58" s="2">
        <f ca="1"/>
        <v>21</v>
      </c>
      <c r="C58" s="2">
        <f ca="1"/>
        <v>10</v>
      </c>
      <c r="D58" s="2" t="str">
        <f ca="1"/>
        <v>Nem</v>
      </c>
      <c r="E58" s="2">
        <f ca="1"/>
        <v>0</v>
      </c>
      <c r="F58" s="2">
        <f ca="1"/>
        <v>0</v>
      </c>
      <c r="G58" s="2">
        <f ca="1"/>
        <v>0</v>
      </c>
      <c r="H58" s="2">
        <f ca="1"/>
        <v>2241726.4909497323</v>
      </c>
      <c r="I58" s="2">
        <f ca="1"/>
        <v>1013205.7121729758</v>
      </c>
      <c r="J58" s="2">
        <f ca="1"/>
        <v>8923887.4246265069</v>
      </c>
      <c r="K58" s="2">
        <f ca="1"/>
        <v>4.4876733403993889E-2</v>
      </c>
      <c r="L58" s="2">
        <f ca="1"/>
        <v>0</v>
      </c>
      <c r="M58" s="2">
        <f ca="1"/>
        <v>0</v>
      </c>
      <c r="N58" s="2">
        <f ca="1"/>
        <v>0</v>
      </c>
      <c r="O58" s="2">
        <f ca="1"/>
        <v>6163885.5255530709</v>
      </c>
      <c r="P58" s="2">
        <f ca="1"/>
        <v>620000</v>
      </c>
      <c r="Q58" s="2">
        <f ca="1"/>
        <v>6783885.5255530709</v>
      </c>
      <c r="R58" s="2">
        <f ca="1"/>
        <v>2241726.4909497323</v>
      </c>
      <c r="S58" s="2">
        <f ca="1"/>
        <v>0</v>
      </c>
    </row>
  </sheetData>
  <mergeCells count="2">
    <mergeCell ref="B2:J2"/>
    <mergeCell ref="L2:M2"/>
  </mergeCells>
  <phoneticPr fontId="2" type="noConversion"/>
  <dataValidations count="2">
    <dataValidation type="list" allowBlank="1" showInputMessage="1" showErrorMessage="1" sqref="J4" xr:uid="{8892AB68-B83C-4C34-973B-0BF99A5EC572}">
      <formula1>IgenNem</formula1>
    </dataValidation>
    <dataValidation type="list" allowBlank="1" showInputMessage="1" showErrorMessage="1" sqref="D4" xr:uid="{F595DAAA-F54E-4DE8-A77F-FEE7EBB38364}">
      <formula1>Stratégiák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3369-CADC-4A25-919A-4390111893D5}">
  <dimension ref="A1:S207"/>
  <sheetViews>
    <sheetView workbookViewId="0">
      <selection activeCell="V9" sqref="V9"/>
    </sheetView>
  </sheetViews>
  <sheetFormatPr defaultRowHeight="15" x14ac:dyDescent="0.25"/>
  <cols>
    <col min="2" max="2" width="10.140625" bestFit="1" customWidth="1"/>
    <col min="3" max="3" width="9.5703125" bestFit="1" customWidth="1"/>
    <col min="4" max="4" width="8.42578125" bestFit="1" customWidth="1"/>
    <col min="5" max="6" width="7" bestFit="1" customWidth="1"/>
    <col min="8" max="10" width="12" bestFit="1" customWidth="1"/>
    <col min="11" max="11" width="17.85546875" bestFit="1" customWidth="1"/>
    <col min="12" max="13" width="12.5703125" bestFit="1" customWidth="1"/>
    <col min="14" max="14" width="15.42578125" bestFit="1" customWidth="1"/>
    <col min="15" max="16" width="12.5703125" bestFit="1" customWidth="1"/>
    <col min="17" max="17" width="16.28515625" bestFit="1" customWidth="1"/>
    <col min="18" max="18" width="15.28515625" bestFit="1" customWidth="1"/>
    <col min="19" max="19" width="12" bestFit="1" customWidth="1"/>
  </cols>
  <sheetData>
    <row r="1" spans="1:19" x14ac:dyDescent="0.25">
      <c r="A1" t="s">
        <v>12</v>
      </c>
      <c r="B1" t="s">
        <v>5</v>
      </c>
    </row>
    <row r="2" spans="1:19" x14ac:dyDescent="0.25">
      <c r="A2" t="s">
        <v>13</v>
      </c>
      <c r="B2" t="s">
        <v>6</v>
      </c>
    </row>
    <row r="3" spans="1:19" x14ac:dyDescent="0.25">
      <c r="B3" t="s">
        <v>7</v>
      </c>
      <c r="L3">
        <f>L4*SQRT(1+r_f)^2</f>
        <v>750707.51532540494</v>
      </c>
      <c r="M3">
        <f>M4*SQRT(1+r_f)^2</f>
        <v>411351.23739594105</v>
      </c>
    </row>
    <row r="4" spans="1:19" x14ac:dyDescent="0.25">
      <c r="J4">
        <f>I7*SQRT(1+k)</f>
        <v>1128640.0487747495</v>
      </c>
      <c r="L4">
        <f>E7*((1+k)/(1+r_f))^(Félévek_száma/2)</f>
        <v>714959.53840514738</v>
      </c>
      <c r="M4">
        <f>F7/(1+r_f)^(Félévek_száma/2)</f>
        <v>391763.08323422947</v>
      </c>
    </row>
    <row r="6" spans="1:19" ht="15.75" thickBot="1" x14ac:dyDescent="0.3">
      <c r="B6" s="1" t="s">
        <v>2</v>
      </c>
      <c r="C6" s="1" t="s">
        <v>31</v>
      </c>
      <c r="D6" s="1" t="s">
        <v>4</v>
      </c>
      <c r="E6" s="1" t="s">
        <v>0</v>
      </c>
      <c r="F6" s="1" t="s">
        <v>1</v>
      </c>
      <c r="G6" s="1" t="s">
        <v>3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14</v>
      </c>
      <c r="M6" s="1" t="s">
        <v>16</v>
      </c>
      <c r="N6" s="1" t="s">
        <v>17</v>
      </c>
      <c r="O6" s="1" t="s">
        <v>19</v>
      </c>
      <c r="P6" s="1" t="s">
        <v>18</v>
      </c>
      <c r="Q6" s="1" t="s">
        <v>30</v>
      </c>
      <c r="R6" s="1" t="s">
        <v>29</v>
      </c>
      <c r="S6" s="1" t="s">
        <v>33</v>
      </c>
    </row>
    <row r="7" spans="1:19" ht="15.75" thickTop="1" x14ac:dyDescent="0.25">
      <c r="B7">
        <v>1</v>
      </c>
      <c r="C7">
        <f>B7/2-0.5</f>
        <v>0</v>
      </c>
      <c r="D7" t="str">
        <f>IF(Diákhitel!$B$4&gt;=B7, "Igen", "Nem")</f>
        <v>Igen</v>
      </c>
      <c r="E7">
        <f>IF(D7="Igen",Diákhitel!$I$4,0)</f>
        <v>750000</v>
      </c>
      <c r="F7">
        <f>IF(Diákhitel!$J$4="Igen", IF(D7="Igen",Diákhitel!$E$4,0), 0)</f>
        <v>500000</v>
      </c>
      <c r="G7">
        <f>E7+F7</f>
        <v>1250000</v>
      </c>
      <c r="H7">
        <f>G7</f>
        <v>1250000</v>
      </c>
      <c r="I7">
        <f>E7*((1+k)/(1+r_f))^(Félévek_száma/2)+F7/(1+r_f)^(Félévek_száma/2)</f>
        <v>1106722.621639377</v>
      </c>
      <c r="J7">
        <f>H7</f>
        <v>1250000</v>
      </c>
      <c r="K7">
        <f ca="1">_xlfn.NORM.INV(RAND(),Diákhitel!$L$4/2,Diákhitel!$M$4)</f>
        <v>4.3245022832231375E-2</v>
      </c>
      <c r="L7">
        <f>E7</f>
        <v>750000</v>
      </c>
      <c r="M7">
        <f>F7</f>
        <v>500000</v>
      </c>
      <c r="N7">
        <f>L7+M7</f>
        <v>1250000</v>
      </c>
      <c r="O7">
        <f>IF(D7="Igen",0,6*Diákhitel!$H$4*(0.06))</f>
        <v>0</v>
      </c>
      <c r="P7">
        <f>IF(D7="Igen",0,IF(M6=0,0,VLOOKUP(M6,Diákhitel!$R$30:$S$34,2)*Diákhitel!$H$4*6))</f>
        <v>0</v>
      </c>
      <c r="Q7">
        <f>O7+P7</f>
        <v>0</v>
      </c>
      <c r="R7">
        <f>IF(Diákhitel!$D$4="Stratégia 1",H7-N7,IF(Diákhitel!$D$4="Stratégia 2",I7-N7,J7-N7))</f>
        <v>0</v>
      </c>
      <c r="S7">
        <f>IF(Diákhitel!$D$4="Stratégia 2",H7-I7,0)</f>
        <v>0</v>
      </c>
    </row>
    <row r="8" spans="1:19" x14ac:dyDescent="0.25">
      <c r="B8">
        <v>2</v>
      </c>
      <c r="C8">
        <f>B8/2-0.5</f>
        <v>0.5</v>
      </c>
      <c r="D8" t="str">
        <f>IF(Diákhitel!$B$4&gt;=B8, "Igen", "Nem")</f>
        <v>Igen</v>
      </c>
      <c r="E8">
        <f>IF(D8="Igen",Diákhitel!$I$4,0)</f>
        <v>750000</v>
      </c>
      <c r="F8">
        <f>IF(Diákhitel!$J$4="Igen", IF(D8="Igen",Diákhitel!$E$4,0), 0)</f>
        <v>500000</v>
      </c>
      <c r="G8">
        <f>E8+F8</f>
        <v>1250000</v>
      </c>
      <c r="H8">
        <f>H7*SQRT(1+r_f)+G8-O8-P8</f>
        <v>2530868.8457449498</v>
      </c>
      <c r="I8">
        <f>I7*SQRT(1+r_f)+E8*((1+k)/(1+r_f))^(Félévek_száma/2-C8)+F8/(1+r_f)^(Félévek_száma/2-C8)-O8-P8</f>
        <v>2253879.54474576</v>
      </c>
      <c r="J8">
        <f ca="1">J7*(1+K7)+G8-O8-P8</f>
        <v>2554056.278540289</v>
      </c>
      <c r="K8">
        <f ca="1">_xlfn.NORM.INV(RAND(),Diákhitel!$L$4/2,Diákhitel!$M$4)</f>
        <v>6.3481243055812195E-2</v>
      </c>
      <c r="L8">
        <f>L7*SQRT(1+k)+E8-O8</f>
        <v>1514852.9270389178</v>
      </c>
      <c r="M8">
        <f>MAX(M7+F8-P8,0)</f>
        <v>1000000</v>
      </c>
      <c r="N8">
        <f>L8+M8</f>
        <v>2514852.9270389178</v>
      </c>
      <c r="O8">
        <f>IF(Diákhitel!$D$4="Stratégia 2",IF(AND(D8="Nem",D7="Igen"),L7*SQRT(1+k),0),IF(C8=Évek_száma,L7*SQRT(1+k),MIN(IF(D8="Igen",0,6*Diákhitel!$H$4*(0.06)),L7*SQRT(1+k))))</f>
        <v>0</v>
      </c>
      <c r="P8">
        <f>IF(Diákhitel!$D$4="Stratégia 2",IF(AND(D8="Nem",D7="Igen"),M7,0),IF(C8=Évek_száma,M7,MIN(IF(D8="Igen",0,IF(M7=0,0,VLOOKUP(M7,Diákhitel!$R$30:$S$34,2)*Diákhitel!$H$4*6)),M7)))</f>
        <v>0</v>
      </c>
      <c r="Q8">
        <f>O8+P8</f>
        <v>0</v>
      </c>
      <c r="R8">
        <f>IF(Diákhitel!$D$4="Stratégia 1",H8-N8,IF(Diákhitel!$D$4="Stratégia 2",I8-N8,J8-N8))</f>
        <v>16015.918706031982</v>
      </c>
      <c r="S8">
        <f>IF(Diákhitel!$D$4="Stratégia 2",H8-I8,0)</f>
        <v>0</v>
      </c>
    </row>
    <row r="9" spans="1:19" x14ac:dyDescent="0.25">
      <c r="B9">
        <v>3</v>
      </c>
      <c r="C9">
        <f>B9/2-0.5</f>
        <v>1</v>
      </c>
      <c r="D9" t="str">
        <f>IF(Diákhitel!$B$4&gt;=B9, "Igen", "Nem")</f>
        <v>Igen</v>
      </c>
      <c r="E9">
        <f>IF(D9="Igen",Diákhitel!$I$4,0)</f>
        <v>750000</v>
      </c>
      <c r="F9">
        <f>IF(Diákhitel!$J$4="Igen", IF(D9="Igen",Diákhitel!$E$4,0), 0)</f>
        <v>500000</v>
      </c>
      <c r="G9">
        <f>E9+F9</f>
        <v>1250000</v>
      </c>
      <c r="H9">
        <f>H8*SQRT(1+r_f)+G9-O9-P9</f>
        <v>3843368.8457449498</v>
      </c>
      <c r="I9">
        <f>I8*SQRT(1+r_f)+E9*((1+k)/(1+r_f))^(Félévek_száma/2-C9)+F9/(1+r_f)^(Félévek_száma/2-C9)-O9-P9</f>
        <v>3442724.6594886151</v>
      </c>
      <c r="J9">
        <f t="shared" ref="J9:J72" ca="1" si="0">J8*(1+K8)+G9-O9-P9</f>
        <v>3966190.9459365285</v>
      </c>
      <c r="K9">
        <f ca="1">_xlfn.NORM.INV(RAND(),Diákhitel!$L$4/2,Diákhitel!$M$4)</f>
        <v>6.6128758729982917E-2</v>
      </c>
      <c r="L9">
        <f>L8*SQRT(1+k)+E9-O9</f>
        <v>2294852.9270389178</v>
      </c>
      <c r="M9">
        <f>MAX(M8+F9-P9,0)</f>
        <v>1500000</v>
      </c>
      <c r="N9">
        <f>L9+M9</f>
        <v>3794852.9270389178</v>
      </c>
      <c r="O9">
        <f>IF(Diákhitel!$D$4="Stratégia 2",IF(AND(D9="Nem",D8="Igen"),L8*SQRT(1+k),0),IF(C9=Évek_száma,L8*SQRT(1+k),MIN(IF(D9="Igen",0,6*Diákhitel!$H$4*(0.06)),L8*SQRT(1+k))))</f>
        <v>0</v>
      </c>
      <c r="P9">
        <f>IF(Diákhitel!$D$4="Stratégia 2",IF(AND(D9="Nem",D8="Igen"),M8,0),IF(C9=Évek_száma,M8,MIN(IF(D9="Igen",0,IF(M8=0,0,VLOOKUP(M8,Diákhitel!$R$30:$S$34,2)*Diákhitel!$H$4*6)),M8)))</f>
        <v>0</v>
      </c>
      <c r="Q9">
        <f t="shared" ref="Q8:Q71" si="1">O9+P9</f>
        <v>0</v>
      </c>
      <c r="R9">
        <f>IF(Diákhitel!$D$4="Stratégia 1",H9-N9,IF(Diákhitel!$D$4="Stratégia 2",I9-N9,J9-N9))</f>
        <v>48515.918706031982</v>
      </c>
      <c r="S9">
        <f>IF(Diákhitel!$D$4="Stratégia 2",H9-I9,0)</f>
        <v>0</v>
      </c>
    </row>
    <row r="10" spans="1:19" x14ac:dyDescent="0.25">
      <c r="B10">
        <v>4</v>
      </c>
      <c r="C10">
        <f>B10/2-0.5</f>
        <v>1.5</v>
      </c>
      <c r="D10" t="str">
        <f>IF(Diákhitel!$B$4&gt;=B10, "Igen", "Nem")</f>
        <v>Igen</v>
      </c>
      <c r="E10">
        <f>IF(D10="Igen",Diákhitel!$I$4,0)</f>
        <v>750000</v>
      </c>
      <c r="F10">
        <f>IF(Diákhitel!$J$4="Igen", IF(D10="Igen",Diákhitel!$E$4,0), 0)</f>
        <v>500000</v>
      </c>
      <c r="G10">
        <f>E10+F10</f>
        <v>1250000</v>
      </c>
      <c r="H10">
        <f>H9*SQRT(1+r_f)+G10-O10-P10</f>
        <v>5188281.1337771472</v>
      </c>
      <c r="I10">
        <f>I9*SQRT(1+r_f)+E10*((1+k)/(1+r_f))^(Félévek_száma/2-C10)+F10/(1+r_f)^(Félévek_száma/2-C10)-O10-P10</f>
        <v>4674548.799867616</v>
      </c>
      <c r="J10">
        <f t="shared" ca="1" si="0"/>
        <v>5478470.2300774073</v>
      </c>
      <c r="K10">
        <f ca="1">_xlfn.NORM.INV(RAND(),Diákhitel!$L$4/2,Diákhitel!$M$4)</f>
        <v>5.7258564251453294E-2</v>
      </c>
      <c r="L10">
        <f>L9*SQRT(1+k)+E10-O10</f>
        <v>3090299.9711593925</v>
      </c>
      <c r="M10">
        <f>MAX(M9+F10-P10,0)</f>
        <v>2000000</v>
      </c>
      <c r="N10">
        <f>L10+M10</f>
        <v>5090299.971159393</v>
      </c>
      <c r="O10">
        <f>IF(Diákhitel!$D$4="Stratégia 2",IF(AND(D10="Nem",D9="Igen"),L9*SQRT(1+k),0),IF(C10=Évek_száma,L9*SQRT(1+k),MIN(IF(D10="Igen",0,6*Diákhitel!$H$4*(0.06)),L9*SQRT(1+k))))</f>
        <v>0</v>
      </c>
      <c r="P10">
        <f>IF(Diákhitel!$D$4="Stratégia 2",IF(AND(D10="Nem",D9="Igen"),M9,0),IF(C10=Évek_száma,M9,MIN(IF(D10="Igen",0,IF(M9=0,0,VLOOKUP(M9,Diákhitel!$R$30:$S$34,2)*Diákhitel!$H$4*6)),M9)))</f>
        <v>0</v>
      </c>
      <c r="Q10">
        <f t="shared" si="1"/>
        <v>0</v>
      </c>
      <c r="R10">
        <f>IF(Diákhitel!$D$4="Stratégia 1",H10-N10,IF(Diákhitel!$D$4="Stratégia 2",I10-N10,J10-N10))</f>
        <v>97981.162617754191</v>
      </c>
      <c r="S10">
        <f>IF(Diákhitel!$D$4="Stratégia 2",H10-I10,0)</f>
        <v>0</v>
      </c>
    </row>
    <row r="11" spans="1:19" x14ac:dyDescent="0.25">
      <c r="B11">
        <v>5</v>
      </c>
      <c r="C11">
        <f>B11/2-0.5</f>
        <v>2</v>
      </c>
      <c r="D11" t="str">
        <f>IF(Diákhitel!$B$4&gt;=B11, "Igen", "Nem")</f>
        <v>Igen</v>
      </c>
      <c r="E11">
        <f>IF(D11="Igen",Diákhitel!$I$4,0)</f>
        <v>750000</v>
      </c>
      <c r="F11">
        <f>IF(Diákhitel!$J$4="Igen", IF(D11="Igen",Diákhitel!$E$4,0), 0)</f>
        <v>500000</v>
      </c>
      <c r="G11">
        <f>E11+F11</f>
        <v>1250000</v>
      </c>
      <c r="H11">
        <f>H10*SQRT(1+r_f)+G11-O11-P11</f>
        <v>6566406.1337771481</v>
      </c>
      <c r="I11">
        <f>I10*SQRT(1+r_f)+E11*((1+k)/(1+r_f))^(Félévek_száma/2-C11)+F11/(1+r_f)^(Félévek_száma/2-C11)-O11-P11</f>
        <v>5950680.8021235196</v>
      </c>
      <c r="J11">
        <f t="shared" ca="1" si="0"/>
        <v>7042159.569745969</v>
      </c>
      <c r="K11">
        <f ca="1">_xlfn.NORM.INV(RAND(),Diákhitel!$L$4/2,Diákhitel!$M$4)</f>
        <v>5.5923122309274806E-2</v>
      </c>
      <c r="L11">
        <f>L10*SQRT(1+k)+E11-O11</f>
        <v>3901499.9711593925</v>
      </c>
      <c r="M11">
        <f>MAX(M10+F11-P11,0)</f>
        <v>2500000</v>
      </c>
      <c r="N11">
        <f>L11+M11</f>
        <v>6401499.971159393</v>
      </c>
      <c r="O11">
        <f>IF(Diákhitel!$D$4="Stratégia 2",IF(AND(D11="Nem",D10="Igen"),L10*SQRT(1+k),0),IF(C11=Évek_száma,L10*SQRT(1+k),MIN(IF(D11="Igen",0,6*Diákhitel!$H$4*(0.06)),L10*SQRT(1+k))))</f>
        <v>0</v>
      </c>
      <c r="P11">
        <f>IF(Diákhitel!$D$4="Stratégia 2",IF(AND(D11="Nem",D10="Igen"),M10,0),IF(C11=Évek_száma,M10,MIN(IF(D11="Igen",0,IF(M10=0,0,VLOOKUP(M10,Diákhitel!$R$30:$S$34,2)*Diákhitel!$H$4*6)),M10)))</f>
        <v>0</v>
      </c>
      <c r="Q11">
        <f t="shared" si="1"/>
        <v>0</v>
      </c>
      <c r="R11">
        <f>IF(Diákhitel!$D$4="Stratégia 1",H11-N11,IF(Diákhitel!$D$4="Stratégia 2",I11-N11,J11-N11))</f>
        <v>164906.16261775512</v>
      </c>
      <c r="S11">
        <f>IF(Diákhitel!$D$4="Stratégia 2",H11-I11,0)</f>
        <v>0</v>
      </c>
    </row>
    <row r="12" spans="1:19" x14ac:dyDescent="0.25">
      <c r="B12">
        <v>6</v>
      </c>
      <c r="C12">
        <f>B12/2-0.5</f>
        <v>2.5</v>
      </c>
      <c r="D12" t="str">
        <f>IF(Diákhitel!$B$4&gt;=B12, "Igen", "Nem")</f>
        <v>Igen</v>
      </c>
      <c r="E12">
        <f>IF(D12="Igen",Diákhitel!$I$4,0)</f>
        <v>750000</v>
      </c>
      <c r="F12">
        <f>IF(Diákhitel!$J$4="Igen", IF(D12="Igen",Diákhitel!$E$4,0), 0)</f>
        <v>500000</v>
      </c>
      <c r="G12">
        <f>E12+F12</f>
        <v>1250000</v>
      </c>
      <c r="H12">
        <f>H11*SQRT(1+r_f)+G12-O12-P12</f>
        <v>7978564.0362109561</v>
      </c>
      <c r="I12">
        <f>I11*SQRT(1+r_f)+E12*((1+k)/(1+r_f))^(Félévek_száma/2-C12)+F12/(1+r_f)^(Félévek_száma/2-C12)-O12-P12</f>
        <v>7272488.5928865196</v>
      </c>
      <c r="J12">
        <f t="shared" ca="1" si="0"/>
        <v>8685979.1206863038</v>
      </c>
      <c r="K12">
        <f ca="1">_xlfn.NORM.INV(RAND(),Diákhitel!$L$4/2,Diákhitel!$M$4)</f>
        <v>4.764861709330237E-2</v>
      </c>
      <c r="L12">
        <f>L11*SQRT(1+k)+E12-O12</f>
        <v>4728764.8970446866</v>
      </c>
      <c r="M12">
        <f>MAX(M11+F12-P12,0)</f>
        <v>3000000</v>
      </c>
      <c r="N12">
        <f>L12+M12</f>
        <v>7728764.8970446866</v>
      </c>
      <c r="O12">
        <f>IF(Diákhitel!$D$4="Stratégia 2",IF(AND(D12="Nem",D11="Igen"),L11*SQRT(1+k),0),IF(C12=Évek_száma,L11*SQRT(1+k),MIN(IF(D12="Igen",0,6*Diákhitel!$H$4*(0.06)),L11*SQRT(1+k))))</f>
        <v>0</v>
      </c>
      <c r="P12">
        <f>IF(Diákhitel!$D$4="Stratégia 2",IF(AND(D12="Nem",D11="Igen"),M11,0),IF(C12=Évek_száma,M11,MIN(IF(D12="Igen",0,IF(M11=0,0,VLOOKUP(M11,Diákhitel!$R$30:$S$34,2)*Diákhitel!$H$4*6)),M11)))</f>
        <v>0</v>
      </c>
      <c r="Q12">
        <f t="shared" si="1"/>
        <v>0</v>
      </c>
      <c r="R12">
        <f>IF(Diákhitel!$D$4="Stratégia 1",H12-N12,IF(Diákhitel!$D$4="Stratégia 2",I12-N12,J12-N12))</f>
        <v>249799.13916626945</v>
      </c>
      <c r="S12">
        <f>IF(Diákhitel!$D$4="Stratégia 2",H12-I12,0)</f>
        <v>0</v>
      </c>
    </row>
    <row r="13" spans="1:19" x14ac:dyDescent="0.25">
      <c r="B13">
        <v>7</v>
      </c>
      <c r="C13">
        <f>B13/2-0.5</f>
        <v>3</v>
      </c>
      <c r="D13" t="str">
        <f>IF(Diákhitel!$B$4&gt;=B13, "Igen", "Nem")</f>
        <v>Igen</v>
      </c>
      <c r="E13">
        <f>IF(D13="Igen",Diákhitel!$I$4,0)</f>
        <v>750000</v>
      </c>
      <c r="F13">
        <f>IF(Diákhitel!$J$4="Igen", IF(D13="Igen",Diákhitel!$E$4,0), 0)</f>
        <v>500000</v>
      </c>
      <c r="G13">
        <f>E13+F13</f>
        <v>1250000</v>
      </c>
      <c r="H13">
        <f>H12*SQRT(1+r_f)+G13-O13-P13</f>
        <v>9425595.2862109579</v>
      </c>
      <c r="I13">
        <f>I12*SQRT(1+r_f)+E13*((1+k)/(1+r_f))^(Félévek_száma/2-C13)+F13/(1+r_f)^(Félévek_száma/2-C13)-O13-P13</f>
        <v>8641380.3078852929</v>
      </c>
      <c r="J13">
        <f t="shared" ca="1" si="0"/>
        <v>10349854.013888305</v>
      </c>
      <c r="K13">
        <f ca="1">_xlfn.NORM.INV(RAND(),Diákhitel!$L$4/2,Diákhitel!$M$4)</f>
        <v>4.240042945793196E-2</v>
      </c>
      <c r="L13">
        <f>L12*SQRT(1+k)+E13-O13</f>
        <v>5572412.8970446866</v>
      </c>
      <c r="M13">
        <f>MAX(M12+F13-P13,0)</f>
        <v>3500000</v>
      </c>
      <c r="N13">
        <f>L13+M13</f>
        <v>9072412.8970446866</v>
      </c>
      <c r="O13">
        <f>IF(Diákhitel!$D$4="Stratégia 2",IF(AND(D13="Nem",D12="Igen"),L12*SQRT(1+k),0),IF(C13=Évek_száma,L12*SQRT(1+k),MIN(IF(D13="Igen",0,6*Diákhitel!$H$4*(0.06)),L12*SQRT(1+k))))</f>
        <v>0</v>
      </c>
      <c r="P13">
        <f>IF(Diákhitel!$D$4="Stratégia 2",IF(AND(D13="Nem",D12="Igen"),M12,0),IF(C13=Évek_száma,M12,MIN(IF(D13="Igen",0,IF(M12=0,0,VLOOKUP(M12,Diákhitel!$R$30:$S$34,2)*Diákhitel!$H$4*6)),M12)))</f>
        <v>0</v>
      </c>
      <c r="Q13">
        <f t="shared" si="1"/>
        <v>0</v>
      </c>
      <c r="R13">
        <f>IF(Diákhitel!$D$4="Stratégia 1",H13-N13,IF(Diákhitel!$D$4="Stratégia 2",I13-N13,J13-N13))</f>
        <v>353182.38916627131</v>
      </c>
      <c r="S13">
        <f>IF(Diákhitel!$D$4="Stratégia 2",H13-I13,0)</f>
        <v>0</v>
      </c>
    </row>
    <row r="14" spans="1:19" x14ac:dyDescent="0.25">
      <c r="B14">
        <v>8</v>
      </c>
      <c r="C14">
        <f>B14/2-0.5</f>
        <v>3.5</v>
      </c>
      <c r="D14" t="str">
        <f>IF(Diákhitel!$B$4&gt;=B14, "Igen", "Nem")</f>
        <v>Igen</v>
      </c>
      <c r="E14">
        <f>IF(D14="Igen",Diákhitel!$I$4,0)</f>
        <v>750000</v>
      </c>
      <c r="F14">
        <f>IF(Diákhitel!$J$4="Igen", IF(D14="Igen",Diákhitel!$E$4,0), 0)</f>
        <v>500000</v>
      </c>
      <c r="G14">
        <f>E14+F14</f>
        <v>1250000</v>
      </c>
      <c r="H14">
        <f>H13*SQRT(1+r_f)+G14-O14-P14</f>
        <v>10908361.083766457</v>
      </c>
      <c r="I14">
        <f>I13*SQRT(1+r_f)+E14*((1+k)/(1+r_f))^(Félévek_száma/2-C14)+F14/(1+r_f)^(Félévek_száma/2-C14)-O14-P14</f>
        <v>10058805.442062514</v>
      </c>
      <c r="J14">
        <f t="shared" ca="1" si="0"/>
        <v>12038692.268904069</v>
      </c>
      <c r="K14">
        <f ca="1">_xlfn.NORM.INV(RAND(),Diákhitel!$L$4/2,Diákhitel!$M$4)</f>
        <v>4.3541266351612547E-2</v>
      </c>
      <c r="L14">
        <f>L13*SQRT(1+k)+E14-O14</f>
        <v>6432768.419965392</v>
      </c>
      <c r="M14">
        <f>MAX(M13+F14-P14,0)</f>
        <v>4000000</v>
      </c>
      <c r="N14">
        <f>L14+M14</f>
        <v>10432768.419965392</v>
      </c>
      <c r="O14">
        <f>IF(Diákhitel!$D$4="Stratégia 2",IF(AND(D14="Nem",D13="Igen"),L13*SQRT(1+k),0),IF(C14=Évek_száma,L13*SQRT(1+k),MIN(IF(D14="Igen",0,6*Diákhitel!$H$4*(0.06)),L13*SQRT(1+k))))</f>
        <v>0</v>
      </c>
      <c r="P14">
        <f>IF(Diákhitel!$D$4="Stratégia 2",IF(AND(D14="Nem",D13="Igen"),M13,0),IF(C14=Évek_száma,M13,MIN(IF(D14="Igen",0,IF(M13=0,0,VLOOKUP(M13,Diákhitel!$R$30:$S$34,2)*Diákhitel!$H$4*6)),M13)))</f>
        <v>0</v>
      </c>
      <c r="Q14">
        <f t="shared" si="1"/>
        <v>0</v>
      </c>
      <c r="R14">
        <f>IF(Diákhitel!$D$4="Stratégia 1",H14-N14,IF(Diákhitel!$D$4="Stratégia 2",I14-N14,J14-N14))</f>
        <v>475592.66380106471</v>
      </c>
      <c r="S14">
        <f>IF(Diákhitel!$D$4="Stratégia 2",H14-I14,0)</f>
        <v>0</v>
      </c>
    </row>
    <row r="15" spans="1:19" x14ac:dyDescent="0.25">
      <c r="B15">
        <v>9</v>
      </c>
      <c r="C15">
        <f>B15/2-0.5</f>
        <v>4</v>
      </c>
      <c r="D15" t="str">
        <f>IF(Diákhitel!$B$4&gt;=B15, "Igen", "Nem")</f>
        <v>Igen</v>
      </c>
      <c r="E15">
        <f>IF(D15="Igen",Diákhitel!$I$4,0)</f>
        <v>750000</v>
      </c>
      <c r="F15">
        <f>IF(Diákhitel!$J$4="Igen", IF(D15="Igen",Diákhitel!$E$4,0), 0)</f>
        <v>500000</v>
      </c>
      <c r="G15">
        <f>E15+F15</f>
        <v>1250000</v>
      </c>
      <c r="H15">
        <f>H14*SQRT(1+r_f)+G15-O15-P15</f>
        <v>12427743.896266459</v>
      </c>
      <c r="I15">
        <f>I14*SQRT(1+r_f)+E15*((1+k)/(1+r_f))^(Félévek_száma/2-C15)+F15/(1+r_f)^(Félévek_száma/2-C15)-O15-P15</f>
        <v>11526256.031965725</v>
      </c>
      <c r="J15">
        <f t="shared" ca="1" si="0"/>
        <v>13812872.175509522</v>
      </c>
      <c r="K15">
        <f ca="1">_xlfn.NORM.INV(RAND(),Diákhitel!$L$4/2,Diákhitel!$M$4)</f>
        <v>4.8519473154405746E-2</v>
      </c>
      <c r="L15">
        <f>L14*SQRT(1+k)+E15-O15</f>
        <v>7310162.3399653928</v>
      </c>
      <c r="M15">
        <f>MAX(M14+F15-P15,0)</f>
        <v>4500000</v>
      </c>
      <c r="N15">
        <f>L15+M15</f>
        <v>11810162.339965392</v>
      </c>
      <c r="O15">
        <f>IF(Diákhitel!$D$4="Stratégia 2",IF(AND(D15="Nem",D14="Igen"),L14*SQRT(1+k),0),IF(C15=Évek_száma,L14*SQRT(1+k),MIN(IF(D15="Igen",0,6*Diákhitel!$H$4*(0.06)),L14*SQRT(1+k))))</f>
        <v>0</v>
      </c>
      <c r="P15">
        <f>IF(Diákhitel!$D$4="Stratégia 2",IF(AND(D15="Nem",D14="Igen"),M14,0),IF(C15=Évek_száma,M14,MIN(IF(D15="Igen",0,IF(M14=0,0,VLOOKUP(M14,Diákhitel!$R$30:$S$34,2)*Diákhitel!$H$4*6)),M14)))</f>
        <v>0</v>
      </c>
      <c r="Q15">
        <f t="shared" si="1"/>
        <v>0</v>
      </c>
      <c r="R15">
        <f>IF(Diákhitel!$D$4="Stratégia 1",H15-N15,IF(Diákhitel!$D$4="Stratégia 2",I15-N15,J15-N15))</f>
        <v>617581.55630106665</v>
      </c>
      <c r="S15">
        <f>IF(Diákhitel!$D$4="Stratégia 2",H15-I15,0)</f>
        <v>0</v>
      </c>
    </row>
    <row r="16" spans="1:19" x14ac:dyDescent="0.25">
      <c r="B16">
        <v>10</v>
      </c>
      <c r="C16">
        <f>B16/2-0.5</f>
        <v>4.5</v>
      </c>
      <c r="D16" t="str">
        <f>IF(Diákhitel!$B$4&gt;=B16, "Igen", "Nem")</f>
        <v>Igen</v>
      </c>
      <c r="E16">
        <f>IF(D16="Igen",Diákhitel!$I$4,0)</f>
        <v>750000</v>
      </c>
      <c r="F16">
        <f>IF(Diákhitel!$J$4="Igen", IF(D16="Igen",Diákhitel!$E$4,0), 0)</f>
        <v>500000</v>
      </c>
      <c r="G16">
        <f>E16+F16</f>
        <v>1250000</v>
      </c>
      <c r="H16">
        <f>H15*SQRT(1+r_f)+G16-O16-P16</f>
        <v>13984647.983699732</v>
      </c>
      <c r="I16">
        <f>I15*SQRT(1+r_f)+E16*((1+k)/(1+r_f))^(Félévek_száma/2-C16)+F16/(1+r_f)^(Félévek_száma/2-C16)-O16-P16</f>
        <v>13045267.871306211</v>
      </c>
      <c r="J16">
        <f ca="1">J15*(1+K15)+G16-O16-P16</f>
        <v>15733065.456214393</v>
      </c>
      <c r="K16">
        <f ca="1">_xlfn.NORM.INV(RAND(),Diákhitel!$L$4/2,Diákhitel!$M$4)</f>
        <v>4.72816579423921E-2</v>
      </c>
      <c r="L16">
        <f>L15*SQRT(1+k)+E16-O16</f>
        <v>8204932.0838029264</v>
      </c>
      <c r="M16">
        <f>MAX(M15+F16-P16,0)</f>
        <v>5000000</v>
      </c>
      <c r="N16">
        <f>L16+M16</f>
        <v>13204932.083802927</v>
      </c>
      <c r="O16">
        <f>IF(Diákhitel!$D$4="Stratégia 2",IF(AND(D16="Nem",D15="Igen"),L15*SQRT(1+k),0),IF(C16=Évek_száma,L15*SQRT(1+k),MIN(IF(D16="Igen",0,6*Diákhitel!$H$4*(0.06)),L15*SQRT(1+k))))</f>
        <v>0</v>
      </c>
      <c r="P16">
        <f>IF(Diákhitel!$D$4="Stratégia 2",IF(AND(D16="Nem",D15="Igen"),M15,0),IF(C16=Évek_száma,M15,MIN(IF(D16="Igen",0,IF(M15=0,0,VLOOKUP(M15,Diákhitel!$R$30:$S$34,2)*Diákhitel!$H$4*6)),M15)))</f>
        <v>0</v>
      </c>
      <c r="Q16">
        <f t="shared" si="1"/>
        <v>0</v>
      </c>
      <c r="R16">
        <f>IF(Diákhitel!$D$4="Stratégia 1",H16-N16,IF(Diákhitel!$D$4="Stratégia 2",I16-N16,J16-N16))</f>
        <v>779715.89989680424</v>
      </c>
      <c r="S16">
        <f>IF(Diákhitel!$D$4="Stratégia 2",H16-I16,0)</f>
        <v>0</v>
      </c>
    </row>
    <row r="17" spans="2:19" x14ac:dyDescent="0.25">
      <c r="B17">
        <v>11</v>
      </c>
      <c r="C17">
        <f>B17/2-0.5</f>
        <v>5</v>
      </c>
      <c r="D17" t="str">
        <f>IF(Diákhitel!$B$4&gt;=B17, "Igen", "Nem")</f>
        <v>Nem</v>
      </c>
      <c r="E17">
        <f>IF(D17="Igen",Diákhitel!$I$4,0)</f>
        <v>0</v>
      </c>
      <c r="F17">
        <f>IF(Diákhitel!$J$4="Igen", IF(D17="Igen",Diákhitel!$E$4,0), 0)</f>
        <v>0</v>
      </c>
      <c r="G17">
        <f>E17+F17</f>
        <v>0</v>
      </c>
      <c r="H17">
        <f>H16*SQRT(1+r_f)+G17-O17-P17</f>
        <v>13309999.936824733</v>
      </c>
      <c r="I17">
        <f>I16*SQRT(1+r_f)+E17*((1+k)/(1+r_f))^(Félévek_száma/2-C17)+F17/(1+r_f)^(Félévek_száma/2-C17)-O17-P17</f>
        <v>12347421.760602932</v>
      </c>
      <c r="J17">
        <f t="shared" ca="1" si="0"/>
        <v>15456950.875500385</v>
      </c>
      <c r="K17">
        <f ca="1">_xlfn.NORM.INV(RAND(),Diákhitel!$L$4/2,Diákhitel!$M$4)</f>
        <v>5.913776487770972E-2</v>
      </c>
      <c r="L17">
        <f>L16*SQRT(1+k)+E17-O17</f>
        <v>8007421.7606029268</v>
      </c>
      <c r="M17">
        <f>MAX(M16+F17-P17,0)</f>
        <v>4340000</v>
      </c>
      <c r="N17">
        <f>L17+M17</f>
        <v>12347421.760602927</v>
      </c>
      <c r="O17">
        <f>IF(Diákhitel!$D$4="Stratégia 2",IF(AND(D17="Nem",D16="Igen"),L16*SQRT(1+k),0),IF(C17=Évek_száma,L16*SQRT(1+k),MIN(IF(D17="Igen",0,6*Diákhitel!$H$4*(0.06)),L16*SQRT(1+k))))</f>
        <v>360000</v>
      </c>
      <c r="P17">
        <f>IF(Diákhitel!$D$4="Stratégia 2",IF(AND(D17="Nem",D16="Igen"),M16,0),IF(C17=Évek_száma,M16,MIN(IF(D17="Igen",0,IF(M16=0,0,VLOOKUP(M16,Diákhitel!$R$30:$S$34,2)*Diákhitel!$H$4*6)),M16)))</f>
        <v>660000</v>
      </c>
      <c r="Q17">
        <f t="shared" si="1"/>
        <v>1020000</v>
      </c>
      <c r="R17">
        <f>IF(Diákhitel!$D$4="Stratégia 1",H17-N17,IF(Diákhitel!$D$4="Stratégia 2",I17-N17,J17-N17))</f>
        <v>962578.17622180656</v>
      </c>
      <c r="S17">
        <f>IF(Diákhitel!$D$4="Stratégia 2",H17-I17,0)</f>
        <v>0</v>
      </c>
    </row>
    <row r="18" spans="2:19" x14ac:dyDescent="0.25">
      <c r="B18">
        <v>12</v>
      </c>
      <c r="C18">
        <f>B18/2-0.5</f>
        <v>5.5</v>
      </c>
      <c r="D18" t="str">
        <f>IF(Diákhitel!$B$4&gt;=B18, "Igen", "Nem")</f>
        <v>Nem</v>
      </c>
      <c r="E18">
        <f>IF(D18="Igen",Diákhitel!$I$4,0)</f>
        <v>0</v>
      </c>
      <c r="F18">
        <f>IF(Diákhitel!$J$4="Igen", IF(D18="Igen",Diákhitel!$E$4,0), 0)</f>
        <v>0</v>
      </c>
      <c r="G18">
        <f>E18+F18</f>
        <v>0</v>
      </c>
      <c r="H18">
        <f>H17*SQRT(1+r_f)+G18-O18-P18</f>
        <v>12618691.404756842</v>
      </c>
      <c r="I18">
        <f>I17*SQRT(1+r_f)+E18*((1+k)/(1+r_f))^(Félévek_száma/2-C18)+F18/(1+r_f)^(Félévek_száma/2-C18)-O18-P18</f>
        <v>11632342.286743645</v>
      </c>
      <c r="J18">
        <f t="shared" ca="1" si="0"/>
        <v>15351040.402102038</v>
      </c>
      <c r="K18">
        <f ca="1">_xlfn.NORM.INV(RAND(),Diákhitel!$L$4/2,Diákhitel!$M$4)</f>
        <v>3.698218356778489E-2</v>
      </c>
      <c r="L18">
        <f>L17*SQRT(1+k)+E18-O18</f>
        <v>7805999.9621763639</v>
      </c>
      <c r="M18">
        <f>MAX(M17+F18-P18,0)</f>
        <v>3680000</v>
      </c>
      <c r="N18">
        <f>L18+M18</f>
        <v>11485999.962176364</v>
      </c>
      <c r="O18">
        <f>IF(Diákhitel!$D$4="Stratégia 2",IF(AND(D18="Nem",D17="Igen"),L17*SQRT(1+k),0),IF(C18=Évek_száma,L17*SQRT(1+k),MIN(IF(D18="Igen",0,6*Diákhitel!$H$4*(0.06)),L17*SQRT(1+k))))</f>
        <v>360000</v>
      </c>
      <c r="P18">
        <f>IF(Diákhitel!$D$4="Stratégia 2",IF(AND(D18="Nem",D17="Igen"),M17,0),IF(C18=Évek_száma,M17,MIN(IF(D18="Igen",0,IF(M17=0,0,VLOOKUP(M17,Diákhitel!$R$30:$S$34,2)*Diákhitel!$H$4*6)),M17)))</f>
        <v>660000</v>
      </c>
      <c r="Q18">
        <f t="shared" si="1"/>
        <v>1020000</v>
      </c>
      <c r="R18">
        <f>IF(Diákhitel!$D$4="Stratégia 1",H18-N18,IF(Diákhitel!$D$4="Stratégia 2",I18-N18,J18-N18))</f>
        <v>1132691.4425804783</v>
      </c>
      <c r="S18">
        <f>IF(Diákhitel!$D$4="Stratégia 2",H18-I18,0)</f>
        <v>0</v>
      </c>
    </row>
    <row r="19" spans="2:19" x14ac:dyDescent="0.25">
      <c r="B19">
        <v>13</v>
      </c>
      <c r="C19">
        <f>B19/2-0.5</f>
        <v>6</v>
      </c>
      <c r="D19" t="str">
        <f>IF(Diákhitel!$B$4&gt;=B19, "Igen", "Nem")</f>
        <v>Nem</v>
      </c>
      <c r="E19">
        <f>IF(D19="Igen",Diákhitel!$I$4,0)</f>
        <v>0</v>
      </c>
      <c r="F19">
        <f>IF(Diákhitel!$J$4="Igen", IF(D19="Igen",Diákhitel!$E$4,0), 0)</f>
        <v>0</v>
      </c>
      <c r="G19">
        <f>E19+F19</f>
        <v>0</v>
      </c>
      <c r="H19">
        <f>H18*SQRT(1+r_f)+G19-O19-P19</f>
        <v>12030310.955538094</v>
      </c>
      <c r="I19">
        <f>I18*SQRT(1+r_f)+E19*((1+k)/(1+r_f))^(Félévek_száma/2-C19)+F19/(1+r_f)^(Félévek_száma/2-C19)-O19-P19</f>
        <v>11019603.870505203</v>
      </c>
      <c r="J19">
        <f t="shared" ca="1" si="0"/>
        <v>15018755.396209057</v>
      </c>
      <c r="K19">
        <f ca="1">_xlfn.NORM.INV(RAND(),Diákhitel!$L$4/2,Diákhitel!$M$4)</f>
        <v>4.6516240526584131E-2</v>
      </c>
      <c r="L19">
        <f>L18*SQRT(1+k)+E19-O19</f>
        <v>7600589.2260483643</v>
      </c>
      <c r="M19">
        <f>MAX(M18+F19-P19,0)</f>
        <v>3140000</v>
      </c>
      <c r="N19">
        <f>L19+M19</f>
        <v>10740589.226048365</v>
      </c>
      <c r="O19">
        <f>IF(Diákhitel!$D$4="Stratégia 2",IF(AND(D19="Nem",D18="Igen"),L18*SQRT(1+k),0),IF(C19=Évek_száma,L18*SQRT(1+k),MIN(IF(D19="Igen",0,6*Diákhitel!$H$4*(0.06)),L18*SQRT(1+k))))</f>
        <v>360000</v>
      </c>
      <c r="P19">
        <f>IF(Diákhitel!$D$4="Stratégia 2",IF(AND(D19="Nem",D18="Igen"),M18,0),IF(C19=Évek_száma,M18,MIN(IF(D19="Igen",0,IF(M18=0,0,VLOOKUP(M18,Diákhitel!$R$30:$S$34,2)*Diákhitel!$H$4*6)),M18)))</f>
        <v>540000</v>
      </c>
      <c r="Q19">
        <f t="shared" si="1"/>
        <v>900000</v>
      </c>
      <c r="R19">
        <f>IF(Diákhitel!$D$4="Stratégia 1",H19-N19,IF(Diákhitel!$D$4="Stratégia 2",I19-N19,J19-N19))</f>
        <v>1289721.7294897288</v>
      </c>
      <c r="S19">
        <f>IF(Diákhitel!$D$4="Stratégia 2",H19-I19,0)</f>
        <v>0</v>
      </c>
    </row>
    <row r="20" spans="2:19" x14ac:dyDescent="0.25">
      <c r="B20">
        <v>14</v>
      </c>
      <c r="C20">
        <f>B20/2-0.5</f>
        <v>6.5</v>
      </c>
      <c r="D20" t="str">
        <f>IF(Diákhitel!$B$4&gt;=B20, "Igen", "Nem")</f>
        <v>Nem</v>
      </c>
      <c r="E20">
        <f>IF(D20="Igen",Diákhitel!$I$4,0)</f>
        <v>0</v>
      </c>
      <c r="F20">
        <f>IF(Diákhitel!$J$4="Igen", IF(D20="Igen",Diákhitel!$E$4,0), 0)</f>
        <v>0</v>
      </c>
      <c r="G20">
        <f>E20+F20</f>
        <v>0</v>
      </c>
      <c r="H20">
        <f>H19*SQRT(1+r_f)+G20-O20-P20</f>
        <v>11427400.406058323</v>
      </c>
      <c r="I20">
        <f>I19*SQRT(1+r_f)+E20*((1+k)/(1+r_f))^(Félévek_száma/2-C20)+F20/(1+r_f)^(Félévek_száma/2-C20)-O20-P20</f>
        <v>10391733.832144465</v>
      </c>
      <c r="J20">
        <f t="shared" ca="1" si="0"/>
        <v>14817371.434629053</v>
      </c>
      <c r="K20">
        <f ca="1">_xlfn.NORM.INV(RAND(),Diákhitel!$L$4/2,Diákhitel!$M$4)</f>
        <v>4.6607031700569339E-2</v>
      </c>
      <c r="L20">
        <f>L19*SQRT(1+k)+E20-O20</f>
        <v>7391110.5556847388</v>
      </c>
      <c r="M20">
        <f>MAX(M19+F20-P20,0)</f>
        <v>2600000</v>
      </c>
      <c r="N20">
        <f>L20+M20</f>
        <v>9991110.5556847379</v>
      </c>
      <c r="O20">
        <f>IF(Diákhitel!$D$4="Stratégia 2",IF(AND(D20="Nem",D19="Igen"),L19*SQRT(1+k),0),IF(C20=Évek_száma,L19*SQRT(1+k),MIN(IF(D20="Igen",0,6*Diákhitel!$H$4*(0.06)),L19*SQRT(1+k))))</f>
        <v>360000</v>
      </c>
      <c r="P20">
        <f>IF(Diákhitel!$D$4="Stratégia 2",IF(AND(D20="Nem",D19="Igen"),M19,0),IF(C20=Évek_száma,M19,MIN(IF(D20="Igen",0,IF(M19=0,0,VLOOKUP(M19,Diákhitel!$R$30:$S$34,2)*Diákhitel!$H$4*6)),M19)))</f>
        <v>540000</v>
      </c>
      <c r="Q20">
        <f t="shared" si="1"/>
        <v>900000</v>
      </c>
      <c r="R20">
        <f>IF(Diákhitel!$D$4="Stratégia 1",H20-N20,IF(Diákhitel!$D$4="Stratégia 2",I20-N20,J20-N20))</f>
        <v>1436289.8503735848</v>
      </c>
      <c r="S20">
        <f>IF(Diákhitel!$D$4="Stratégia 2",H20-I20,0)</f>
        <v>0</v>
      </c>
    </row>
    <row r="21" spans="2:19" x14ac:dyDescent="0.25">
      <c r="B21">
        <v>15</v>
      </c>
      <c r="C21">
        <f>B21/2-0.5</f>
        <v>7</v>
      </c>
      <c r="D21" t="str">
        <f>IF(Diákhitel!$B$4&gt;=B21, "Igen", "Nem")</f>
        <v>Nem</v>
      </c>
      <c r="E21">
        <f>IF(D21="Igen",Diákhitel!$I$4,0)</f>
        <v>0</v>
      </c>
      <c r="F21">
        <f>IF(Diákhitel!$J$4="Igen", IF(D21="Igen",Diákhitel!$E$4,0), 0)</f>
        <v>0</v>
      </c>
      <c r="G21">
        <f>E21+F21</f>
        <v>0</v>
      </c>
      <c r="H21">
        <f>H20*SQRT(1+r_f)+G21-O21-P21</f>
        <v>10929600.934378637</v>
      </c>
      <c r="I21">
        <f>I20*SQRT(1+r_f)+E21*((1+k)/(1+r_f))^(Félévek_száma/2-C21)+F21/(1+r_f)^(Félévek_száma/2-C21)-O21-P21</f>
        <v>9868358.4950941019</v>
      </c>
      <c r="J21">
        <f t="shared" ca="1" si="0"/>
        <v>14727965.134801921</v>
      </c>
      <c r="K21">
        <f ca="1">_xlfn.NORM.INV(RAND(),Diákhitel!$L$4/2,Diákhitel!$M$4)</f>
        <v>3.5687603271442409E-2</v>
      </c>
      <c r="L21">
        <f>L20*SQRT(1+k)+E21-O21</f>
        <v>7177483.3901116196</v>
      </c>
      <c r="M21">
        <f>MAX(M20+F21-P21,0)</f>
        <v>2180000</v>
      </c>
      <c r="N21">
        <f>L21+M21</f>
        <v>9357483.3901116196</v>
      </c>
      <c r="O21">
        <f>IF(Diákhitel!$D$4="Stratégia 2",IF(AND(D21="Nem",D20="Igen"),L20*SQRT(1+k),0),IF(C21=Évek_száma,L20*SQRT(1+k),MIN(IF(D21="Igen",0,6*Diákhitel!$H$4*(0.06)),L20*SQRT(1+k))))</f>
        <v>360000</v>
      </c>
      <c r="P21">
        <f>IF(Diákhitel!$D$4="Stratégia 2",IF(AND(D21="Nem",D20="Igen"),M20,0),IF(C21=Évek_száma,M20,MIN(IF(D21="Igen",0,IF(M20=0,0,VLOOKUP(M20,Diákhitel!$R$30:$S$34,2)*Diákhitel!$H$4*6)),M20)))</f>
        <v>420000</v>
      </c>
      <c r="Q21">
        <f t="shared" si="1"/>
        <v>780000</v>
      </c>
      <c r="R21">
        <f>IF(Diákhitel!$D$4="Stratégia 1",H21-N21,IF(Diákhitel!$D$4="Stratégia 2",I21-N21,J21-N21))</f>
        <v>1572117.5442670174</v>
      </c>
      <c r="S21">
        <f>IF(Diákhitel!$D$4="Stratégia 2",H21-I21,0)</f>
        <v>0</v>
      </c>
    </row>
    <row r="22" spans="2:19" x14ac:dyDescent="0.25">
      <c r="B22">
        <v>16</v>
      </c>
      <c r="C22">
        <f>B22/2-0.5</f>
        <v>7.5</v>
      </c>
      <c r="D22" t="str">
        <f>IF(Diákhitel!$B$4&gt;=B22, "Igen", "Nem")</f>
        <v>Nem</v>
      </c>
      <c r="E22">
        <f>IF(D22="Igen",Diákhitel!$I$4,0)</f>
        <v>0</v>
      </c>
      <c r="F22">
        <f>IF(Diákhitel!$J$4="Igen", IF(D22="Igen",Diákhitel!$E$4,0), 0)</f>
        <v>0</v>
      </c>
      <c r="G22">
        <f>E22+F22</f>
        <v>0</v>
      </c>
      <c r="H22">
        <f>H21*SQRT(1+r_f)+G22-O22-P22</f>
        <v>10419508.266616393</v>
      </c>
      <c r="I22">
        <f>I21*SQRT(1+r_f)+E22*((1+k)/(1+r_f))^(Félévek_száma/2-C22)+F22/(1+r_f)^(Félévek_száma/2-C22)-O22-P22</f>
        <v>9332058.3640068434</v>
      </c>
      <c r="J22">
        <f t="shared" ca="1" si="0"/>
        <v>14473570.911528368</v>
      </c>
      <c r="K22">
        <f ca="1">_xlfn.NORM.INV(RAND(),Diákhitel!$L$4/2,Diákhitel!$M$4)</f>
        <v>6.3047375761273033E-2</v>
      </c>
      <c r="L22">
        <f>L21*SQRT(1+k)+E22-O22</f>
        <v>6959625.5729334494</v>
      </c>
      <c r="M22">
        <f>MAX(M21+F22-P22,0)</f>
        <v>1760000</v>
      </c>
      <c r="N22">
        <f>L22+M22</f>
        <v>8719625.5729334503</v>
      </c>
      <c r="O22">
        <f>IF(Diákhitel!$D$4="Stratégia 2",IF(AND(D22="Nem",D21="Igen"),L21*SQRT(1+k),0),IF(C22=Évek_száma,L21*SQRT(1+k),MIN(IF(D22="Igen",0,6*Diákhitel!$H$4*(0.06)),L21*SQRT(1+k))))</f>
        <v>360000</v>
      </c>
      <c r="P22">
        <f>IF(Diákhitel!$D$4="Stratégia 2",IF(AND(D22="Nem",D21="Igen"),M21,0),IF(C22=Évek_száma,M21,MIN(IF(D22="Igen",0,IF(M21=0,0,VLOOKUP(M21,Diákhitel!$R$30:$S$34,2)*Diákhitel!$H$4*6)),M21)))</f>
        <v>420000</v>
      </c>
      <c r="Q22">
        <f t="shared" si="1"/>
        <v>780000</v>
      </c>
      <c r="R22">
        <f>IF(Diákhitel!$D$4="Stratégia 1",H22-N22,IF(Diákhitel!$D$4="Stratégia 2",I22-N22,J22-N22))</f>
        <v>1699882.6936829425</v>
      </c>
      <c r="S22">
        <f>IF(Diákhitel!$D$4="Stratégia 2",H22-I22,0)</f>
        <v>0</v>
      </c>
    </row>
    <row r="23" spans="2:19" x14ac:dyDescent="0.25">
      <c r="B23">
        <v>17</v>
      </c>
      <c r="C23">
        <f>B23/2-0.5</f>
        <v>8</v>
      </c>
      <c r="D23" t="str">
        <f>IF(Diákhitel!$B$4&gt;=B23, "Igen", "Nem")</f>
        <v>Nem</v>
      </c>
      <c r="E23">
        <f>IF(D23="Igen",Diákhitel!$I$4,0)</f>
        <v>0</v>
      </c>
      <c r="F23">
        <f>IF(Diákhitel!$J$4="Igen", IF(D23="Igen",Diákhitel!$E$4,0), 0)</f>
        <v>0</v>
      </c>
      <c r="G23">
        <f>E23+F23</f>
        <v>0</v>
      </c>
      <c r="H23">
        <f>H22*SQRT(1+r_f)+G23-O23-P23</f>
        <v>10016818.821352722</v>
      </c>
      <c r="I23">
        <f>I22*SQRT(1+r_f)+E23*((1+k)/(1+r_f))^(Félévek_száma/2-C23)+F23/(1+r_f)^(Félévek_száma/2-C23)-O23-P23</f>
        <v>8902514.2601039615</v>
      </c>
      <c r="J23">
        <f t="shared" ca="1" si="0"/>
        <v>14726091.575394928</v>
      </c>
      <c r="K23">
        <f ca="1">_xlfn.NORM.INV(RAND(),Diákhitel!$L$4/2,Diákhitel!$M$4)</f>
        <v>5.1858260919467727E-2</v>
      </c>
      <c r="L23">
        <f>L22*SQRT(1+k)+E23-O23</f>
        <v>6737453.3207374047</v>
      </c>
      <c r="M23">
        <f>MAX(M22+F23-P23,0)</f>
        <v>1460000</v>
      </c>
      <c r="N23">
        <f>L23+M23</f>
        <v>8197453.3207374047</v>
      </c>
      <c r="O23">
        <f>IF(Diákhitel!$D$4="Stratégia 2",IF(AND(D23="Nem",D22="Igen"),L22*SQRT(1+k),0),IF(C23=Évek_száma,L22*SQRT(1+k),MIN(IF(D23="Igen",0,6*Diákhitel!$H$4*(0.06)),L22*SQRT(1+k))))</f>
        <v>360000</v>
      </c>
      <c r="P23">
        <f>IF(Diákhitel!$D$4="Stratégia 2",IF(AND(D23="Nem",D22="Igen"),M22,0),IF(C23=Évek_száma,M22,MIN(IF(D23="Igen",0,IF(M22=0,0,VLOOKUP(M22,Diákhitel!$R$30:$S$34,2)*Diákhitel!$H$4*6)),M22)))</f>
        <v>300000</v>
      </c>
      <c r="Q23">
        <f t="shared" si="1"/>
        <v>660000</v>
      </c>
      <c r="R23">
        <f>IF(Diákhitel!$D$4="Stratégia 1",H23-N23,IF(Diákhitel!$D$4="Stratégia 2",I23-N23,J23-N23))</f>
        <v>1819365.5006153174</v>
      </c>
      <c r="S23">
        <f>IF(Diákhitel!$D$4="Stratégia 2",H23-I23,0)</f>
        <v>0</v>
      </c>
    </row>
    <row r="24" spans="2:19" x14ac:dyDescent="0.25">
      <c r="B24">
        <v>18</v>
      </c>
      <c r="C24">
        <f>B24/2-0.5</f>
        <v>8.5</v>
      </c>
      <c r="D24" t="str">
        <f>IF(Diákhitel!$B$4&gt;=B24, "Igen", "Nem")</f>
        <v>Nem</v>
      </c>
      <c r="E24">
        <f>IF(D24="Igen",Diákhitel!$I$4,0)</f>
        <v>0</v>
      </c>
      <c r="F24">
        <f>IF(Diákhitel!$J$4="Igen", IF(D24="Igen",Diákhitel!$E$4,0), 0)</f>
        <v>0</v>
      </c>
      <c r="G24">
        <f>E24+F24</f>
        <v>0</v>
      </c>
      <c r="H24">
        <f>H23*SQRT(1+r_f)+G24-O24-P24</f>
        <v>9604184.9293938801</v>
      </c>
      <c r="I24">
        <f>I23*SQRT(1+r_f)+E24*((1+k)/(1+r_f))^(Félévek_száma/2-C24)+F24/(1+r_f)^(Félévek_száma/2-C24)-O24-P24</f>
        <v>8462362.531653855</v>
      </c>
      <c r="J24">
        <f t="shared" ca="1" si="0"/>
        <v>14829761.074635735</v>
      </c>
      <c r="K24">
        <f ca="1">_xlfn.NORM.INV(RAND(),Diákhitel!$L$4/2,Diákhitel!$M$4)</f>
        <v>5.9015933249955355E-2</v>
      </c>
      <c r="L24">
        <f>L23*SQRT(1+k)+E24-O24</f>
        <v>6510881.1908721076</v>
      </c>
      <c r="M24">
        <f>MAX(M23+F24-P24,0)</f>
        <v>1160000</v>
      </c>
      <c r="N24">
        <f>L24+M24</f>
        <v>7670881.1908721076</v>
      </c>
      <c r="O24">
        <f>IF(Diákhitel!$D$4="Stratégia 2",IF(AND(D24="Nem",D23="Igen"),L23*SQRT(1+k),0),IF(C24=Évek_száma,L23*SQRT(1+k),MIN(IF(D24="Igen",0,6*Diákhitel!$H$4*(0.06)),L23*SQRT(1+k))))</f>
        <v>360000</v>
      </c>
      <c r="P24">
        <f>IF(Diákhitel!$D$4="Stratégia 2",IF(AND(D24="Nem",D23="Igen"),M23,0),IF(C24=Évek_száma,M23,MIN(IF(D24="Igen",0,IF(M23=0,0,VLOOKUP(M23,Diákhitel!$R$30:$S$34,2)*Diákhitel!$H$4*6)),M23)))</f>
        <v>300000</v>
      </c>
      <c r="Q24">
        <f t="shared" si="1"/>
        <v>660000</v>
      </c>
      <c r="R24">
        <f>IF(Diákhitel!$D$4="Stratégia 1",H24-N24,IF(Diákhitel!$D$4="Stratégia 2",I24-N24,J24-N24))</f>
        <v>1933303.7385217724</v>
      </c>
      <c r="S24">
        <f>IF(Diákhitel!$D$4="Stratégia 2",H24-I24,0)</f>
        <v>0</v>
      </c>
    </row>
    <row r="25" spans="2:19" x14ac:dyDescent="0.25">
      <c r="B25">
        <v>19</v>
      </c>
      <c r="C25">
        <f>B25/2-0.5</f>
        <v>9</v>
      </c>
      <c r="D25" t="str">
        <f>IF(Diákhitel!$B$4&gt;=B25, "Igen", "Nem")</f>
        <v>Nem</v>
      </c>
      <c r="E25">
        <f>IF(D25="Igen",Diákhitel!$I$4,0)</f>
        <v>0</v>
      </c>
      <c r="F25">
        <f>IF(Diákhitel!$J$4="Igen", IF(D25="Igen",Diákhitel!$E$4,0), 0)</f>
        <v>0</v>
      </c>
      <c r="G25">
        <f>E25+F25</f>
        <v>0</v>
      </c>
      <c r="H25">
        <f>H24*SQRT(1+r_f)+G25-O25-P25</f>
        <v>9181361.0118670259</v>
      </c>
      <c r="I25">
        <f>I24*SQRT(1+r_f)+E25*((1+k)/(1+r_f))^(Félévek_száma/2-C25)+F25/(1+r_f)^(Félévek_száma/2-C25)-O25-P25</f>
        <v>8011341.2225558292</v>
      </c>
      <c r="J25">
        <f t="shared" ca="1" si="0"/>
        <v>15044953.264329223</v>
      </c>
      <c r="K25">
        <f ca="1">_xlfn.NORM.INV(RAND(),Diákhitel!$L$4/2,Diákhitel!$M$4)</f>
        <v>3.7300356401950119E-2</v>
      </c>
      <c r="L25">
        <f>L24*SQRT(1+k)+E25-O25</f>
        <v>6279822.0485882219</v>
      </c>
      <c r="M25">
        <f>MAX(M24+F25-P25,0)</f>
        <v>860000</v>
      </c>
      <c r="N25">
        <f>L25+M25</f>
        <v>7139822.0485882219</v>
      </c>
      <c r="O25">
        <f>IF(Diákhitel!$D$4="Stratégia 2",IF(AND(D25="Nem",D24="Igen"),L24*SQRT(1+k),0),IF(C25=Évek_száma,L24*SQRT(1+k),MIN(IF(D25="Igen",0,6*Diákhitel!$H$4*(0.06)),L24*SQRT(1+k))))</f>
        <v>360000</v>
      </c>
      <c r="P25">
        <f>IF(Diákhitel!$D$4="Stratégia 2",IF(AND(D25="Nem",D24="Igen"),M24,0),IF(C25=Évek_száma,M24,MIN(IF(D25="Igen",0,IF(M24=0,0,VLOOKUP(M24,Diákhitel!$R$30:$S$34,2)*Diákhitel!$H$4*6)),M24)))</f>
        <v>300000</v>
      </c>
      <c r="Q25">
        <f t="shared" si="1"/>
        <v>660000</v>
      </c>
      <c r="R25">
        <f>IF(Diákhitel!$D$4="Stratégia 1",H25-N25,IF(Diákhitel!$D$4="Stratégia 2",I25-N25,J25-N25))</f>
        <v>2041538.963278804</v>
      </c>
      <c r="S25">
        <f>IF(Diákhitel!$D$4="Stratégia 2",H25-I25,0)</f>
        <v>0</v>
      </c>
    </row>
    <row r="26" spans="2:19" x14ac:dyDescent="0.25">
      <c r="B26">
        <v>20</v>
      </c>
      <c r="C26">
        <f>B26/2-0.5</f>
        <v>9.5</v>
      </c>
      <c r="D26" t="str">
        <f>IF(Diákhitel!$B$4&gt;=B26, "Igen", "Nem")</f>
        <v>Nem</v>
      </c>
      <c r="E26">
        <f>IF(D26="Igen",Diákhitel!$I$4,0)</f>
        <v>0</v>
      </c>
      <c r="F26">
        <f>IF(Diákhitel!$J$4="Igen", IF(D26="Igen",Diákhitel!$E$4,0), 0)</f>
        <v>0</v>
      </c>
      <c r="G26">
        <f>E26+F26</f>
        <v>0</v>
      </c>
      <c r="H26">
        <f>H25*SQRT(1+r_f)+G26-O26-P26</f>
        <v>8808095.4253102429</v>
      </c>
      <c r="I26">
        <f>I25*SQRT(1+r_f)+E26*((1+k)/(1+r_f))^(Félévek_száma/2-C26)+F26/(1+r_f)^(Félévek_száma/2-C26)-O26-P26</f>
        <v>7609181.907683217</v>
      </c>
      <c r="J26">
        <f t="shared" ca="1" si="0"/>
        <v>15006135.383139385</v>
      </c>
      <c r="K26">
        <f ca="1">_xlfn.NORM.INV(RAND(),Diákhitel!$L$4/2,Diákhitel!$M$4)</f>
        <v>4.6756713112727125E-2</v>
      </c>
      <c r="L26">
        <f>L25*SQRT(1+k)+E26-O26</f>
        <v>6044187.0335283121</v>
      </c>
      <c r="M26">
        <f>MAX(M25+F26-P26,0)</f>
        <v>620000</v>
      </c>
      <c r="N26">
        <f>L26+M26</f>
        <v>6664187.0335283121</v>
      </c>
      <c r="O26">
        <f>IF(Diákhitel!$D$4="Stratégia 2",IF(AND(D26="Nem",D25="Igen"),L25*SQRT(1+k),0),IF(C26=Évek_száma,L25*SQRT(1+k),MIN(IF(D26="Igen",0,6*Diákhitel!$H$4*(0.06)),L25*SQRT(1+k))))</f>
        <v>360000</v>
      </c>
      <c r="P26">
        <f>IF(Diákhitel!$D$4="Stratégia 2",IF(AND(D26="Nem",D25="Igen"),M25,0),IF(C26=Évek_száma,M25,MIN(IF(D26="Igen",0,IF(M25=0,0,VLOOKUP(M25,Diákhitel!$R$30:$S$34,2)*Diákhitel!$H$4*6)),M25)))</f>
        <v>240000</v>
      </c>
      <c r="Q26">
        <f t="shared" si="1"/>
        <v>600000</v>
      </c>
      <c r="R26">
        <f>IF(Diákhitel!$D$4="Stratégia 1",H26-N26,IF(Diákhitel!$D$4="Stratégia 2",I26-N26,J26-N26))</f>
        <v>2143908.3917819308</v>
      </c>
      <c r="S26">
        <f>IF(Diákhitel!$D$4="Stratégia 2",H26-I26,0)</f>
        <v>0</v>
      </c>
    </row>
    <row r="27" spans="2:19" x14ac:dyDescent="0.25">
      <c r="B27">
        <v>21</v>
      </c>
      <c r="C27">
        <f>B27/2-0.5</f>
        <v>10</v>
      </c>
      <c r="D27" t="str">
        <f>IF(Diákhitel!$B$4&gt;=B27, "Igen", "Nem")</f>
        <v>Nem</v>
      </c>
      <c r="E27">
        <f>IF(D27="Igen",Diákhitel!$I$4,0)</f>
        <v>0</v>
      </c>
      <c r="F27">
        <f>IF(Diákhitel!$J$4="Igen", IF(D27="Igen",Diákhitel!$E$4,0), 0)</f>
        <v>0</v>
      </c>
      <c r="G27">
        <f>E27+F27</f>
        <v>0</v>
      </c>
      <c r="H27">
        <f>H26*SQRT(1+r_f)+G27-O27-P27</f>
        <v>2241726.4909497323</v>
      </c>
      <c r="I27">
        <f>I26*SQRT(1+r_f)+E27*((1+k)/(1+r_f))^(Félévek_száma/2-C27)+F27/(1+r_f)^(Félévek_száma/2-C27)-O27-P27</f>
        <v>1013205.7121729758</v>
      </c>
      <c r="J27">
        <f t="shared" ca="1" si="0"/>
        <v>8923887.4246265069</v>
      </c>
      <c r="K27">
        <f ca="1">_xlfn.NORM.INV(RAND(),Diákhitel!$L$4/2,Diákhitel!$M$4)</f>
        <v>4.4876733403993889E-2</v>
      </c>
      <c r="L27">
        <f>L26*SQRT(1+k)+E27-O27</f>
        <v>0</v>
      </c>
      <c r="M27">
        <f>MAX(M26+F27-P27,0)</f>
        <v>0</v>
      </c>
      <c r="N27">
        <f>L27+M27</f>
        <v>0</v>
      </c>
      <c r="O27">
        <f>IF(Diákhitel!$D$4="Stratégia 2",IF(AND(D27="Nem",D26="Igen"),L26*SQRT(1+k),0),IF(C27=Évek_száma,L26*SQRT(1+k),MIN(IF(D27="Igen",0,6*Diákhitel!$H$4*(0.06)),L26*SQRT(1+k))))</f>
        <v>6163885.5255530709</v>
      </c>
      <c r="P27">
        <f>IF(Diákhitel!$D$4="Stratégia 2",IF(AND(D27="Nem",D26="Igen"),M26,0),IF(C27=Évek_száma,M26,MIN(IF(D27="Igen",0,IF(M26=0,0,VLOOKUP(M26,Diákhitel!$R$30:$S$34,2)*Diákhitel!$H$4*6)),M26)))</f>
        <v>620000</v>
      </c>
      <c r="Q27">
        <f t="shared" si="1"/>
        <v>6783885.5255530709</v>
      </c>
      <c r="R27">
        <f>IF(Diákhitel!$D$4="Stratégia 1",H27-N27,IF(Diákhitel!$D$4="Stratégia 2",I27-N27,J27-N27))</f>
        <v>2241726.4909497323</v>
      </c>
      <c r="S27">
        <f>IF(Diákhitel!$D$4="Stratégia 2",H27-I27,0)</f>
        <v>0</v>
      </c>
    </row>
    <row r="28" spans="2:19" x14ac:dyDescent="0.25">
      <c r="B28">
        <v>22</v>
      </c>
      <c r="C28">
        <f>B28/2-0.5</f>
        <v>10.5</v>
      </c>
      <c r="D28" t="str">
        <f>IF(Diákhitel!$B$4&gt;=B28, "Igen", "Nem")</f>
        <v>Nem</v>
      </c>
      <c r="E28">
        <f>IF(D28="Igen",Diákhitel!$I$4,0)</f>
        <v>0</v>
      </c>
      <c r="F28">
        <f>IF(Diákhitel!$J$4="Igen", IF(D28="Igen",Diákhitel!$E$4,0), 0)</f>
        <v>0</v>
      </c>
      <c r="G28">
        <f>E28+F28</f>
        <v>0</v>
      </c>
      <c r="H28">
        <f>H27*SQRT(1+r_f)+G28-O28-P28</f>
        <v>2297086.0983509282</v>
      </c>
      <c r="I28">
        <f>I27*SQRT(1+r_f)+E28*((1+k)/(1+r_f))^(Félévek_száma/2-C28)+F28/(1+r_f)^(Félévek_száma/2-C28)-O28-P28</f>
        <v>1038226.9048425516</v>
      </c>
      <c r="J28">
        <f t="shared" ca="1" si="0"/>
        <v>9324362.3415087238</v>
      </c>
      <c r="K28">
        <f ca="1">_xlfn.NORM.INV(RAND(),Diákhitel!$L$4/2,Diákhitel!$M$4)</f>
        <v>4.4951952403471572E-2</v>
      </c>
      <c r="L28">
        <f>L27*SQRT(1+k)+E28-O28</f>
        <v>0</v>
      </c>
      <c r="M28">
        <f>MAX(M27+F28-P28,0)</f>
        <v>0</v>
      </c>
      <c r="N28">
        <f>L28+M28</f>
        <v>0</v>
      </c>
      <c r="O28">
        <f>IF(Diákhitel!$D$4="Stratégia 2",IF(AND(D28="Nem",D27="Igen"),L27*SQRT(1+k),0),IF(C28=Évek_száma,L27*SQRT(1+k),MIN(IF(D28="Igen",0,6*Diákhitel!$H$4*(0.06)),L27*SQRT(1+k))))</f>
        <v>0</v>
      </c>
      <c r="P28">
        <f>IF(Diákhitel!$D$4="Stratégia 2",IF(AND(D28="Nem",D27="Igen"),M27,0),IF(C28=Évek_száma,M27,MIN(IF(D28="Igen",0,IF(M27=0,0,VLOOKUP(M27,Diákhitel!$R$30:$S$34,2)*Diákhitel!$H$4*6)),M27)))</f>
        <v>0</v>
      </c>
      <c r="Q28">
        <f t="shared" si="1"/>
        <v>0</v>
      </c>
      <c r="R28">
        <f>IF(Diákhitel!$D$4="Stratégia 1",H28-N28,IF(Diákhitel!$D$4="Stratégia 2",I28-N28,J28-N28))</f>
        <v>2297086.0983509282</v>
      </c>
      <c r="S28">
        <f>IF(Diákhitel!$D$4="Stratégia 2",H28-I28,0)</f>
        <v>0</v>
      </c>
    </row>
    <row r="29" spans="2:19" x14ac:dyDescent="0.25">
      <c r="B29">
        <v>23</v>
      </c>
      <c r="C29">
        <f>B29/2-0.5</f>
        <v>11</v>
      </c>
      <c r="D29" t="str">
        <f>IF(Diákhitel!$B$4&gt;=B29, "Igen", "Nem")</f>
        <v>Nem</v>
      </c>
      <c r="E29">
        <f>IF(D29="Igen",Diákhitel!$I$4,0)</f>
        <v>0</v>
      </c>
      <c r="F29">
        <f>IF(Diákhitel!$J$4="Igen", IF(D29="Igen",Diákhitel!$E$4,0), 0)</f>
        <v>0</v>
      </c>
      <c r="G29">
        <f>E29+F29</f>
        <v>0</v>
      </c>
      <c r="H29">
        <f>H28*SQRT(1+r_f)+G29-O29-P29</f>
        <v>2353812.8154972191</v>
      </c>
      <c r="I29">
        <f>I28*SQRT(1+r_f)+E29*((1+k)/(1+r_f))^(Félévek_száma/2-C29)+F29/(1+r_f)^(Félévek_száma/2-C29)-O29-P29</f>
        <v>1063865.9977816248</v>
      </c>
      <c r="J29">
        <f t="shared" ca="1" si="0"/>
        <v>9743510.6336769462</v>
      </c>
      <c r="K29">
        <f ca="1">_xlfn.NORM.INV(RAND(),Diákhitel!$L$4/2,Diákhitel!$M$4)</f>
        <v>3.9352287597351585E-2</v>
      </c>
      <c r="L29">
        <f>L28*SQRT(1+k)+E29-O29</f>
        <v>0</v>
      </c>
      <c r="M29">
        <f>MAX(M28+F29-P29,0)</f>
        <v>0</v>
      </c>
      <c r="N29">
        <f>L29+M29</f>
        <v>0</v>
      </c>
      <c r="O29">
        <f>IF(Diákhitel!$D$4="Stratégia 2",IF(AND(D29="Nem",D28="Igen"),L28*SQRT(1+k),0),IF(C29=Évek_száma,L28*SQRT(1+k),MIN(IF(D29="Igen",0,6*Diákhitel!$H$4*(0.06)),L28*SQRT(1+k))))</f>
        <v>0</v>
      </c>
      <c r="P29">
        <f>IF(Diákhitel!$D$4="Stratégia 2",IF(AND(D29="Nem",D28="Igen"),M28,0),IF(C29=Évek_száma,M28,MIN(IF(D29="Igen",0,IF(M28=0,0,VLOOKUP(M28,Diákhitel!$R$30:$S$34,2)*Diákhitel!$H$4*6)),M28)))</f>
        <v>0</v>
      </c>
      <c r="Q29">
        <f t="shared" si="1"/>
        <v>0</v>
      </c>
      <c r="R29">
        <f>IF(Diákhitel!$D$4="Stratégia 1",H29-N29,IF(Diákhitel!$D$4="Stratégia 2",I29-N29,J29-N29))</f>
        <v>2353812.8154972191</v>
      </c>
      <c r="S29">
        <f>IF(Diákhitel!$D$4="Stratégia 2",H29-I29,0)</f>
        <v>0</v>
      </c>
    </row>
    <row r="30" spans="2:19" x14ac:dyDescent="0.25">
      <c r="B30">
        <v>24</v>
      </c>
      <c r="C30">
        <f>B30/2-0.5</f>
        <v>11.5</v>
      </c>
      <c r="D30" t="str">
        <f>IF(Diákhitel!$B$4&gt;=B30, "Igen", "Nem")</f>
        <v>Nem</v>
      </c>
      <c r="E30">
        <f>IF(D30="Igen",Diákhitel!$I$4,0)</f>
        <v>0</v>
      </c>
      <c r="F30">
        <f>IF(Diákhitel!$J$4="Igen", IF(D30="Igen",Diákhitel!$E$4,0), 0)</f>
        <v>0</v>
      </c>
      <c r="G30">
        <f>E30+F30</f>
        <v>0</v>
      </c>
      <c r="H30">
        <f>H29*SQRT(1+r_f)+G30-O30-P30</f>
        <v>2411940.4032684751</v>
      </c>
      <c r="I30">
        <f>I29*SQRT(1+r_f)+E30*((1+k)/(1+r_f))^(Félévek_száma/2-C30)+F30/(1+r_f)^(Félévek_száma/2-C30)-O30-P30</f>
        <v>1090138.2500846793</v>
      </c>
      <c r="J30">
        <f t="shared" ca="1" si="0"/>
        <v>10126940.066341255</v>
      </c>
      <c r="K30">
        <f ca="1">_xlfn.NORM.INV(RAND(),Diákhitel!$L$4/2,Diákhitel!$M$4)</f>
        <v>4.5392406765803223E-2</v>
      </c>
      <c r="L30">
        <f>L29*SQRT(1+k)+E30-O30</f>
        <v>0</v>
      </c>
      <c r="M30">
        <f>MAX(M29+F30-P30,0)</f>
        <v>0</v>
      </c>
      <c r="N30">
        <f>L30+M30</f>
        <v>0</v>
      </c>
      <c r="O30">
        <f>IF(Diákhitel!$D$4="Stratégia 2",IF(AND(D30="Nem",D29="Igen"),L29*SQRT(1+k),0),IF(C30=Évek_száma,L29*SQRT(1+k),MIN(IF(D30="Igen",0,6*Diákhitel!$H$4*(0.06)),L29*SQRT(1+k))))</f>
        <v>0</v>
      </c>
      <c r="P30">
        <f>IF(Diákhitel!$D$4="Stratégia 2",IF(AND(D30="Nem",D29="Igen"),M29,0),IF(C30=Évek_száma,M29,MIN(IF(D30="Igen",0,IF(M29=0,0,VLOOKUP(M29,Diákhitel!$R$30:$S$34,2)*Diákhitel!$H$4*6)),M29)))</f>
        <v>0</v>
      </c>
      <c r="Q30">
        <f t="shared" si="1"/>
        <v>0</v>
      </c>
      <c r="R30">
        <f>IF(Diákhitel!$D$4="Stratégia 1",H30-N30,IF(Diákhitel!$D$4="Stratégia 2",I30-N30,J30-N30))</f>
        <v>2411940.4032684751</v>
      </c>
      <c r="S30">
        <f>IF(Diákhitel!$D$4="Stratégia 2",H30-I30,0)</f>
        <v>0</v>
      </c>
    </row>
    <row r="31" spans="2:19" x14ac:dyDescent="0.25">
      <c r="B31">
        <v>25</v>
      </c>
      <c r="C31">
        <f>B31/2-0.5</f>
        <v>12</v>
      </c>
      <c r="D31" t="str">
        <f>IF(Diákhitel!$B$4&gt;=B31, "Igen", "Nem")</f>
        <v>Nem</v>
      </c>
      <c r="E31">
        <f>IF(D31="Igen",Diákhitel!$I$4,0)</f>
        <v>0</v>
      </c>
      <c r="F31">
        <f>IF(Diákhitel!$J$4="Igen", IF(D31="Igen",Diákhitel!$E$4,0), 0)</f>
        <v>0</v>
      </c>
      <c r="G31">
        <f>E31+F31</f>
        <v>0</v>
      </c>
      <c r="H31">
        <f>H30*SQRT(1+r_f)+G31-O31-P31</f>
        <v>2471503.4562720805</v>
      </c>
      <c r="I31">
        <f>I30*SQRT(1+r_f)+E31*((1+k)/(1+r_f))^(Félévek_száma/2-C31)+F31/(1+r_f)^(Félévek_száma/2-C31)-O31-P31</f>
        <v>1117059.2976707062</v>
      </c>
      <c r="J31">
        <f t="shared" ca="1" si="0"/>
        <v>10586626.249125527</v>
      </c>
      <c r="K31">
        <f ca="1">_xlfn.NORM.INV(RAND(),Diákhitel!$L$4/2,Diákhitel!$M$4)</f>
        <v>6.1941173412470379E-2</v>
      </c>
      <c r="L31">
        <f>L30*SQRT(1+k)+E31-O31</f>
        <v>0</v>
      </c>
      <c r="M31">
        <f>MAX(M30+F31-P31,0)</f>
        <v>0</v>
      </c>
      <c r="N31">
        <f>L31+M31</f>
        <v>0</v>
      </c>
      <c r="O31">
        <f>IF(Diákhitel!$D$4="Stratégia 2",IF(AND(D31="Nem",D30="Igen"),L30*SQRT(1+k),0),IF(C31=Évek_száma,L30*SQRT(1+k),MIN(IF(D31="Igen",0,6*Diákhitel!$H$4*(0.06)),L30*SQRT(1+k))))</f>
        <v>0</v>
      </c>
      <c r="P31">
        <f>IF(Diákhitel!$D$4="Stratégia 2",IF(AND(D31="Nem",D30="Igen"),M30,0),IF(C31=Évek_száma,M30,MIN(IF(D31="Igen",0,IF(M30=0,0,VLOOKUP(M30,Diákhitel!$R$30:$S$34,2)*Diákhitel!$H$4*6)),M30)))</f>
        <v>0</v>
      </c>
      <c r="Q31">
        <f t="shared" si="1"/>
        <v>0</v>
      </c>
      <c r="R31">
        <f>IF(Diákhitel!$D$4="Stratégia 1",H31-N31,IF(Diákhitel!$D$4="Stratégia 2",I31-N31,J31-N31))</f>
        <v>2471503.4562720805</v>
      </c>
      <c r="S31">
        <f>IF(Diákhitel!$D$4="Stratégia 2",H31-I31,0)</f>
        <v>0</v>
      </c>
    </row>
    <row r="32" spans="2:19" x14ac:dyDescent="0.25">
      <c r="B32">
        <v>26</v>
      </c>
      <c r="C32">
        <f>B32/2-0.5</f>
        <v>12.5</v>
      </c>
      <c r="D32" t="str">
        <f>IF(Diákhitel!$B$4&gt;=B32, "Igen", "Nem")</f>
        <v>Nem</v>
      </c>
      <c r="E32">
        <f>IF(D32="Igen",Diákhitel!$I$4,0)</f>
        <v>0</v>
      </c>
      <c r="F32">
        <f>IF(Diákhitel!$J$4="Igen", IF(D32="Igen",Diákhitel!$E$4,0), 0)</f>
        <v>0</v>
      </c>
      <c r="G32">
        <f>E32+F32</f>
        <v>0</v>
      </c>
      <c r="H32">
        <f>H31*SQRT(1+r_f)+G32-O32-P32</f>
        <v>2532537.4234318994</v>
      </c>
      <c r="I32">
        <f>I31*SQRT(1+r_f)+E32*((1+k)/(1+r_f))^(Félévek_száma/2-C32)+F32/(1+r_f)^(Félévek_száma/2-C32)-O32-P32</f>
        <v>1144645.1625889135</v>
      </c>
      <c r="J32">
        <f t="shared" ca="1" si="0"/>
        <v>11242374.301475622</v>
      </c>
      <c r="K32">
        <f ca="1">_xlfn.NORM.INV(RAND(),Diákhitel!$L$4/2,Diákhitel!$M$4)</f>
        <v>4.2946481518802947E-2</v>
      </c>
      <c r="L32">
        <f>L31*SQRT(1+k)+E32-O32</f>
        <v>0</v>
      </c>
      <c r="M32">
        <f>MAX(M31+F32-P32,0)</f>
        <v>0</v>
      </c>
      <c r="N32">
        <f>L32+M32</f>
        <v>0</v>
      </c>
      <c r="O32">
        <f>IF(Diákhitel!$D$4="Stratégia 2",IF(AND(D32="Nem",D31="Igen"),L31*SQRT(1+k),0),IF(C32=Évek_száma,L31*SQRT(1+k),MIN(IF(D32="Igen",0,6*Diákhitel!$H$4*(0.06)),L31*SQRT(1+k))))</f>
        <v>0</v>
      </c>
      <c r="P32">
        <f>IF(Diákhitel!$D$4="Stratégia 2",IF(AND(D32="Nem",D31="Igen"),M31,0),IF(C32=Évek_száma,M31,MIN(IF(D32="Igen",0,IF(M31=0,0,VLOOKUP(M31,Diákhitel!$R$30:$S$34,2)*Diákhitel!$H$4*6)),M31)))</f>
        <v>0</v>
      </c>
      <c r="Q32">
        <f t="shared" si="1"/>
        <v>0</v>
      </c>
      <c r="R32">
        <f>IF(Diákhitel!$D$4="Stratégia 1",H32-N32,IF(Diákhitel!$D$4="Stratégia 2",I32-N32,J32-N32))</f>
        <v>2532537.4234318994</v>
      </c>
      <c r="S32">
        <f>IF(Diákhitel!$D$4="Stratégia 2",H32-I32,0)</f>
        <v>0</v>
      </c>
    </row>
    <row r="33" spans="2:19" x14ac:dyDescent="0.25">
      <c r="B33">
        <v>27</v>
      </c>
      <c r="C33">
        <f>B33/2-0.5</f>
        <v>13</v>
      </c>
      <c r="D33" t="str">
        <f>IF(Diákhitel!$B$4&gt;=B33, "Igen", "Nem")</f>
        <v>Nem</v>
      </c>
      <c r="E33">
        <f>IF(D33="Igen",Diákhitel!$I$4,0)</f>
        <v>0</v>
      </c>
      <c r="F33">
        <f>IF(Diákhitel!$J$4="Igen", IF(D33="Igen",Diákhitel!$E$4,0), 0)</f>
        <v>0</v>
      </c>
      <c r="G33">
        <f>E33+F33</f>
        <v>0</v>
      </c>
      <c r="H33">
        <f>H32*SQRT(1+r_f)+G33-O33-P33</f>
        <v>2595078.6290856851</v>
      </c>
      <c r="I33">
        <f>I32*SQRT(1+r_f)+E33*((1+k)/(1+r_f))^(Félévek_száma/2-C33)+F33/(1+r_f)^(Félévek_száma/2-C33)-O33-P33</f>
        <v>1172912.2625542416</v>
      </c>
      <c r="J33">
        <f t="shared" ca="1" si="0"/>
        <v>11725194.72164141</v>
      </c>
      <c r="K33">
        <f ca="1">_xlfn.NORM.INV(RAND(),Diákhitel!$L$4/2,Diákhitel!$M$4)</f>
        <v>7.1417638883193246E-2</v>
      </c>
      <c r="L33">
        <f>L32*SQRT(1+k)+E33-O33</f>
        <v>0</v>
      </c>
      <c r="M33">
        <f>MAX(M32+F33-P33,0)</f>
        <v>0</v>
      </c>
      <c r="N33">
        <f>L33+M33</f>
        <v>0</v>
      </c>
      <c r="O33">
        <f>IF(Diákhitel!$D$4="Stratégia 2",IF(AND(D33="Nem",D32="Igen"),L32*SQRT(1+k),0),IF(C33=Évek_száma,L32*SQRT(1+k),MIN(IF(D33="Igen",0,6*Diákhitel!$H$4*(0.06)),L32*SQRT(1+k))))</f>
        <v>0</v>
      </c>
      <c r="P33">
        <f>IF(Diákhitel!$D$4="Stratégia 2",IF(AND(D33="Nem",D32="Igen"),M32,0),IF(C33=Évek_száma,M32,MIN(IF(D33="Igen",0,IF(M32=0,0,VLOOKUP(M32,Diákhitel!$R$30:$S$34,2)*Diákhitel!$H$4*6)),M32)))</f>
        <v>0</v>
      </c>
      <c r="Q33">
        <f t="shared" si="1"/>
        <v>0</v>
      </c>
      <c r="R33">
        <f>IF(Diákhitel!$D$4="Stratégia 1",H33-N33,IF(Diákhitel!$D$4="Stratégia 2",I33-N33,J33-N33))</f>
        <v>2595078.6290856851</v>
      </c>
      <c r="S33">
        <f>IF(Diákhitel!$D$4="Stratégia 2",H33-I33,0)</f>
        <v>0</v>
      </c>
    </row>
    <row r="34" spans="2:19" x14ac:dyDescent="0.25">
      <c r="B34">
        <v>28</v>
      </c>
      <c r="C34">
        <f>B34/2-0.5</f>
        <v>13.5</v>
      </c>
      <c r="D34" t="str">
        <f>IF(Diákhitel!$B$4&gt;=B34, "Igen", "Nem")</f>
        <v>Nem</v>
      </c>
      <c r="E34">
        <f>IF(D34="Igen",Diákhitel!$I$4,0)</f>
        <v>0</v>
      </c>
      <c r="F34">
        <f>IF(Diákhitel!$J$4="Igen", IF(D34="Igen",Diákhitel!$E$4,0), 0)</f>
        <v>0</v>
      </c>
      <c r="G34">
        <f>E34+F34</f>
        <v>0</v>
      </c>
      <c r="H34">
        <f>H33*SQRT(1+r_f)+G34-O34-P34</f>
        <v>2659164.2946034949</v>
      </c>
      <c r="I34">
        <f>I33*SQRT(1+r_f)+E34*((1+k)/(1+r_f))^(Félévek_száma/2-C34)+F34/(1+r_f)^(Félévek_száma/2-C34)-O34-P34</f>
        <v>1201877.4207183593</v>
      </c>
      <c r="J34">
        <f t="shared" ca="1" si="0"/>
        <v>12562580.44410672</v>
      </c>
      <c r="K34">
        <f ca="1">_xlfn.NORM.INV(RAND(),Diákhitel!$L$4/2,Diákhitel!$M$4)</f>
        <v>3.7249637802988109E-2</v>
      </c>
      <c r="L34">
        <f>L33*SQRT(1+k)+E34-O34</f>
        <v>0</v>
      </c>
      <c r="M34">
        <f>MAX(M33+F34-P34,0)</f>
        <v>0</v>
      </c>
      <c r="N34">
        <f>L34+M34</f>
        <v>0</v>
      </c>
      <c r="O34">
        <f>IF(Diákhitel!$D$4="Stratégia 2",IF(AND(D34="Nem",D33="Igen"),L33*SQRT(1+k),0),IF(C34=Évek_száma,L33*SQRT(1+k),MIN(IF(D34="Igen",0,6*Diákhitel!$H$4*(0.06)),L33*SQRT(1+k))))</f>
        <v>0</v>
      </c>
      <c r="P34">
        <f>IF(Diákhitel!$D$4="Stratégia 2",IF(AND(D34="Nem",D33="Igen"),M33,0),IF(C34=Évek_száma,M33,MIN(IF(D34="Igen",0,IF(M33=0,0,VLOOKUP(M33,Diákhitel!$R$30:$S$34,2)*Diákhitel!$H$4*6)),M33)))</f>
        <v>0</v>
      </c>
      <c r="Q34">
        <f t="shared" si="1"/>
        <v>0</v>
      </c>
      <c r="R34">
        <f>IF(Diákhitel!$D$4="Stratégia 1",H34-N34,IF(Diákhitel!$D$4="Stratégia 2",I34-N34,J34-N34))</f>
        <v>2659164.2946034949</v>
      </c>
      <c r="S34">
        <f>IF(Diákhitel!$D$4="Stratégia 2",H34-I34,0)</f>
        <v>0</v>
      </c>
    </row>
    <row r="35" spans="2:19" x14ac:dyDescent="0.25">
      <c r="B35">
        <v>29</v>
      </c>
      <c r="C35">
        <f>B35/2-0.5</f>
        <v>14</v>
      </c>
      <c r="D35" t="str">
        <f>IF(Diákhitel!$B$4&gt;=B35, "Igen", "Nem")</f>
        <v>Nem</v>
      </c>
      <c r="E35">
        <f>IF(D35="Igen",Diákhitel!$I$4,0)</f>
        <v>0</v>
      </c>
      <c r="F35">
        <f>IF(Diákhitel!$J$4="Igen", IF(D35="Igen",Diákhitel!$E$4,0), 0)</f>
        <v>0</v>
      </c>
      <c r="G35">
        <f>E35+F35</f>
        <v>0</v>
      </c>
      <c r="H35">
        <f>H34*SQRT(1+r_f)+G35-O35-P35</f>
        <v>2724832.5605399702</v>
      </c>
      <c r="I35">
        <f>I34*SQRT(1+r_f)+E35*((1+k)/(1+r_f))^(Félévek_száma/2-C35)+F35/(1+r_f)^(Félévek_száma/2-C35)-O35-P35</f>
        <v>1231557.875681954</v>
      </c>
      <c r="J35">
        <f t="shared" ca="1" si="0"/>
        <v>13030532.015520597</v>
      </c>
      <c r="K35">
        <f ca="1">_xlfn.NORM.INV(RAND(),Diákhitel!$L$4/2,Diákhitel!$M$4)</f>
        <v>6.7243363461481728E-2</v>
      </c>
      <c r="L35">
        <f>L34*SQRT(1+k)+E35-O35</f>
        <v>0</v>
      </c>
      <c r="M35">
        <f>MAX(M34+F35-P35,0)</f>
        <v>0</v>
      </c>
      <c r="N35">
        <f>L35+M35</f>
        <v>0</v>
      </c>
      <c r="O35">
        <f>IF(Diákhitel!$D$4="Stratégia 2",IF(AND(D35="Nem",D34="Igen"),L34*SQRT(1+k),0),IF(C35=Évek_száma,L34*SQRT(1+k),MIN(IF(D35="Igen",0,6*Diákhitel!$H$4*(0.06)),L34*SQRT(1+k))))</f>
        <v>0</v>
      </c>
      <c r="P35">
        <f>IF(Diákhitel!$D$4="Stratégia 2",IF(AND(D35="Nem",D34="Igen"),M34,0),IF(C35=Évek_száma,M34,MIN(IF(D35="Igen",0,IF(M34=0,0,VLOOKUP(M34,Diákhitel!$R$30:$S$34,2)*Diákhitel!$H$4*6)),M34)))</f>
        <v>0</v>
      </c>
      <c r="Q35">
        <f t="shared" si="1"/>
        <v>0</v>
      </c>
      <c r="R35">
        <f>IF(Diákhitel!$D$4="Stratégia 1",H35-N35,IF(Diákhitel!$D$4="Stratégia 2",I35-N35,J35-N35))</f>
        <v>2724832.5605399702</v>
      </c>
      <c r="S35">
        <f>IF(Diákhitel!$D$4="Stratégia 2",H35-I35,0)</f>
        <v>0</v>
      </c>
    </row>
    <row r="36" spans="2:19" x14ac:dyDescent="0.25">
      <c r="B36">
        <v>30</v>
      </c>
      <c r="C36">
        <f>B36/2-0.5</f>
        <v>14.5</v>
      </c>
      <c r="D36" t="str">
        <f>IF(Diákhitel!$B$4&gt;=B36, "Igen", "Nem")</f>
        <v>Nem</v>
      </c>
      <c r="E36">
        <f>IF(D36="Igen",Diákhitel!$I$4,0)</f>
        <v>0</v>
      </c>
      <c r="F36">
        <f>IF(Diákhitel!$J$4="Igen", IF(D36="Igen",Diákhitel!$E$4,0), 0)</f>
        <v>0</v>
      </c>
      <c r="G36">
        <f>E36+F36</f>
        <v>0</v>
      </c>
      <c r="H36">
        <f>H35*SQRT(1+r_f)+G36-O36-P36</f>
        <v>2792122.5093336701</v>
      </c>
      <c r="I36">
        <f>I35*SQRT(1+r_f)+E36*((1+k)/(1+r_f))^(Félévek_száma/2-C36)+F36/(1+r_f)^(Félévek_száma/2-C36)-O36-P36</f>
        <v>1261971.2917542774</v>
      </c>
      <c r="J36">
        <f t="shared" ca="1" si="0"/>
        <v>13906748.815936722</v>
      </c>
      <c r="K36">
        <f ca="1">_xlfn.NORM.INV(RAND(),Diákhitel!$L$4/2,Diákhitel!$M$4)</f>
        <v>6.9668285570927982E-2</v>
      </c>
      <c r="L36">
        <f>L35*SQRT(1+k)+E36-O36</f>
        <v>0</v>
      </c>
      <c r="M36">
        <f>MAX(M35+F36-P36,0)</f>
        <v>0</v>
      </c>
      <c r="N36">
        <f>L36+M36</f>
        <v>0</v>
      </c>
      <c r="O36">
        <f>IF(Diákhitel!$D$4="Stratégia 2",IF(AND(D36="Nem",D35="Igen"),L35*SQRT(1+k),0),IF(C36=Évek_száma,L35*SQRT(1+k),MIN(IF(D36="Igen",0,6*Diákhitel!$H$4*(0.06)),L35*SQRT(1+k))))</f>
        <v>0</v>
      </c>
      <c r="P36">
        <f>IF(Diákhitel!$D$4="Stratégia 2",IF(AND(D36="Nem",D35="Igen"),M35,0),IF(C36=Évek_száma,M35,MIN(IF(D36="Igen",0,IF(M35=0,0,VLOOKUP(M35,Diákhitel!$R$30:$S$34,2)*Diákhitel!$H$4*6)),M35)))</f>
        <v>0</v>
      </c>
      <c r="Q36">
        <f t="shared" si="1"/>
        <v>0</v>
      </c>
      <c r="R36">
        <f>IF(Diákhitel!$D$4="Stratégia 1",H36-N36,IF(Diákhitel!$D$4="Stratégia 2",I36-N36,J36-N36))</f>
        <v>2792122.5093336701</v>
      </c>
      <c r="S36">
        <f>IF(Diákhitel!$D$4="Stratégia 2",H36-I36,0)</f>
        <v>0</v>
      </c>
    </row>
    <row r="37" spans="2:19" x14ac:dyDescent="0.25">
      <c r="B37">
        <v>31</v>
      </c>
      <c r="C37">
        <f>B37/2-0.5</f>
        <v>15</v>
      </c>
      <c r="D37" t="str">
        <f>IF(Diákhitel!$B$4&gt;=B37, "Igen", "Nem")</f>
        <v>Nem</v>
      </c>
      <c r="E37">
        <f>IF(D37="Igen",Diákhitel!$I$4,0)</f>
        <v>0</v>
      </c>
      <c r="F37">
        <f>IF(Diákhitel!$J$4="Igen", IF(D37="Igen",Diákhitel!$E$4,0), 0)</f>
        <v>0</v>
      </c>
      <c r="G37">
        <f>E37+F37</f>
        <v>0</v>
      </c>
      <c r="H37">
        <f>H36*SQRT(1+r_f)+G37-O37-P37</f>
        <v>2861074.1885669688</v>
      </c>
      <c r="I37">
        <f>I36*SQRT(1+r_f)+E37*((1+k)/(1+r_f))^(Félévek_száma/2-C37)+F37/(1+r_f)^(Félévek_száma/2-C37)-O37-P37</f>
        <v>1293135.7694660518</v>
      </c>
      <c r="J37">
        <f t="shared" ca="1" si="0"/>
        <v>14875608.163808567</v>
      </c>
      <c r="K37">
        <f ca="1">_xlfn.NORM.INV(RAND(),Diákhitel!$L$4/2,Diákhitel!$M$4)</f>
        <v>5.3593706807787661E-2</v>
      </c>
      <c r="L37">
        <f>L36*SQRT(1+k)+E37-O37</f>
        <v>0</v>
      </c>
      <c r="M37">
        <f>MAX(M36+F37-P37,0)</f>
        <v>0</v>
      </c>
      <c r="N37">
        <f>L37+M37</f>
        <v>0</v>
      </c>
      <c r="O37">
        <f>IF(Diákhitel!$D$4="Stratégia 2",IF(AND(D37="Nem",D36="Igen"),L36*SQRT(1+k),0),IF(C37=Évek_száma,L36*SQRT(1+k),MIN(IF(D37="Igen",0,6*Diákhitel!$H$4*(0.06)),L36*SQRT(1+k))))</f>
        <v>0</v>
      </c>
      <c r="P37">
        <f>IF(Diákhitel!$D$4="Stratégia 2",IF(AND(D37="Nem",D36="Igen"),M36,0),IF(C37=Évek_száma,M36,MIN(IF(D37="Igen",0,IF(M36=0,0,VLOOKUP(M36,Diákhitel!$R$30:$S$34,2)*Diákhitel!$H$4*6)),M36)))</f>
        <v>0</v>
      </c>
      <c r="Q37">
        <f t="shared" si="1"/>
        <v>0</v>
      </c>
      <c r="R37">
        <f>IF(Diákhitel!$D$4="Stratégia 1",H37-N37,IF(Diákhitel!$D$4="Stratégia 2",I37-N37,J37-N37))</f>
        <v>2861074.1885669688</v>
      </c>
      <c r="S37">
        <f>IF(Diákhitel!$D$4="Stratégia 2",H37-I37,0)</f>
        <v>0</v>
      </c>
    </row>
    <row r="38" spans="2:19" x14ac:dyDescent="0.25">
      <c r="B38">
        <v>32</v>
      </c>
      <c r="C38">
        <f>B38/2-0.5</f>
        <v>15.5</v>
      </c>
      <c r="D38" t="str">
        <f>IF(Diákhitel!$B$4&gt;=B38, "Igen", "Nem")</f>
        <v>Nem</v>
      </c>
      <c r="E38">
        <f>IF(D38="Igen",Diákhitel!$I$4,0)</f>
        <v>0</v>
      </c>
      <c r="F38">
        <f>IF(Diákhitel!$J$4="Igen", IF(D38="Igen",Diákhitel!$E$4,0), 0)</f>
        <v>0</v>
      </c>
      <c r="G38">
        <f>E38+F38</f>
        <v>0</v>
      </c>
      <c r="H38">
        <f>H37*SQRT(1+r_f)+G38-O38-P38</f>
        <v>2931728.634800354</v>
      </c>
      <c r="I38">
        <f>I37*SQRT(1+r_f)+E38*((1+k)/(1+r_f))^(Félévek_száma/2-C38)+F38/(1+r_f)^(Félévek_száma/2-C38)-O38-P38</f>
        <v>1325069.8563419916</v>
      </c>
      <c r="J38">
        <f t="shared" ca="1" si="0"/>
        <v>15672847.146327255</v>
      </c>
      <c r="K38">
        <f ca="1">_xlfn.NORM.INV(RAND(),Diákhitel!$L$4/2,Diákhitel!$M$4)</f>
        <v>5.7186352625537944E-2</v>
      </c>
      <c r="L38">
        <f>L37*SQRT(1+k)+E38-O38</f>
        <v>0</v>
      </c>
      <c r="M38">
        <f>MAX(M37+F38-P38,0)</f>
        <v>0</v>
      </c>
      <c r="N38">
        <f>L38+M38</f>
        <v>0</v>
      </c>
      <c r="O38">
        <f>IF(Diákhitel!$D$4="Stratégia 2",IF(AND(D38="Nem",D37="Igen"),L37*SQRT(1+k),0),IF(C38=Évek_száma,L37*SQRT(1+k),MIN(IF(D38="Igen",0,6*Diákhitel!$H$4*(0.06)),L37*SQRT(1+k))))</f>
        <v>0</v>
      </c>
      <c r="P38">
        <f>IF(Diákhitel!$D$4="Stratégia 2",IF(AND(D38="Nem",D37="Igen"),M37,0),IF(C38=Évek_száma,M37,MIN(IF(D38="Igen",0,IF(M37=0,0,VLOOKUP(M37,Diákhitel!$R$30:$S$34,2)*Diákhitel!$H$4*6)),M37)))</f>
        <v>0</v>
      </c>
      <c r="Q38">
        <f t="shared" si="1"/>
        <v>0</v>
      </c>
      <c r="R38">
        <f>IF(Diákhitel!$D$4="Stratégia 1",H38-N38,IF(Diákhitel!$D$4="Stratégia 2",I38-N38,J38-N38))</f>
        <v>2931728.634800354</v>
      </c>
      <c r="S38">
        <f>IF(Diákhitel!$D$4="Stratégia 2",H38-I38,0)</f>
        <v>0</v>
      </c>
    </row>
    <row r="39" spans="2:19" x14ac:dyDescent="0.25">
      <c r="B39">
        <v>33</v>
      </c>
      <c r="C39">
        <f>B39/2-0.5</f>
        <v>16</v>
      </c>
      <c r="D39" t="str">
        <f>IF(Diákhitel!$B$4&gt;=B39, "Igen", "Nem")</f>
        <v>Nem</v>
      </c>
      <c r="E39">
        <f>IF(D39="Igen",Diákhitel!$I$4,0)</f>
        <v>0</v>
      </c>
      <c r="F39">
        <f>IF(Diákhitel!$J$4="Igen", IF(D39="Igen",Diákhitel!$E$4,0), 0)</f>
        <v>0</v>
      </c>
      <c r="G39">
        <f>E39+F39</f>
        <v>0</v>
      </c>
      <c r="H39">
        <f>H38*SQRT(1+r_f)+G39-O39-P39</f>
        <v>3004127.8979953178</v>
      </c>
      <c r="I39">
        <f>I38*SQRT(1+r_f)+E39*((1+k)/(1+r_f))^(Félévek_száma/2-C39)+F39/(1+r_f)^(Félévek_száma/2-C39)-O39-P39</f>
        <v>1357792.5579393546</v>
      </c>
      <c r="J39">
        <f t="shared" ca="1" si="0"/>
        <v>16569120.10988328</v>
      </c>
      <c r="K39">
        <f ca="1">_xlfn.NORM.INV(RAND(),Diákhitel!$L$4/2,Diákhitel!$M$4)</f>
        <v>5.014167660977166E-2</v>
      </c>
      <c r="L39">
        <f>L38*SQRT(1+k)+E39-O39</f>
        <v>0</v>
      </c>
      <c r="M39">
        <f>MAX(M38+F39-P39,0)</f>
        <v>0</v>
      </c>
      <c r="N39">
        <f>L39+M39</f>
        <v>0</v>
      </c>
      <c r="O39">
        <f>IF(Diákhitel!$D$4="Stratégia 2",IF(AND(D39="Nem",D38="Igen"),L38*SQRT(1+k),0),IF(C39=Évek_száma,L38*SQRT(1+k),MIN(IF(D39="Igen",0,6*Diákhitel!$H$4*(0.06)),L38*SQRT(1+k))))</f>
        <v>0</v>
      </c>
      <c r="P39">
        <f>IF(Diákhitel!$D$4="Stratégia 2",IF(AND(D39="Nem",D38="Igen"),M38,0),IF(C39=Évek_száma,M38,MIN(IF(D39="Igen",0,IF(M38=0,0,VLOOKUP(M38,Diákhitel!$R$30:$S$34,2)*Diákhitel!$H$4*6)),M38)))</f>
        <v>0</v>
      </c>
      <c r="Q39">
        <f t="shared" si="1"/>
        <v>0</v>
      </c>
      <c r="R39">
        <f>IF(Diákhitel!$D$4="Stratégia 1",H39-N39,IF(Diákhitel!$D$4="Stratégia 2",I39-N39,J39-N39))</f>
        <v>3004127.8979953178</v>
      </c>
      <c r="S39">
        <f>IF(Diákhitel!$D$4="Stratégia 2",H39-I39,0)</f>
        <v>0</v>
      </c>
    </row>
    <row r="40" spans="2:19" x14ac:dyDescent="0.25">
      <c r="B40">
        <v>34</v>
      </c>
      <c r="C40">
        <f>B40/2-0.5</f>
        <v>16.5</v>
      </c>
      <c r="D40" t="str">
        <f>IF(Diákhitel!$B$4&gt;=B40, "Igen", "Nem")</f>
        <v>Nem</v>
      </c>
      <c r="E40">
        <f>IF(D40="Igen",Diákhitel!$I$4,0)</f>
        <v>0</v>
      </c>
      <c r="F40">
        <f>IF(Diákhitel!$J$4="Igen", IF(D40="Igen",Diákhitel!$E$4,0), 0)</f>
        <v>0</v>
      </c>
      <c r="G40">
        <f>E40+F40</f>
        <v>0</v>
      </c>
      <c r="H40">
        <f>H39*SQRT(1+r_f)+G40-O40-P40</f>
        <v>3078315.0665403721</v>
      </c>
      <c r="I40">
        <f>I39*SQRT(1+r_f)+E40*((1+k)/(1+r_f))^(Félévek_száma/2-C40)+F40/(1+r_f)^(Félévek_száma/2-C40)-O40-P40</f>
        <v>1391323.3491590912</v>
      </c>
      <c r="J40">
        <f t="shared" ca="1" si="0"/>
        <v>17399923.572141513</v>
      </c>
      <c r="K40">
        <f ca="1">_xlfn.NORM.INV(RAND(),Diákhitel!$L$4/2,Diákhitel!$M$4)</f>
        <v>5.4196697660850897E-2</v>
      </c>
      <c r="L40">
        <f>L39*SQRT(1+k)+E40-O40</f>
        <v>0</v>
      </c>
      <c r="M40">
        <f>MAX(M39+F40-P40,0)</f>
        <v>0</v>
      </c>
      <c r="N40">
        <f>L40+M40</f>
        <v>0</v>
      </c>
      <c r="O40">
        <f>IF(Diákhitel!$D$4="Stratégia 2",IF(AND(D40="Nem",D39="Igen"),L39*SQRT(1+k),0),IF(C40=Évek_száma,L39*SQRT(1+k),MIN(IF(D40="Igen",0,6*Diákhitel!$H$4*(0.06)),L39*SQRT(1+k))))</f>
        <v>0</v>
      </c>
      <c r="P40">
        <f>IF(Diákhitel!$D$4="Stratégia 2",IF(AND(D40="Nem",D39="Igen"),M39,0),IF(C40=Évek_száma,M39,MIN(IF(D40="Igen",0,IF(M39=0,0,VLOOKUP(M39,Diákhitel!$R$30:$S$34,2)*Diákhitel!$H$4*6)),M39)))</f>
        <v>0</v>
      </c>
      <c r="Q40">
        <f t="shared" si="1"/>
        <v>0</v>
      </c>
      <c r="R40">
        <f>IF(Diákhitel!$D$4="Stratégia 1",H40-N40,IF(Diákhitel!$D$4="Stratégia 2",I40-N40,J40-N40))</f>
        <v>3078315.0665403721</v>
      </c>
      <c r="S40">
        <f>IF(Diákhitel!$D$4="Stratégia 2",H40-I40,0)</f>
        <v>0</v>
      </c>
    </row>
    <row r="41" spans="2:19" x14ac:dyDescent="0.25">
      <c r="B41">
        <v>35</v>
      </c>
      <c r="C41">
        <f>B41/2-0.5</f>
        <v>17</v>
      </c>
      <c r="D41" t="str">
        <f>IF(Diákhitel!$B$4&gt;=B41, "Igen", "Nem")</f>
        <v>Nem</v>
      </c>
      <c r="E41">
        <f>IF(D41="Igen",Diákhitel!$I$4,0)</f>
        <v>0</v>
      </c>
      <c r="F41">
        <f>IF(Diákhitel!$J$4="Igen", IF(D41="Igen",Diákhitel!$E$4,0), 0)</f>
        <v>0</v>
      </c>
      <c r="G41">
        <f>E41+F41</f>
        <v>0</v>
      </c>
      <c r="H41">
        <f>H40*SQRT(1+r_f)+G41-O41-P41</f>
        <v>3154334.2928950842</v>
      </c>
      <c r="I41">
        <f>I40*SQRT(1+r_f)+E41*((1+k)/(1+r_f))^(Félévek_száma/2-C41)+F41/(1+r_f)^(Félévek_száma/2-C41)-O41-P41</f>
        <v>1425682.1858363226</v>
      </c>
      <c r="J41">
        <f t="shared" ca="1" si="0"/>
        <v>18342941.969302781</v>
      </c>
      <c r="K41">
        <f ca="1">_xlfn.NORM.INV(RAND(),Diákhitel!$L$4/2,Diákhitel!$M$4)</f>
        <v>4.7924782000819316E-2</v>
      </c>
      <c r="L41">
        <f>L40*SQRT(1+k)+E41-O41</f>
        <v>0</v>
      </c>
      <c r="M41">
        <f>MAX(M40+F41-P41,0)</f>
        <v>0</v>
      </c>
      <c r="N41">
        <f>L41+M41</f>
        <v>0</v>
      </c>
      <c r="O41">
        <f>IF(Diákhitel!$D$4="Stratégia 2",IF(AND(D41="Nem",D40="Igen"),L40*SQRT(1+k),0),IF(C41=Évek_száma,L40*SQRT(1+k),MIN(IF(D41="Igen",0,6*Diákhitel!$H$4*(0.06)),L40*SQRT(1+k))))</f>
        <v>0</v>
      </c>
      <c r="P41">
        <f>IF(Diákhitel!$D$4="Stratégia 2",IF(AND(D41="Nem",D40="Igen"),M40,0),IF(C41=Évek_száma,M40,MIN(IF(D41="Igen",0,IF(M40=0,0,VLOOKUP(M40,Diákhitel!$R$30:$S$34,2)*Diákhitel!$H$4*6)),M40)))</f>
        <v>0</v>
      </c>
      <c r="Q41">
        <f t="shared" si="1"/>
        <v>0</v>
      </c>
      <c r="R41">
        <f>IF(Diákhitel!$D$4="Stratégia 1",H41-N41,IF(Diákhitel!$D$4="Stratégia 2",I41-N41,J41-N41))</f>
        <v>3154334.2928950842</v>
      </c>
      <c r="S41">
        <f>IF(Diákhitel!$D$4="Stratégia 2",H41-I41,0)</f>
        <v>0</v>
      </c>
    </row>
    <row r="42" spans="2:19" x14ac:dyDescent="0.25">
      <c r="B42">
        <v>36</v>
      </c>
      <c r="C42">
        <f>B42/2-0.5</f>
        <v>17.5</v>
      </c>
      <c r="D42" t="str">
        <f>IF(Diákhitel!$B$4&gt;=B42, "Igen", "Nem")</f>
        <v>Nem</v>
      </c>
      <c r="E42">
        <f>IF(D42="Igen",Diákhitel!$I$4,0)</f>
        <v>0</v>
      </c>
      <c r="F42">
        <f>IF(Diákhitel!$J$4="Igen", IF(D42="Igen",Diákhitel!$E$4,0), 0)</f>
        <v>0</v>
      </c>
      <c r="G42">
        <f>E42+F42</f>
        <v>0</v>
      </c>
      <c r="H42">
        <f>H41*SQRT(1+r_f)+G42-O42-P42</f>
        <v>3232230.8198673916</v>
      </c>
      <c r="I42">
        <f>I41*SQRT(1+r_f)+E42*((1+k)/(1+r_f))^(Félévek_száma/2-C42)+F42/(1+r_f)^(Félévek_száma/2-C42)-O42-P42</f>
        <v>1460889.5166170462</v>
      </c>
      <c r="J42">
        <f t="shared" ca="1" si="0"/>
        <v>19222023.464435294</v>
      </c>
      <c r="K42">
        <f ca="1">_xlfn.NORM.INV(RAND(),Diákhitel!$L$4/2,Diákhitel!$M$4)</f>
        <v>6.1597807418922977E-2</v>
      </c>
      <c r="L42">
        <f>L41*SQRT(1+k)+E42-O42</f>
        <v>0</v>
      </c>
      <c r="M42">
        <f>MAX(M41+F42-P42,0)</f>
        <v>0</v>
      </c>
      <c r="N42">
        <f>L42+M42</f>
        <v>0</v>
      </c>
      <c r="O42">
        <f>IF(Diákhitel!$D$4="Stratégia 2",IF(AND(D42="Nem",D41="Igen"),L41*SQRT(1+k),0),IF(C42=Évek_száma,L41*SQRT(1+k),MIN(IF(D42="Igen",0,6*Diákhitel!$H$4*(0.06)),L41*SQRT(1+k))))</f>
        <v>0</v>
      </c>
      <c r="P42">
        <f>IF(Diákhitel!$D$4="Stratégia 2",IF(AND(D42="Nem",D41="Igen"),M41,0),IF(C42=Évek_száma,M41,MIN(IF(D42="Igen",0,IF(M41=0,0,VLOOKUP(M41,Diákhitel!$R$30:$S$34,2)*Diákhitel!$H$4*6)),M41)))</f>
        <v>0</v>
      </c>
      <c r="Q42">
        <f t="shared" si="1"/>
        <v>0</v>
      </c>
      <c r="R42">
        <f>IF(Diákhitel!$D$4="Stratégia 1",H42-N42,IF(Diákhitel!$D$4="Stratégia 2",I42-N42,J42-N42))</f>
        <v>3232230.8198673916</v>
      </c>
      <c r="S42">
        <f>IF(Diákhitel!$D$4="Stratégia 2",H42-I42,0)</f>
        <v>0</v>
      </c>
    </row>
    <row r="43" spans="2:19" x14ac:dyDescent="0.25">
      <c r="B43">
        <v>37</v>
      </c>
      <c r="C43">
        <f>B43/2-0.5</f>
        <v>18</v>
      </c>
      <c r="D43" t="str">
        <f>IF(Diákhitel!$B$4&gt;=B43, "Igen", "Nem")</f>
        <v>Nem</v>
      </c>
      <c r="E43">
        <f>IF(D43="Igen",Diákhitel!$I$4,0)</f>
        <v>0</v>
      </c>
      <c r="F43">
        <f>IF(Diákhitel!$J$4="Igen", IF(D43="Igen",Diákhitel!$E$4,0), 0)</f>
        <v>0</v>
      </c>
      <c r="G43">
        <f>E43+F43</f>
        <v>0</v>
      </c>
      <c r="H43">
        <f>H42*SQRT(1+r_f)+G43-O43-P43</f>
        <v>3312051.007539839</v>
      </c>
      <c r="I43">
        <f>I42*SQRT(1+r_f)+E43*((1+k)/(1+r_f))^(Félévek_száma/2-C43)+F43/(1+r_f)^(Félévek_száma/2-C43)-O43-P43</f>
        <v>1496966.295128139</v>
      </c>
      <c r="J43">
        <f t="shared" ca="1" si="0"/>
        <v>20406057.963999599</v>
      </c>
      <c r="K43">
        <f ca="1">_xlfn.NORM.INV(RAND(),Diákhitel!$L$4/2,Diákhitel!$M$4)</f>
        <v>4.5088191408810027E-2</v>
      </c>
      <c r="L43">
        <f>L42*SQRT(1+k)+E43-O43</f>
        <v>0</v>
      </c>
      <c r="M43">
        <f>MAX(M42+F43-P43,0)</f>
        <v>0</v>
      </c>
      <c r="N43">
        <f>L43+M43</f>
        <v>0</v>
      </c>
      <c r="O43">
        <f>IF(Diákhitel!$D$4="Stratégia 2",IF(AND(D43="Nem",D42="Igen"),L42*SQRT(1+k),0),IF(C43=Évek_száma,L42*SQRT(1+k),MIN(IF(D43="Igen",0,6*Diákhitel!$H$4*(0.06)),L42*SQRT(1+k))))</f>
        <v>0</v>
      </c>
      <c r="P43">
        <f>IF(Diákhitel!$D$4="Stratégia 2",IF(AND(D43="Nem",D42="Igen"),M42,0),IF(C43=Évek_száma,M42,MIN(IF(D43="Igen",0,IF(M42=0,0,VLOOKUP(M42,Diákhitel!$R$30:$S$34,2)*Diákhitel!$H$4*6)),M42)))</f>
        <v>0</v>
      </c>
      <c r="Q43">
        <f t="shared" si="1"/>
        <v>0</v>
      </c>
      <c r="R43">
        <f>IF(Diákhitel!$D$4="Stratégia 1",H43-N43,IF(Diákhitel!$D$4="Stratégia 2",I43-N43,J43-N43))</f>
        <v>3312051.007539839</v>
      </c>
      <c r="S43">
        <f>IF(Diákhitel!$D$4="Stratégia 2",H43-I43,0)</f>
        <v>0</v>
      </c>
    </row>
    <row r="44" spans="2:19" x14ac:dyDescent="0.25">
      <c r="B44">
        <v>38</v>
      </c>
      <c r="C44">
        <f>B44/2-0.5</f>
        <v>18.5</v>
      </c>
      <c r="D44" t="str">
        <f>IF(Diákhitel!$B$4&gt;=B44, "Igen", "Nem")</f>
        <v>Nem</v>
      </c>
      <c r="E44">
        <f>IF(D44="Igen",Diákhitel!$I$4,0)</f>
        <v>0</v>
      </c>
      <c r="F44">
        <f>IF(Diákhitel!$J$4="Igen", IF(D44="Igen",Diákhitel!$E$4,0), 0)</f>
        <v>0</v>
      </c>
      <c r="G44">
        <f>E44+F44</f>
        <v>0</v>
      </c>
      <c r="H44">
        <f>H43*SQRT(1+r_f)+G44-O44-P44</f>
        <v>3393842.3608607617</v>
      </c>
      <c r="I44">
        <f>I43*SQRT(1+r_f)+E44*((1+k)/(1+r_f))^(Félévek_száma/2-C44)+F44/(1+r_f)^(Félévek_száma/2-C44)-O44-P44</f>
        <v>1533933.9924478987</v>
      </c>
      <c r="J44">
        <f t="shared" ca="1" si="0"/>
        <v>21326130.211379685</v>
      </c>
      <c r="K44">
        <f ca="1">_xlfn.NORM.INV(RAND(),Diákhitel!$L$4/2,Diákhitel!$M$4)</f>
        <v>5.0266703493183566E-2</v>
      </c>
      <c r="L44">
        <f>L43*SQRT(1+k)+E44-O44</f>
        <v>0</v>
      </c>
      <c r="M44">
        <f>MAX(M43+F44-P44,0)</f>
        <v>0</v>
      </c>
      <c r="N44">
        <f>L44+M44</f>
        <v>0</v>
      </c>
      <c r="O44">
        <f>IF(Diákhitel!$D$4="Stratégia 2",IF(AND(D44="Nem",D43="Igen"),L43*SQRT(1+k),0),IF(C44=Évek_száma,L43*SQRT(1+k),MIN(IF(D44="Igen",0,6*Diákhitel!$H$4*(0.06)),L43*SQRT(1+k))))</f>
        <v>0</v>
      </c>
      <c r="P44">
        <f>IF(Diákhitel!$D$4="Stratégia 2",IF(AND(D44="Nem",D43="Igen"),M43,0),IF(C44=Évek_száma,M43,MIN(IF(D44="Igen",0,IF(M43=0,0,VLOOKUP(M43,Diákhitel!$R$30:$S$34,2)*Diákhitel!$H$4*6)),M43)))</f>
        <v>0</v>
      </c>
      <c r="Q44">
        <f t="shared" si="1"/>
        <v>0</v>
      </c>
      <c r="R44">
        <f>IF(Diákhitel!$D$4="Stratégia 1",H44-N44,IF(Diákhitel!$D$4="Stratégia 2",I44-N44,J44-N44))</f>
        <v>3393842.3608607617</v>
      </c>
      <c r="S44">
        <f>IF(Diákhitel!$D$4="Stratégia 2",H44-I44,0)</f>
        <v>0</v>
      </c>
    </row>
    <row r="45" spans="2:19" x14ac:dyDescent="0.25">
      <c r="B45">
        <v>39</v>
      </c>
      <c r="C45">
        <f>B45/2-0.5</f>
        <v>19</v>
      </c>
      <c r="D45" t="str">
        <f>IF(Diákhitel!$B$4&gt;=B45, "Igen", "Nem")</f>
        <v>Nem</v>
      </c>
      <c r="E45">
        <f>IF(D45="Igen",Diákhitel!$I$4,0)</f>
        <v>0</v>
      </c>
      <c r="F45">
        <f>IF(Diákhitel!$J$4="Igen", IF(D45="Igen",Diákhitel!$E$4,0), 0)</f>
        <v>0</v>
      </c>
      <c r="G45">
        <f>E45+F45</f>
        <v>0</v>
      </c>
      <c r="H45">
        <f>H44*SQRT(1+r_f)+G45-O45-P45</f>
        <v>3477653.5579168317</v>
      </c>
      <c r="I45">
        <f>I44*SQRT(1+r_f)+E45*((1+k)/(1+r_f))^(Félévek_száma/2-C45)+F45/(1+r_f)^(Félévek_száma/2-C45)-O45-P45</f>
        <v>1571814.6098845461</v>
      </c>
      <c r="J45">
        <f t="shared" ca="1" si="0"/>
        <v>22398124.475372132</v>
      </c>
      <c r="K45">
        <f ca="1">_xlfn.NORM.INV(RAND(),Diákhitel!$L$4/2,Diákhitel!$M$4)</f>
        <v>4.7109310138865435E-2</v>
      </c>
      <c r="L45">
        <f>L44*SQRT(1+k)+E45-O45</f>
        <v>0</v>
      </c>
      <c r="M45">
        <f>MAX(M44+F45-P45,0)</f>
        <v>0</v>
      </c>
      <c r="N45">
        <f>L45+M45</f>
        <v>0</v>
      </c>
      <c r="O45">
        <f>IF(Diákhitel!$D$4="Stratégia 2",IF(AND(D45="Nem",D44="Igen"),L44*SQRT(1+k),0),IF(C45=Évek_száma,L44*SQRT(1+k),MIN(IF(D45="Igen",0,6*Diákhitel!$H$4*(0.06)),L44*SQRT(1+k))))</f>
        <v>0</v>
      </c>
      <c r="P45">
        <f>IF(Diákhitel!$D$4="Stratégia 2",IF(AND(D45="Nem",D44="Igen"),M44,0),IF(C45=Évek_száma,M44,MIN(IF(D45="Igen",0,IF(M44=0,0,VLOOKUP(M44,Diákhitel!$R$30:$S$34,2)*Diákhitel!$H$4*6)),M44)))</f>
        <v>0</v>
      </c>
      <c r="Q45">
        <f t="shared" si="1"/>
        <v>0</v>
      </c>
      <c r="R45">
        <f>IF(Diákhitel!$D$4="Stratégia 1",H45-N45,IF(Diákhitel!$D$4="Stratégia 2",I45-N45,J45-N45))</f>
        <v>3477653.5579168317</v>
      </c>
      <c r="S45">
        <f>IF(Diákhitel!$D$4="Stratégia 2",H45-I45,0)</f>
        <v>0</v>
      </c>
    </row>
    <row r="46" spans="2:19" x14ac:dyDescent="0.25">
      <c r="B46">
        <v>40</v>
      </c>
      <c r="C46">
        <f>B46/2-0.5</f>
        <v>19.5</v>
      </c>
      <c r="D46" t="str">
        <f>IF(Diákhitel!$B$4&gt;=B46, "Igen", "Nem")</f>
        <v>Nem</v>
      </c>
      <c r="E46">
        <f>IF(D46="Igen",Diákhitel!$I$4,0)</f>
        <v>0</v>
      </c>
      <c r="F46">
        <f>IF(Diákhitel!$J$4="Igen", IF(D46="Igen",Diákhitel!$E$4,0), 0)</f>
        <v>0</v>
      </c>
      <c r="G46">
        <f>E46+F46</f>
        <v>0</v>
      </c>
      <c r="H46">
        <f>H45*SQRT(1+r_f)+G46-O46-P46</f>
        <v>3563534.4789038002</v>
      </c>
      <c r="I46">
        <f>I45*SQRT(1+r_f)+E46*((1+k)/(1+r_f))^(Félévek_száma/2-C46)+F46/(1+r_f)^(Félévek_száma/2-C46)-O46-P46</f>
        <v>1610630.6920702939</v>
      </c>
      <c r="J46">
        <f t="shared" ca="1" si="0"/>
        <v>23453284.667811353</v>
      </c>
      <c r="K46">
        <f ca="1">_xlfn.NORM.INV(RAND(),Diákhitel!$L$4/2,Diákhitel!$M$4)</f>
        <v>5.1418649112822026E-2</v>
      </c>
      <c r="L46">
        <f>L45*SQRT(1+k)+E46-O46</f>
        <v>0</v>
      </c>
      <c r="M46">
        <f>MAX(M45+F46-P46,0)</f>
        <v>0</v>
      </c>
      <c r="N46">
        <f>L46+M46</f>
        <v>0</v>
      </c>
      <c r="O46">
        <f>IF(Diákhitel!$D$4="Stratégia 2",IF(AND(D46="Nem",D45="Igen"),L45*SQRT(1+k),0),IF(C46=Évek_száma,L45*SQRT(1+k),MIN(IF(D46="Igen",0,6*Diákhitel!$H$4*(0.06)),L45*SQRT(1+k))))</f>
        <v>0</v>
      </c>
      <c r="P46">
        <f>IF(Diákhitel!$D$4="Stratégia 2",IF(AND(D46="Nem",D45="Igen"),M45,0),IF(C46=Évek_száma,M45,MIN(IF(D46="Igen",0,IF(M45=0,0,VLOOKUP(M45,Diákhitel!$R$30:$S$34,2)*Diákhitel!$H$4*6)),M45)))</f>
        <v>0</v>
      </c>
      <c r="Q46">
        <f t="shared" si="1"/>
        <v>0</v>
      </c>
      <c r="R46">
        <f>IF(Diákhitel!$D$4="Stratégia 1",H46-N46,IF(Diákhitel!$D$4="Stratégia 2",I46-N46,J46-N46))</f>
        <v>3563534.4789038002</v>
      </c>
      <c r="S46">
        <f>IF(Diákhitel!$D$4="Stratégia 2",H46-I46,0)</f>
        <v>0</v>
      </c>
    </row>
    <row r="47" spans="2:19" x14ac:dyDescent="0.25">
      <c r="B47">
        <v>41</v>
      </c>
      <c r="C47">
        <f t="shared" ref="C47:C110" si="2">B47/2-0.5</f>
        <v>20</v>
      </c>
      <c r="D47" t="str">
        <f>IF(Diákhitel!$B$4&gt;=B47, "Igen", "Nem")</f>
        <v>Nem</v>
      </c>
      <c r="E47">
        <f>IF(D47="Igen",Diákhitel!$I$4,0)</f>
        <v>0</v>
      </c>
      <c r="F47">
        <f>IF(Diákhitel!$J$4="Igen", IF(D47="Igen",Diákhitel!$E$4,0), 0)</f>
        <v>0</v>
      </c>
      <c r="G47">
        <f t="shared" ref="G47:G97" si="3">E47+F47</f>
        <v>0</v>
      </c>
      <c r="H47">
        <f>H46*SQRT(1+r_f)+G47-O47-P47</f>
        <v>3651536.2358126738</v>
      </c>
      <c r="I47">
        <f>I46*SQRT(1+r_f)+E47*((1+k)/(1+r_f))^(Félévek_száma/2-C47)+F47/(1+r_f)^(Félévek_száma/2-C47)-O47-P47</f>
        <v>1650405.3403787739</v>
      </c>
      <c r="J47">
        <f t="shared" ca="1" si="0"/>
        <v>24659220.882688675</v>
      </c>
      <c r="K47">
        <f ca="1">_xlfn.NORM.INV(RAND(),Diákhitel!$L$4/2,Diákhitel!$M$4)</f>
        <v>5.2287533954781786E-2</v>
      </c>
      <c r="L47">
        <f>L46*SQRT(1+k)+E47-O47</f>
        <v>0</v>
      </c>
      <c r="M47">
        <f t="shared" ref="M47:M97" si="4">MAX(M46+F47-P47,0)</f>
        <v>0</v>
      </c>
      <c r="N47">
        <f>L47+M47</f>
        <v>0</v>
      </c>
      <c r="O47">
        <f>IF(Diákhitel!$D$4="Stratégia 2",IF(AND(D47="Nem",D46="Igen"),L46*SQRT(1+k),0),IF(C47=Évek_száma,L46*SQRT(1+k),MIN(IF(D47="Igen",0,6*Diákhitel!$H$4*(0.06)),L46*SQRT(1+k))))</f>
        <v>0</v>
      </c>
      <c r="P47">
        <f>IF(Diákhitel!$D$4="Stratégia 2",IF(AND(D47="Nem",D46="Igen"),M46,0),IF(C47=Évek_száma,M46,MIN(IF(D47="Igen",0,IF(M46=0,0,VLOOKUP(M46,Diákhitel!$R$30:$S$34,2)*Diákhitel!$H$4*6)),M46)))</f>
        <v>0</v>
      </c>
      <c r="Q47">
        <f t="shared" si="1"/>
        <v>0</v>
      </c>
      <c r="R47">
        <f>IF(Diákhitel!$D$4="Stratégia 1",H47-N47,IF(Diákhitel!$D$4="Stratégia 2",I47-N47,J47-N47))</f>
        <v>3651536.2358126738</v>
      </c>
      <c r="S47">
        <f>IF(Diákhitel!$D$4="Stratégia 2",H47-I47,0)</f>
        <v>0</v>
      </c>
    </row>
    <row r="48" spans="2:19" x14ac:dyDescent="0.25">
      <c r="B48">
        <v>42</v>
      </c>
      <c r="C48">
        <f t="shared" si="2"/>
        <v>20.5</v>
      </c>
      <c r="D48" t="str">
        <f>IF(Diákhitel!$B$4&gt;=B48, "Igen", "Nem")</f>
        <v>Nem</v>
      </c>
      <c r="E48">
        <f>IF(D48="Igen",Diákhitel!$I$4,0)</f>
        <v>0</v>
      </c>
      <c r="F48">
        <f>IF(Diákhitel!$J$4="Igen", IF(D48="Igen",Diákhitel!$E$4,0), 0)</f>
        <v>0</v>
      </c>
      <c r="G48">
        <f t="shared" si="3"/>
        <v>0</v>
      </c>
      <c r="H48">
        <f>H47*SQRT(1+r_f)+G48-O48-P48</f>
        <v>3741711.2028489909</v>
      </c>
      <c r="I48">
        <f>I47*SQRT(1+r_f)+E48*((1+k)/(1+r_f))^(Félévek_száma/2-C48)+F48/(1+r_f)^(Félévek_száma/2-C48)-O48-P48</f>
        <v>1691162.2266738091</v>
      </c>
      <c r="J48">
        <f t="shared" ca="1" si="0"/>
        <v>25948590.731890719</v>
      </c>
      <c r="K48">
        <f ca="1">_xlfn.NORM.INV(RAND(),Diákhitel!$L$4/2,Diákhitel!$M$4)</f>
        <v>6.3689353868524035E-2</v>
      </c>
      <c r="L48">
        <f>L47*SQRT(1+k)+E48-O48</f>
        <v>0</v>
      </c>
      <c r="M48">
        <f t="shared" si="4"/>
        <v>0</v>
      </c>
      <c r="N48">
        <f t="shared" ref="N48:N97" si="5">L48+M48</f>
        <v>0</v>
      </c>
      <c r="O48">
        <f>IF(Diákhitel!$D$4="Stratégia 2",IF(AND(D48="Nem",D47="Igen"),L47*SQRT(1+k),0),IF(C48=Évek_száma,L47*SQRT(1+k),MIN(IF(D48="Igen",0,6*Diákhitel!$H$4*(0.06)),L47*SQRT(1+k))))</f>
        <v>0</v>
      </c>
      <c r="P48">
        <f>IF(Diákhitel!$D$4="Stratégia 2",IF(AND(D48="Nem",D47="Igen"),M47,0),IF(C48=Évek_száma,M47,MIN(IF(D48="Igen",0,IF(M47=0,0,VLOOKUP(M47,Diákhitel!$R$30:$S$34,2)*Diákhitel!$H$4*6)),M47)))</f>
        <v>0</v>
      </c>
      <c r="Q48">
        <f t="shared" si="1"/>
        <v>0</v>
      </c>
      <c r="R48">
        <f>IF(Diákhitel!$D$4="Stratégia 1",H48-N48,IF(Diákhitel!$D$4="Stratégia 2",I48-N48,J48-N48))</f>
        <v>3741711.2028489909</v>
      </c>
      <c r="S48">
        <f>IF(Diákhitel!$D$4="Stratégia 2",H48-I48,0)</f>
        <v>0</v>
      </c>
    </row>
    <row r="49" spans="2:19" x14ac:dyDescent="0.25">
      <c r="B49">
        <v>43</v>
      </c>
      <c r="C49">
        <f t="shared" si="2"/>
        <v>21</v>
      </c>
      <c r="D49" t="str">
        <f>IF(Diákhitel!$B$4&gt;=B49, "Igen", "Nem")</f>
        <v>Nem</v>
      </c>
      <c r="E49">
        <f>IF(D49="Igen",Diákhitel!$I$4,0)</f>
        <v>0</v>
      </c>
      <c r="F49">
        <f>IF(Diákhitel!$J$4="Igen", IF(D49="Igen",Diákhitel!$E$4,0), 0)</f>
        <v>0</v>
      </c>
      <c r="G49">
        <f t="shared" si="3"/>
        <v>0</v>
      </c>
      <c r="H49">
        <f>H48*SQRT(1+r_f)+G49-O49-P49</f>
        <v>3834113.0476033082</v>
      </c>
      <c r="I49">
        <f>I48*SQRT(1+r_f)+E49*((1+k)/(1+r_f))^(Félévek_száma/2-C49)+F49/(1+r_f)^(Félévek_száma/2-C49)-O49-P49</f>
        <v>1732925.607397713</v>
      </c>
      <c r="J49">
        <f t="shared" ca="1" si="0"/>
        <v>27601239.709403608</v>
      </c>
      <c r="K49">
        <f ca="1">_xlfn.NORM.INV(RAND(),Diákhitel!$L$4/2,Diákhitel!$M$4)</f>
        <v>6.3202181134768734E-2</v>
      </c>
      <c r="L49">
        <f>L48*SQRT(1+k)+E49-O49</f>
        <v>0</v>
      </c>
      <c r="M49">
        <f t="shared" si="4"/>
        <v>0</v>
      </c>
      <c r="N49">
        <f t="shared" si="5"/>
        <v>0</v>
      </c>
      <c r="O49">
        <f>IF(Diákhitel!$D$4="Stratégia 2",IF(AND(D49="Nem",D48="Igen"),L48*SQRT(1+k),0),IF(C49=Évek_száma,L48*SQRT(1+k),MIN(IF(D49="Igen",0,6*Diákhitel!$H$4*(0.06)),L48*SQRT(1+k))))</f>
        <v>0</v>
      </c>
      <c r="P49">
        <f>IF(Diákhitel!$D$4="Stratégia 2",IF(AND(D49="Nem",D48="Igen"),M48,0),IF(C49=Évek_száma,M48,MIN(IF(D49="Igen",0,IF(M48=0,0,VLOOKUP(M48,Diákhitel!$R$30:$S$34,2)*Diákhitel!$H$4*6)),M48)))</f>
        <v>0</v>
      </c>
      <c r="Q49">
        <f t="shared" si="1"/>
        <v>0</v>
      </c>
      <c r="R49">
        <f>IF(Diákhitel!$D$4="Stratégia 1",H49-N49,IF(Diákhitel!$D$4="Stratégia 2",I49-N49,J49-N49))</f>
        <v>3834113.0476033082</v>
      </c>
      <c r="S49">
        <f>IF(Diákhitel!$D$4="Stratégia 2",H49-I49,0)</f>
        <v>0</v>
      </c>
    </row>
    <row r="50" spans="2:19" x14ac:dyDescent="0.25">
      <c r="B50">
        <v>44</v>
      </c>
      <c r="C50">
        <f t="shared" si="2"/>
        <v>21.5</v>
      </c>
      <c r="D50" t="str">
        <f>IF(Diákhitel!$B$4&gt;=B50, "Igen", "Nem")</f>
        <v>Nem</v>
      </c>
      <c r="E50">
        <f>IF(D50="Igen",Diákhitel!$I$4,0)</f>
        <v>0</v>
      </c>
      <c r="F50">
        <f>IF(Diákhitel!$J$4="Igen", IF(D50="Igen",Diákhitel!$E$4,0), 0)</f>
        <v>0</v>
      </c>
      <c r="G50">
        <f t="shared" si="3"/>
        <v>0</v>
      </c>
      <c r="H50">
        <f>H49*SQRT(1+r_f)+G50-O50-P50</f>
        <v>3928796.7629914414</v>
      </c>
      <c r="I50">
        <f>I49*SQRT(1+r_f)+E50*((1+k)/(1+r_f))^(Félévek_száma/2-C50)+F50/(1+r_f)^(Félévek_száma/2-C50)-O50-P50</f>
        <v>1775720.3380074999</v>
      </c>
      <c r="J50">
        <f t="shared" ca="1" si="0"/>
        <v>29345698.261061504</v>
      </c>
      <c r="K50">
        <f ca="1">_xlfn.NORM.INV(RAND(),Diákhitel!$L$4/2,Diákhitel!$M$4)</f>
        <v>5.9004493025320306E-2</v>
      </c>
      <c r="L50">
        <f>L49*SQRT(1+k)+E50-O50</f>
        <v>0</v>
      </c>
      <c r="M50">
        <f t="shared" si="4"/>
        <v>0</v>
      </c>
      <c r="N50">
        <f t="shared" si="5"/>
        <v>0</v>
      </c>
      <c r="O50">
        <f>IF(Diákhitel!$D$4="Stratégia 2",IF(AND(D50="Nem",D49="Igen"),L49*SQRT(1+k),0),IF(C50=Évek_száma,L49*SQRT(1+k),MIN(IF(D50="Igen",0,6*Diákhitel!$H$4*(0.06)),L49*SQRT(1+k))))</f>
        <v>0</v>
      </c>
      <c r="P50">
        <f>IF(Diákhitel!$D$4="Stratégia 2",IF(AND(D50="Nem",D49="Igen"),M49,0),IF(C50=Évek_száma,M49,MIN(IF(D50="Igen",0,IF(M49=0,0,VLOOKUP(M49,Diákhitel!$R$30:$S$34,2)*Diákhitel!$H$4*6)),M49)))</f>
        <v>0</v>
      </c>
      <c r="Q50">
        <f t="shared" si="1"/>
        <v>0</v>
      </c>
      <c r="R50">
        <f>IF(Diákhitel!$D$4="Stratégia 1",H50-N50,IF(Diákhitel!$D$4="Stratégia 2",I50-N50,J50-N50))</f>
        <v>3928796.7629914414</v>
      </c>
      <c r="S50">
        <f>IF(Diákhitel!$D$4="Stratégia 2",H50-I50,0)</f>
        <v>0</v>
      </c>
    </row>
    <row r="51" spans="2:19" x14ac:dyDescent="0.25">
      <c r="B51">
        <v>45</v>
      </c>
      <c r="C51">
        <f t="shared" si="2"/>
        <v>22</v>
      </c>
      <c r="D51" t="str">
        <f>IF(Diákhitel!$B$4&gt;=B51, "Igen", "Nem")</f>
        <v>Nem</v>
      </c>
      <c r="E51">
        <f>IF(D51="Igen",Diákhitel!$I$4,0)</f>
        <v>0</v>
      </c>
      <c r="F51">
        <f>IF(Diákhitel!$J$4="Igen", IF(D51="Igen",Diákhitel!$E$4,0), 0)</f>
        <v>0</v>
      </c>
      <c r="G51">
        <f t="shared" si="3"/>
        <v>0</v>
      </c>
      <c r="H51">
        <f>H50*SQRT(1+r_f)+G51-O51-P51</f>
        <v>4025818.6999834743</v>
      </c>
      <c r="I51">
        <f>I50*SQRT(1+r_f)+E51*((1+k)/(1+r_f))^(Félévek_száma/2-C51)+F51/(1+r_f)^(Félévek_száma/2-C51)-O51-P51</f>
        <v>1819571.887767599</v>
      </c>
      <c r="J51">
        <f t="shared" ca="1" si="0"/>
        <v>31077226.309429467</v>
      </c>
      <c r="K51">
        <f ca="1">_xlfn.NORM.INV(RAND(),Diákhitel!$L$4/2,Diákhitel!$M$4)</f>
        <v>4.575444184345092E-2</v>
      </c>
      <c r="L51">
        <f>L50*SQRT(1+k)+E51-O51</f>
        <v>0</v>
      </c>
      <c r="M51">
        <f t="shared" si="4"/>
        <v>0</v>
      </c>
      <c r="N51">
        <f t="shared" si="5"/>
        <v>0</v>
      </c>
      <c r="O51">
        <f>IF(Diákhitel!$D$4="Stratégia 2",IF(AND(D51="Nem",D50="Igen"),L50*SQRT(1+k),0),IF(C51=Évek_száma,L50*SQRT(1+k),MIN(IF(D51="Igen",0,6*Diákhitel!$H$4*(0.06)),L50*SQRT(1+k))))</f>
        <v>0</v>
      </c>
      <c r="P51">
        <f>IF(Diákhitel!$D$4="Stratégia 2",IF(AND(D51="Nem",D50="Igen"),M50,0),IF(C51=Évek_száma,M50,MIN(IF(D51="Igen",0,IF(M50=0,0,VLOOKUP(M50,Diákhitel!$R$30:$S$34,2)*Diákhitel!$H$4*6)),M50)))</f>
        <v>0</v>
      </c>
      <c r="Q51">
        <f t="shared" si="1"/>
        <v>0</v>
      </c>
      <c r="R51">
        <f>IF(Diákhitel!$D$4="Stratégia 1",H51-N51,IF(Diákhitel!$D$4="Stratégia 2",I51-N51,J51-N51))</f>
        <v>4025818.6999834743</v>
      </c>
      <c r="S51">
        <f>IF(Diákhitel!$D$4="Stratégia 2",H51-I51,0)</f>
        <v>0</v>
      </c>
    </row>
    <row r="52" spans="2:19" x14ac:dyDescent="0.25">
      <c r="B52">
        <v>46</v>
      </c>
      <c r="C52">
        <f t="shared" si="2"/>
        <v>22.5</v>
      </c>
      <c r="D52" t="str">
        <f>IF(Diákhitel!$B$4&gt;=B52, "Igen", "Nem")</f>
        <v>Nem</v>
      </c>
      <c r="E52">
        <f>IF(D52="Igen",Diákhitel!$I$4,0)</f>
        <v>0</v>
      </c>
      <c r="F52">
        <f>IF(Diákhitel!$J$4="Igen", IF(D52="Igen",Diákhitel!$E$4,0), 0)</f>
        <v>0</v>
      </c>
      <c r="G52">
        <f t="shared" si="3"/>
        <v>0</v>
      </c>
      <c r="H52">
        <f>H51*SQRT(1+r_f)+G52-O52-P52</f>
        <v>4125236.6011410141</v>
      </c>
      <c r="I52">
        <f>I51*SQRT(1+r_f)+E52*((1+k)/(1+r_f))^(Félévek_száma/2-C52)+F52/(1+r_f)^(Félévek_száma/2-C52)-O52-P52</f>
        <v>1864506.3549078752</v>
      </c>
      <c r="J52">
        <f t="shared" ca="1" si="0"/>
        <v>32499147.453260023</v>
      </c>
      <c r="K52">
        <f ca="1">_xlfn.NORM.INV(RAND(),Diákhitel!$L$4/2,Diákhitel!$M$4)</f>
        <v>4.3821212323075037E-2</v>
      </c>
      <c r="L52">
        <f>L51*SQRT(1+k)+E52-O52</f>
        <v>0</v>
      </c>
      <c r="M52">
        <f t="shared" si="4"/>
        <v>0</v>
      </c>
      <c r="N52">
        <f t="shared" si="5"/>
        <v>0</v>
      </c>
      <c r="O52">
        <f>IF(Diákhitel!$D$4="Stratégia 2",IF(AND(D52="Nem",D51="Igen"),L51*SQRT(1+k),0),IF(C52=Évek_száma,L51*SQRT(1+k),MIN(IF(D52="Igen",0,6*Diákhitel!$H$4*(0.06)),L51*SQRT(1+k))))</f>
        <v>0</v>
      </c>
      <c r="P52">
        <f>IF(Diákhitel!$D$4="Stratégia 2",IF(AND(D52="Nem",D51="Igen"),M51,0),IF(C52=Évek_száma,M51,MIN(IF(D52="Igen",0,IF(M51=0,0,VLOOKUP(M51,Diákhitel!$R$30:$S$34,2)*Diákhitel!$H$4*6)),M51)))</f>
        <v>0</v>
      </c>
      <c r="Q52">
        <f t="shared" si="1"/>
        <v>0</v>
      </c>
      <c r="R52">
        <f>IF(Diákhitel!$D$4="Stratégia 1",H52-N52,IF(Diákhitel!$D$4="Stratégia 2",I52-N52,J52-N52))</f>
        <v>4125236.6011410141</v>
      </c>
      <c r="S52">
        <f>IF(Diákhitel!$D$4="Stratégia 2",H52-I52,0)</f>
        <v>0</v>
      </c>
    </row>
    <row r="53" spans="2:19" x14ac:dyDescent="0.25">
      <c r="B53">
        <v>47</v>
      </c>
      <c r="C53">
        <f t="shared" si="2"/>
        <v>23</v>
      </c>
      <c r="D53" t="str">
        <f>IF(Diákhitel!$B$4&gt;=B53, "Igen", "Nem")</f>
        <v>Nem</v>
      </c>
      <c r="E53">
        <f>IF(D53="Igen",Diákhitel!$I$4,0)</f>
        <v>0</v>
      </c>
      <c r="F53">
        <f>IF(Diákhitel!$J$4="Igen", IF(D53="Igen",Diákhitel!$E$4,0), 0)</f>
        <v>0</v>
      </c>
      <c r="G53">
        <f t="shared" si="3"/>
        <v>0</v>
      </c>
      <c r="H53">
        <f>H52*SQRT(1+r_f)+G53-O53-P53</f>
        <v>4227109.6349826492</v>
      </c>
      <c r="I53">
        <f>I52*SQRT(1+r_f)+E53*((1+k)/(1+r_f))^(Félévek_száma/2-C53)+F53/(1+r_f)^(Félévek_száma/2-C53)-O53-P53</f>
        <v>1910550.4821559791</v>
      </c>
      <c r="J53">
        <f t="shared" ca="1" si="0"/>
        <v>33923299.49412825</v>
      </c>
      <c r="K53">
        <f ca="1">_xlfn.NORM.INV(RAND(),Diákhitel!$L$4/2,Diákhitel!$M$4)</f>
        <v>4.8988048553928139E-2</v>
      </c>
      <c r="L53">
        <f>L52*SQRT(1+k)+E53-O53</f>
        <v>0</v>
      </c>
      <c r="M53">
        <f t="shared" si="4"/>
        <v>0</v>
      </c>
      <c r="N53">
        <f t="shared" si="5"/>
        <v>0</v>
      </c>
      <c r="O53">
        <f>IF(Diákhitel!$D$4="Stratégia 2",IF(AND(D53="Nem",D52="Igen"),L52*SQRT(1+k),0),IF(C53=Évek_száma,L52*SQRT(1+k),MIN(IF(D53="Igen",0,6*Diákhitel!$H$4*(0.06)),L52*SQRT(1+k))))</f>
        <v>0</v>
      </c>
      <c r="P53">
        <f>IF(Diákhitel!$D$4="Stratégia 2",IF(AND(D53="Nem",D52="Igen"),M52,0),IF(C53=Évek_száma,M52,MIN(IF(D53="Igen",0,IF(M52=0,0,VLOOKUP(M52,Diákhitel!$R$30:$S$34,2)*Diákhitel!$H$4*6)),M52)))</f>
        <v>0</v>
      </c>
      <c r="Q53">
        <f t="shared" si="1"/>
        <v>0</v>
      </c>
      <c r="R53">
        <f>IF(Diákhitel!$D$4="Stratégia 1",H53-N53,IF(Diákhitel!$D$4="Stratégia 2",I53-N53,J53-N53))</f>
        <v>4227109.6349826492</v>
      </c>
      <c r="S53">
        <f>IF(Diákhitel!$D$4="Stratégia 2",H53-I53,0)</f>
        <v>0</v>
      </c>
    </row>
    <row r="54" spans="2:19" x14ac:dyDescent="0.25">
      <c r="B54">
        <v>48</v>
      </c>
      <c r="C54">
        <f t="shared" si="2"/>
        <v>23.5</v>
      </c>
      <c r="D54" t="str">
        <f>IF(Diákhitel!$B$4&gt;=B54, "Igen", "Nem")</f>
        <v>Nem</v>
      </c>
      <c r="E54">
        <f>IF(D54="Igen",Diákhitel!$I$4,0)</f>
        <v>0</v>
      </c>
      <c r="F54">
        <f>IF(Diákhitel!$J$4="Igen", IF(D54="Igen",Diákhitel!$E$4,0), 0)</f>
        <v>0</v>
      </c>
      <c r="G54">
        <f t="shared" si="3"/>
        <v>0</v>
      </c>
      <c r="H54">
        <f>H53*SQRT(1+r_f)+G54-O54-P54</f>
        <v>4331498.4311980661</v>
      </c>
      <c r="I54">
        <f>I53*SQRT(1+r_f)+E54*((1+k)/(1+r_f))^(Félévek_száma/2-C54)+F54/(1+r_f)^(Félévek_száma/2-C54)-O54-P54</f>
        <v>1957731.6726532693</v>
      </c>
      <c r="J54">
        <f t="shared" ca="1" si="0"/>
        <v>35585135.736856051</v>
      </c>
      <c r="K54">
        <f ca="1">_xlfn.NORM.INV(RAND(),Diákhitel!$L$4/2,Diákhitel!$M$4)</f>
        <v>5.3825872593640259E-2</v>
      </c>
      <c r="L54">
        <f>L53*SQRT(1+k)+E54-O54</f>
        <v>0</v>
      </c>
      <c r="M54">
        <f t="shared" si="4"/>
        <v>0</v>
      </c>
      <c r="N54">
        <f t="shared" si="5"/>
        <v>0</v>
      </c>
      <c r="O54">
        <f>IF(Diákhitel!$D$4="Stratégia 2",IF(AND(D54="Nem",D53="Igen"),L53*SQRT(1+k),0),IF(C54=Évek_száma,L53*SQRT(1+k),MIN(IF(D54="Igen",0,6*Diákhitel!$H$4*(0.06)),L53*SQRT(1+k))))</f>
        <v>0</v>
      </c>
      <c r="P54">
        <f>IF(Diákhitel!$D$4="Stratégia 2",IF(AND(D54="Nem",D53="Igen"),M53,0),IF(C54=Évek_száma,M53,MIN(IF(D54="Igen",0,IF(M53=0,0,VLOOKUP(M53,Diákhitel!$R$30:$S$34,2)*Diákhitel!$H$4*6)),M53)))</f>
        <v>0</v>
      </c>
      <c r="Q54">
        <f t="shared" si="1"/>
        <v>0</v>
      </c>
      <c r="R54">
        <f>IF(Diákhitel!$D$4="Stratégia 1",H54-N54,IF(Diákhitel!$D$4="Stratégia 2",I54-N54,J54-N54))</f>
        <v>4331498.4311980661</v>
      </c>
      <c r="S54">
        <f>IF(Diákhitel!$D$4="Stratégia 2",H54-I54,0)</f>
        <v>0</v>
      </c>
    </row>
    <row r="55" spans="2:19" x14ac:dyDescent="0.25">
      <c r="B55">
        <v>49</v>
      </c>
      <c r="C55">
        <f t="shared" si="2"/>
        <v>24</v>
      </c>
      <c r="D55" t="str">
        <f>IF(Diákhitel!$B$4&gt;=B55, "Igen", "Nem")</f>
        <v>Nem</v>
      </c>
      <c r="E55">
        <f>IF(D55="Igen",Diákhitel!$I$4,0)</f>
        <v>0</v>
      </c>
      <c r="F55">
        <f>IF(Diákhitel!$J$4="Igen", IF(D55="Igen",Diákhitel!$E$4,0), 0)</f>
        <v>0</v>
      </c>
      <c r="G55">
        <f t="shared" si="3"/>
        <v>0</v>
      </c>
      <c r="H55">
        <f>H54*SQRT(1+r_f)+G55-O55-P55</f>
        <v>4438465.1167317824</v>
      </c>
      <c r="I55">
        <f>I54*SQRT(1+r_f)+E55*((1+k)/(1+r_f))^(Félévek_száma/2-C55)+F55/(1+r_f)^(Félévek_száma/2-C55)-O55-P55</f>
        <v>2006078.0062637785</v>
      </c>
      <c r="J55">
        <f t="shared" ca="1" si="0"/>
        <v>37500536.719255462</v>
      </c>
      <c r="K55">
        <f ca="1">_xlfn.NORM.INV(RAND(),Diákhitel!$L$4/2,Diákhitel!$M$4)</f>
        <v>6.3237426150923121E-2</v>
      </c>
      <c r="L55">
        <f>L54*SQRT(1+k)+E55-O55</f>
        <v>0</v>
      </c>
      <c r="M55">
        <f t="shared" si="4"/>
        <v>0</v>
      </c>
      <c r="N55">
        <f t="shared" si="5"/>
        <v>0</v>
      </c>
      <c r="O55">
        <f>IF(Diákhitel!$D$4="Stratégia 2",IF(AND(D55="Nem",D54="Igen"),L54*SQRT(1+k),0),IF(C55=Évek_száma,L54*SQRT(1+k),MIN(IF(D55="Igen",0,6*Diákhitel!$H$4*(0.06)),L54*SQRT(1+k))))</f>
        <v>0</v>
      </c>
      <c r="P55">
        <f>IF(Diákhitel!$D$4="Stratégia 2",IF(AND(D55="Nem",D54="Igen"),M54,0),IF(C55=Évek_száma,M54,MIN(IF(D55="Igen",0,IF(M54=0,0,VLOOKUP(M54,Diákhitel!$R$30:$S$34,2)*Diákhitel!$H$4*6)),M54)))</f>
        <v>0</v>
      </c>
      <c r="Q55">
        <f t="shared" si="1"/>
        <v>0</v>
      </c>
      <c r="R55">
        <f>IF(Diákhitel!$D$4="Stratégia 1",H55-N55,IF(Diákhitel!$D$4="Stratégia 2",I55-N55,J55-N55))</f>
        <v>4438465.1167317824</v>
      </c>
      <c r="S55">
        <f>IF(Diákhitel!$D$4="Stratégia 2",H55-I55,0)</f>
        <v>0</v>
      </c>
    </row>
    <row r="56" spans="2:19" x14ac:dyDescent="0.25">
      <c r="B56">
        <v>50</v>
      </c>
      <c r="C56">
        <f t="shared" si="2"/>
        <v>24.5</v>
      </c>
      <c r="D56" t="str">
        <f>IF(Diákhitel!$B$4&gt;=B56, "Igen", "Nem")</f>
        <v>Nem</v>
      </c>
      <c r="E56">
        <f>IF(D56="Igen",Diákhitel!$I$4,0)</f>
        <v>0</v>
      </c>
      <c r="F56">
        <f>IF(Diákhitel!$J$4="Igen", IF(D56="Igen",Diákhitel!$E$4,0), 0)</f>
        <v>0</v>
      </c>
      <c r="G56">
        <f t="shared" si="3"/>
        <v>0</v>
      </c>
      <c r="H56">
        <f>H55*SQRT(1+r_f)+G56-O56-P56</f>
        <v>4548073.3527579699</v>
      </c>
      <c r="I56">
        <f>I55*SQRT(1+r_f)+E56*((1+k)/(1+r_f))^(Félévek_száma/2-C56)+F56/(1+r_f)^(Félévek_száma/2-C56)-O56-P56</f>
        <v>2055618.2562859331</v>
      </c>
      <c r="J56">
        <f t="shared" ca="1" si="0"/>
        <v>39871974.140659362</v>
      </c>
      <c r="K56">
        <f ca="1">_xlfn.NORM.INV(RAND(),Diákhitel!$L$4/2,Diákhitel!$M$4)</f>
        <v>5.2204585501232484E-2</v>
      </c>
      <c r="L56">
        <f>L55*SQRT(1+k)+E56-O56</f>
        <v>0</v>
      </c>
      <c r="M56">
        <f t="shared" si="4"/>
        <v>0</v>
      </c>
      <c r="N56">
        <f t="shared" si="5"/>
        <v>0</v>
      </c>
      <c r="O56">
        <f>IF(Diákhitel!$D$4="Stratégia 2",IF(AND(D56="Nem",D55="Igen"),L55*SQRT(1+k),0),IF(C56=Évek_száma,L55*SQRT(1+k),MIN(IF(D56="Igen",0,6*Diákhitel!$H$4*(0.06)),L55*SQRT(1+k))))</f>
        <v>0</v>
      </c>
      <c r="P56">
        <f>IF(Diákhitel!$D$4="Stratégia 2",IF(AND(D56="Nem",D55="Igen"),M55,0),IF(C56=Évek_száma,M55,MIN(IF(D56="Igen",0,IF(M55=0,0,VLOOKUP(M55,Diákhitel!$R$30:$S$34,2)*Diákhitel!$H$4*6)),M55)))</f>
        <v>0</v>
      </c>
      <c r="Q56">
        <f t="shared" si="1"/>
        <v>0</v>
      </c>
      <c r="R56">
        <f>IF(Diákhitel!$D$4="Stratégia 1",H56-N56,IF(Diákhitel!$D$4="Stratégia 2",I56-N56,J56-N56))</f>
        <v>4548073.3527579699</v>
      </c>
      <c r="S56">
        <f>IF(Diákhitel!$D$4="Stratégia 2",H56-I56,0)</f>
        <v>0</v>
      </c>
    </row>
    <row r="57" spans="2:19" x14ac:dyDescent="0.25">
      <c r="B57">
        <v>51</v>
      </c>
      <c r="C57">
        <f t="shared" si="2"/>
        <v>25</v>
      </c>
      <c r="D57" t="str">
        <f>IF(Diákhitel!$B$4&gt;=B57, "Igen", "Nem")</f>
        <v>Nem</v>
      </c>
      <c r="E57">
        <f>IF(D57="Igen",Diákhitel!$I$4,0)</f>
        <v>0</v>
      </c>
      <c r="F57">
        <f>IF(Diákhitel!$J$4="Igen", IF(D57="Igen",Diákhitel!$E$4,0), 0)</f>
        <v>0</v>
      </c>
      <c r="G57">
        <f t="shared" si="3"/>
        <v>0</v>
      </c>
      <c r="H57">
        <f>H56*SQRT(1+r_f)+G57-O57-P57</f>
        <v>4660388.3725683726</v>
      </c>
      <c r="I57">
        <f>I56*SQRT(1+r_f)+E57*((1+k)/(1+r_f))^(Félévek_száma/2-C57)+F57/(1+r_f)^(Félévek_száma/2-C57)-O57-P57</f>
        <v>2106381.9065769678</v>
      </c>
      <c r="J57">
        <f t="shared" ca="1" si="0"/>
        <v>41953474.023788348</v>
      </c>
      <c r="K57">
        <f ca="1">_xlfn.NORM.INV(RAND(),Diákhitel!$L$4/2,Diákhitel!$M$4)</f>
        <v>5.0870700243427783E-2</v>
      </c>
      <c r="L57">
        <f>L56*SQRT(1+k)+E57-O57</f>
        <v>0</v>
      </c>
      <c r="M57">
        <f t="shared" si="4"/>
        <v>0</v>
      </c>
      <c r="N57">
        <f t="shared" si="5"/>
        <v>0</v>
      </c>
      <c r="O57">
        <f>IF(Diákhitel!$D$4="Stratégia 2",IF(AND(D57="Nem",D56="Igen"),L56*SQRT(1+k),0),IF(C57=Évek_száma,L56*SQRT(1+k),MIN(IF(D57="Igen",0,6*Diákhitel!$H$4*(0.06)),L56*SQRT(1+k))))</f>
        <v>0</v>
      </c>
      <c r="P57">
        <f>IF(Diákhitel!$D$4="Stratégia 2",IF(AND(D57="Nem",D56="Igen"),M56,0),IF(C57=Évek_száma,M56,MIN(IF(D57="Igen",0,IF(M56=0,0,VLOOKUP(M56,Diákhitel!$R$30:$S$34,2)*Diákhitel!$H$4*6)),M56)))</f>
        <v>0</v>
      </c>
      <c r="Q57">
        <f t="shared" si="1"/>
        <v>0</v>
      </c>
      <c r="R57">
        <f>IF(Diákhitel!$D$4="Stratégia 1",H57-N57,IF(Diákhitel!$D$4="Stratégia 2",I57-N57,J57-N57))</f>
        <v>4660388.3725683726</v>
      </c>
      <c r="S57">
        <f>IF(Diákhitel!$D$4="Stratégia 2",H57-I57,0)</f>
        <v>0</v>
      </c>
    </row>
    <row r="58" spans="2:19" x14ac:dyDescent="0.25">
      <c r="B58">
        <v>52</v>
      </c>
      <c r="C58">
        <f t="shared" si="2"/>
        <v>25.5</v>
      </c>
      <c r="D58" t="str">
        <f>IF(Diákhitel!$B$4&gt;=B58, "Igen", "Nem")</f>
        <v>Nem</v>
      </c>
      <c r="E58">
        <f>IF(D58="Igen",Diákhitel!$I$4,0)</f>
        <v>0</v>
      </c>
      <c r="F58">
        <f>IF(Diákhitel!$J$4="Igen", IF(D58="Igen",Diákhitel!$E$4,0), 0)</f>
        <v>0</v>
      </c>
      <c r="G58">
        <f t="shared" si="3"/>
        <v>0</v>
      </c>
      <c r="H58">
        <f>H57*SQRT(1+r_f)+G58-O58-P58</f>
        <v>4775477.0203958694</v>
      </c>
      <c r="I58">
        <f>I57*SQRT(1+r_f)+E58*((1+k)/(1+r_f))^(Félévek_száma/2-C58)+F58/(1+r_f)^(Félévek_száma/2-C58)-O58-P58</f>
        <v>2158399.1691002301</v>
      </c>
      <c r="J58">
        <f t="shared" ca="1" si="0"/>
        <v>44087676.625022925</v>
      </c>
      <c r="K58">
        <f ca="1">_xlfn.NORM.INV(RAND(),Diákhitel!$L$4/2,Diákhitel!$M$4)</f>
        <v>4.6125465503610935E-2</v>
      </c>
      <c r="L58">
        <f>L57*SQRT(1+k)+E58-O58</f>
        <v>0</v>
      </c>
      <c r="M58">
        <f t="shared" si="4"/>
        <v>0</v>
      </c>
      <c r="N58">
        <f t="shared" si="5"/>
        <v>0</v>
      </c>
      <c r="O58">
        <f>IF(Diákhitel!$D$4="Stratégia 2",IF(AND(D58="Nem",D57="Igen"),L57*SQRT(1+k),0),IF(C58=Évek_száma,L57*SQRT(1+k),MIN(IF(D58="Igen",0,6*Diákhitel!$H$4*(0.06)),L57*SQRT(1+k))))</f>
        <v>0</v>
      </c>
      <c r="P58">
        <f>IF(Diákhitel!$D$4="Stratégia 2",IF(AND(D58="Nem",D57="Igen"),M57,0),IF(C58=Évek_száma,M57,MIN(IF(D58="Igen",0,IF(M57=0,0,VLOOKUP(M57,Diákhitel!$R$30:$S$34,2)*Diákhitel!$H$4*6)),M57)))</f>
        <v>0</v>
      </c>
      <c r="Q58">
        <f t="shared" si="1"/>
        <v>0</v>
      </c>
      <c r="R58">
        <f>IF(Diákhitel!$D$4="Stratégia 1",H58-N58,IF(Diákhitel!$D$4="Stratégia 2",I58-N58,J58-N58))</f>
        <v>4775477.0203958694</v>
      </c>
      <c r="S58">
        <f>IF(Diákhitel!$D$4="Stratégia 2",H58-I58,0)</f>
        <v>0</v>
      </c>
    </row>
    <row r="59" spans="2:19" x14ac:dyDescent="0.25">
      <c r="B59">
        <v>53</v>
      </c>
      <c r="C59">
        <f t="shared" si="2"/>
        <v>26</v>
      </c>
      <c r="D59" t="str">
        <f>IF(Diákhitel!$B$4&gt;=B59, "Igen", "Nem")</f>
        <v>Nem</v>
      </c>
      <c r="E59">
        <f>IF(D59="Igen",Diákhitel!$I$4,0)</f>
        <v>0</v>
      </c>
      <c r="F59">
        <f>IF(Diákhitel!$J$4="Igen", IF(D59="Igen",Diákhitel!$E$4,0), 0)</f>
        <v>0</v>
      </c>
      <c r="G59">
        <f t="shared" si="3"/>
        <v>0</v>
      </c>
      <c r="H59">
        <f>H58*SQRT(1+r_f)+G59-O59-P59</f>
        <v>4893407.7911967915</v>
      </c>
      <c r="I59">
        <f>I58*SQRT(1+r_f)+E59*((1+k)/(1+r_f))^(Félévek_száma/2-C59)+F59/(1+r_f)^(Félévek_száma/2-C59)-O59-P59</f>
        <v>2211701.0019058166</v>
      </c>
      <c r="J59">
        <f t="shared" ca="1" si="0"/>
        <v>46121241.232324779</v>
      </c>
      <c r="K59">
        <f ca="1">_xlfn.NORM.INV(RAND(),Diákhitel!$L$4/2,Diákhitel!$M$4)</f>
        <v>5.2867910504443567E-2</v>
      </c>
      <c r="L59">
        <f>L58*SQRT(1+k)+E59-O59</f>
        <v>0</v>
      </c>
      <c r="M59">
        <f t="shared" si="4"/>
        <v>0</v>
      </c>
      <c r="N59">
        <f t="shared" si="5"/>
        <v>0</v>
      </c>
      <c r="O59">
        <f>IF(Diákhitel!$D$4="Stratégia 2",IF(AND(D59="Nem",D58="Igen"),L58*SQRT(1+k),0),IF(C59=Évek_száma,L58*SQRT(1+k),MIN(IF(D59="Igen",0,6*Diákhitel!$H$4*(0.06)),L58*SQRT(1+k))))</f>
        <v>0</v>
      </c>
      <c r="P59">
        <f>IF(Diákhitel!$D$4="Stratégia 2",IF(AND(D59="Nem",D58="Igen"),M58,0),IF(C59=Évek_száma,M58,MIN(IF(D59="Igen",0,IF(M58=0,0,VLOOKUP(M58,Diákhitel!$R$30:$S$34,2)*Diákhitel!$H$4*6)),M58)))</f>
        <v>0</v>
      </c>
      <c r="Q59">
        <f t="shared" si="1"/>
        <v>0</v>
      </c>
      <c r="R59">
        <f>IF(Diákhitel!$D$4="Stratégia 1",H59-N59,IF(Diákhitel!$D$4="Stratégia 2",I59-N59,J59-N59))</f>
        <v>4893407.7911967915</v>
      </c>
      <c r="S59">
        <f>IF(Diákhitel!$D$4="Stratégia 2",H59-I59,0)</f>
        <v>0</v>
      </c>
    </row>
    <row r="60" spans="2:19" x14ac:dyDescent="0.25">
      <c r="B60">
        <v>54</v>
      </c>
      <c r="C60">
        <f t="shared" si="2"/>
        <v>26.5</v>
      </c>
      <c r="D60" t="str">
        <f>IF(Diákhitel!$B$4&gt;=B60, "Igen", "Nem")</f>
        <v>Nem</v>
      </c>
      <c r="E60">
        <f>IF(D60="Igen",Diákhitel!$I$4,0)</f>
        <v>0</v>
      </c>
      <c r="F60">
        <f>IF(Diákhitel!$J$4="Igen", IF(D60="Igen",Diákhitel!$E$4,0), 0)</f>
        <v>0</v>
      </c>
      <c r="G60">
        <f t="shared" si="3"/>
        <v>0</v>
      </c>
      <c r="H60">
        <f>H59*SQRT(1+r_f)+G60-O60-P60</f>
        <v>5014250.8714156635</v>
      </c>
      <c r="I60">
        <f>I59*SQRT(1+r_f)+E60*((1+k)/(1+r_f))^(Félévek_száma/2-C60)+F60/(1+r_f)^(Félévek_száma/2-C60)-O60-P60</f>
        <v>2266319.1275552423</v>
      </c>
      <c r="J60">
        <f t="shared" ca="1" si="0"/>
        <v>48559574.886149183</v>
      </c>
      <c r="K60">
        <f ca="1">_xlfn.NORM.INV(RAND(),Diákhitel!$L$4/2,Diákhitel!$M$4)</f>
        <v>4.6480175040054854E-2</v>
      </c>
      <c r="L60">
        <f>L59*SQRT(1+k)+E60-O60</f>
        <v>0</v>
      </c>
      <c r="M60">
        <f t="shared" si="4"/>
        <v>0</v>
      </c>
      <c r="N60">
        <f t="shared" si="5"/>
        <v>0</v>
      </c>
      <c r="O60">
        <f>IF(Diákhitel!$D$4="Stratégia 2",IF(AND(D60="Nem",D59="Igen"),L59*SQRT(1+k),0),IF(C60=Évek_száma,L59*SQRT(1+k),MIN(IF(D60="Igen",0,6*Diákhitel!$H$4*(0.06)),L59*SQRT(1+k))))</f>
        <v>0</v>
      </c>
      <c r="P60">
        <f>IF(Diákhitel!$D$4="Stratégia 2",IF(AND(D60="Nem",D59="Igen"),M59,0),IF(C60=Évek_száma,M59,MIN(IF(D60="Igen",0,IF(M59=0,0,VLOOKUP(M59,Diákhitel!$R$30:$S$34,2)*Diákhitel!$H$4*6)),M59)))</f>
        <v>0</v>
      </c>
      <c r="Q60">
        <f t="shared" si="1"/>
        <v>0</v>
      </c>
      <c r="R60">
        <f>IF(Diákhitel!$D$4="Stratégia 1",H60-N60,IF(Diákhitel!$D$4="Stratégia 2",I60-N60,J60-N60))</f>
        <v>5014250.8714156635</v>
      </c>
      <c r="S60">
        <f>IF(Diákhitel!$D$4="Stratégia 2",H60-I60,0)</f>
        <v>0</v>
      </c>
    </row>
    <row r="61" spans="2:19" x14ac:dyDescent="0.25">
      <c r="B61">
        <v>55</v>
      </c>
      <c r="C61">
        <f t="shared" si="2"/>
        <v>27</v>
      </c>
      <c r="D61" t="str">
        <f>IF(Diákhitel!$B$4&gt;=B61, "Igen", "Nem")</f>
        <v>Nem</v>
      </c>
      <c r="E61">
        <f>IF(D61="Igen",Diákhitel!$I$4,0)</f>
        <v>0</v>
      </c>
      <c r="F61">
        <f>IF(Diákhitel!$J$4="Igen", IF(D61="Igen",Diákhitel!$E$4,0), 0)</f>
        <v>0</v>
      </c>
      <c r="G61">
        <f t="shared" si="3"/>
        <v>0</v>
      </c>
      <c r="H61">
        <f>H60*SQRT(1+r_f)+G61-O61-P61</f>
        <v>5138078.1807566322</v>
      </c>
      <c r="I61">
        <f>I60*SQRT(1+r_f)+E61*((1+k)/(1+r_f))^(Félévek_száma/2-C61)+F61/(1+r_f)^(Félévek_száma/2-C61)-O61-P61</f>
        <v>2322286.0520011079</v>
      </c>
      <c r="J61">
        <f t="shared" ca="1" si="0"/>
        <v>50816632.42672804</v>
      </c>
      <c r="K61">
        <f ca="1">_xlfn.NORM.INV(RAND(),Diákhitel!$L$4/2,Diákhitel!$M$4)</f>
        <v>5.2278952141068501E-2</v>
      </c>
      <c r="L61">
        <f>L60*SQRT(1+k)+E61-O61</f>
        <v>0</v>
      </c>
      <c r="M61">
        <f t="shared" si="4"/>
        <v>0</v>
      </c>
      <c r="N61">
        <f t="shared" si="5"/>
        <v>0</v>
      </c>
      <c r="O61">
        <f>IF(Diákhitel!$D$4="Stratégia 2",IF(AND(D61="Nem",D60="Igen"),L60*SQRT(1+k),0),IF(C61=Évek_száma,L60*SQRT(1+k),MIN(IF(D61="Igen",0,6*Diákhitel!$H$4*(0.06)),L60*SQRT(1+k))))</f>
        <v>0</v>
      </c>
      <c r="P61">
        <f>IF(Diákhitel!$D$4="Stratégia 2",IF(AND(D61="Nem",D60="Igen"),M60,0),IF(C61=Évek_száma,M60,MIN(IF(D61="Igen",0,IF(M60=0,0,VLOOKUP(M60,Diákhitel!$R$30:$S$34,2)*Diákhitel!$H$4*6)),M60)))</f>
        <v>0</v>
      </c>
      <c r="Q61">
        <f t="shared" si="1"/>
        <v>0</v>
      </c>
      <c r="R61">
        <f>IF(Diákhitel!$D$4="Stratégia 1",H61-N61,IF(Diákhitel!$D$4="Stratégia 2",I61-N61,J61-N61))</f>
        <v>5138078.1807566322</v>
      </c>
      <c r="S61">
        <f>IF(Diákhitel!$D$4="Stratégia 2",H61-I61,0)</f>
        <v>0</v>
      </c>
    </row>
    <row r="62" spans="2:19" x14ac:dyDescent="0.25">
      <c r="B62">
        <v>56</v>
      </c>
      <c r="C62">
        <f t="shared" si="2"/>
        <v>27.5</v>
      </c>
      <c r="D62" t="str">
        <f>IF(Diákhitel!$B$4&gt;=B62, "Igen", "Nem")</f>
        <v>Nem</v>
      </c>
      <c r="E62">
        <f>IF(D62="Igen",Diákhitel!$I$4,0)</f>
        <v>0</v>
      </c>
      <c r="F62">
        <f>IF(Diákhitel!$J$4="Igen", IF(D62="Igen",Diákhitel!$E$4,0), 0)</f>
        <v>0</v>
      </c>
      <c r="G62">
        <f t="shared" si="3"/>
        <v>0</v>
      </c>
      <c r="H62">
        <f>H61*SQRT(1+r_f)+G62-O62-P62</f>
        <v>5264963.4149864474</v>
      </c>
      <c r="I62">
        <f>I61*SQRT(1+r_f)+E62*((1+k)/(1+r_f))^(Félévek_száma/2-C62)+F62/(1+r_f)^(Félévek_száma/2-C62)-O62-P62</f>
        <v>2379635.0839330046</v>
      </c>
      <c r="J62">
        <f t="shared" ca="1" si="0"/>
        <v>53473272.721335225</v>
      </c>
      <c r="K62">
        <f ca="1">_xlfn.NORM.INV(RAND(),Diákhitel!$L$4/2,Diákhitel!$M$4)</f>
        <v>5.708149880969636E-2</v>
      </c>
      <c r="L62">
        <f>L61*SQRT(1+k)+E62-O62</f>
        <v>0</v>
      </c>
      <c r="M62">
        <f t="shared" si="4"/>
        <v>0</v>
      </c>
      <c r="N62">
        <f t="shared" si="5"/>
        <v>0</v>
      </c>
      <c r="O62">
        <f>IF(Diákhitel!$D$4="Stratégia 2",IF(AND(D62="Nem",D61="Igen"),L61*SQRT(1+k),0),IF(C62=Évek_száma,L61*SQRT(1+k),MIN(IF(D62="Igen",0,6*Diákhitel!$H$4*(0.06)),L61*SQRT(1+k))))</f>
        <v>0</v>
      </c>
      <c r="P62">
        <f>IF(Diákhitel!$D$4="Stratégia 2",IF(AND(D62="Nem",D61="Igen"),M61,0),IF(C62=Évek_száma,M61,MIN(IF(D62="Igen",0,IF(M61=0,0,VLOOKUP(M61,Diákhitel!$R$30:$S$34,2)*Diákhitel!$H$4*6)),M61)))</f>
        <v>0</v>
      </c>
      <c r="Q62">
        <f t="shared" si="1"/>
        <v>0</v>
      </c>
      <c r="R62">
        <f>IF(Diákhitel!$D$4="Stratégia 1",H62-N62,IF(Diákhitel!$D$4="Stratégia 2",I62-N62,J62-N62))</f>
        <v>5264963.4149864474</v>
      </c>
      <c r="S62">
        <f>IF(Diákhitel!$D$4="Stratégia 2",H62-I62,0)</f>
        <v>0</v>
      </c>
    </row>
    <row r="63" spans="2:19" x14ac:dyDescent="0.25">
      <c r="B63">
        <v>57</v>
      </c>
      <c r="C63">
        <f t="shared" si="2"/>
        <v>28</v>
      </c>
      <c r="D63" t="str">
        <f>IF(Diákhitel!$B$4&gt;=B63, "Igen", "Nem")</f>
        <v>Nem</v>
      </c>
      <c r="E63">
        <f>IF(D63="Igen",Diákhitel!$I$4,0)</f>
        <v>0</v>
      </c>
      <c r="F63">
        <f>IF(Diákhitel!$J$4="Igen", IF(D63="Igen",Diákhitel!$E$4,0), 0)</f>
        <v>0</v>
      </c>
      <c r="G63">
        <f t="shared" si="3"/>
        <v>0</v>
      </c>
      <c r="H63">
        <f>H62*SQRT(1+r_f)+G63-O63-P63</f>
        <v>5394982.0897944644</v>
      </c>
      <c r="I63">
        <f>I62*SQRT(1+r_f)+E63*((1+k)/(1+r_f))^(Félévek_száma/2-C63)+F63/(1+r_f)^(Félévek_száma/2-C63)-O63-P63</f>
        <v>2438400.3546011639</v>
      </c>
      <c r="J63">
        <f t="shared" ca="1" si="0"/>
        <v>56525607.27452869</v>
      </c>
      <c r="K63">
        <f ca="1">_xlfn.NORM.INV(RAND(),Diákhitel!$L$4/2,Diákhitel!$M$4)</f>
        <v>6.2199284271067898E-2</v>
      </c>
      <c r="L63">
        <f>L62*SQRT(1+k)+E63-O63</f>
        <v>0</v>
      </c>
      <c r="M63">
        <f t="shared" si="4"/>
        <v>0</v>
      </c>
      <c r="N63">
        <f t="shared" si="5"/>
        <v>0</v>
      </c>
      <c r="O63">
        <f>IF(Diákhitel!$D$4="Stratégia 2",IF(AND(D63="Nem",D62="Igen"),L62*SQRT(1+k),0),IF(C63=Évek_száma,L62*SQRT(1+k),MIN(IF(D63="Igen",0,6*Diákhitel!$H$4*(0.06)),L62*SQRT(1+k))))</f>
        <v>0</v>
      </c>
      <c r="P63">
        <f>IF(Diákhitel!$D$4="Stratégia 2",IF(AND(D63="Nem",D62="Igen"),M62,0),IF(C63=Évek_száma,M62,MIN(IF(D63="Igen",0,IF(M62=0,0,VLOOKUP(M62,Diákhitel!$R$30:$S$34,2)*Diákhitel!$H$4*6)),M62)))</f>
        <v>0</v>
      </c>
      <c r="Q63">
        <f t="shared" si="1"/>
        <v>0</v>
      </c>
      <c r="R63">
        <f>IF(Diákhitel!$D$4="Stratégia 1",H63-N63,IF(Diákhitel!$D$4="Stratégia 2",I63-N63,J63-N63))</f>
        <v>5394982.0897944644</v>
      </c>
      <c r="S63">
        <f>IF(Diákhitel!$D$4="Stratégia 2",H63-I63,0)</f>
        <v>0</v>
      </c>
    </row>
    <row r="64" spans="2:19" x14ac:dyDescent="0.25">
      <c r="B64">
        <v>58</v>
      </c>
      <c r="C64">
        <f t="shared" si="2"/>
        <v>28.5</v>
      </c>
      <c r="D64" t="str">
        <f>IF(Diákhitel!$B$4&gt;=B64, "Igen", "Nem")</f>
        <v>Nem</v>
      </c>
      <c r="E64">
        <f>IF(D64="Igen",Diákhitel!$I$4,0)</f>
        <v>0</v>
      </c>
      <c r="F64">
        <f>IF(Diákhitel!$J$4="Igen", IF(D64="Igen",Diákhitel!$E$4,0), 0)</f>
        <v>0</v>
      </c>
      <c r="G64">
        <f t="shared" si="3"/>
        <v>0</v>
      </c>
      <c r="H64">
        <f>H63*SQRT(1+r_f)+G64-O64-P64</f>
        <v>5528211.5857357709</v>
      </c>
      <c r="I64">
        <f>I63*SQRT(1+r_f)+E64*((1+k)/(1+r_f))^(Félévek_száma/2-C64)+F64/(1+r_f)^(Félévek_száma/2-C64)-O64-P64</f>
        <v>2498616.8381296555</v>
      </c>
      <c r="J64">
        <f t="shared" ca="1" si="0"/>
        <v>60041459.589991845</v>
      </c>
      <c r="K64">
        <f ca="1">_xlfn.NORM.INV(RAND(),Diákhitel!$L$4/2,Diákhitel!$M$4)</f>
        <v>5.7750073671374219E-2</v>
      </c>
      <c r="L64">
        <f>L63*SQRT(1+k)+E64-O64</f>
        <v>0</v>
      </c>
      <c r="M64">
        <f t="shared" si="4"/>
        <v>0</v>
      </c>
      <c r="N64">
        <f t="shared" si="5"/>
        <v>0</v>
      </c>
      <c r="O64">
        <f>IF(Diákhitel!$D$4="Stratégia 2",IF(AND(D64="Nem",D63="Igen"),L63*SQRT(1+k),0),IF(C64=Évek_száma,L63*SQRT(1+k),MIN(IF(D64="Igen",0,6*Diákhitel!$H$4*(0.06)),L63*SQRT(1+k))))</f>
        <v>0</v>
      </c>
      <c r="P64">
        <f>IF(Diákhitel!$D$4="Stratégia 2",IF(AND(D64="Nem",D63="Igen"),M63,0),IF(C64=Évek_száma,M63,MIN(IF(D64="Igen",0,IF(M63=0,0,VLOOKUP(M63,Diákhitel!$R$30:$S$34,2)*Diákhitel!$H$4*6)),M63)))</f>
        <v>0</v>
      </c>
      <c r="Q64">
        <f t="shared" si="1"/>
        <v>0</v>
      </c>
      <c r="R64">
        <f>IF(Diákhitel!$D$4="Stratégia 1",H64-N64,IF(Diákhitel!$D$4="Stratégia 2",I64-N64,J64-N64))</f>
        <v>5528211.5857357709</v>
      </c>
      <c r="S64">
        <f>IF(Diákhitel!$D$4="Stratégia 2",H64-I64,0)</f>
        <v>0</v>
      </c>
    </row>
    <row r="65" spans="2:19" x14ac:dyDescent="0.25">
      <c r="B65">
        <v>59</v>
      </c>
      <c r="C65">
        <f t="shared" si="2"/>
        <v>29</v>
      </c>
      <c r="D65" t="str">
        <f>IF(Diákhitel!$B$4&gt;=B65, "Igen", "Nem")</f>
        <v>Nem</v>
      </c>
      <c r="E65">
        <f>IF(D65="Igen",Diákhitel!$I$4,0)</f>
        <v>0</v>
      </c>
      <c r="F65">
        <f>IF(Diákhitel!$J$4="Igen", IF(D65="Igen",Diákhitel!$E$4,0), 0)</f>
        <v>0</v>
      </c>
      <c r="G65">
        <f t="shared" si="3"/>
        <v>0</v>
      </c>
      <c r="H65">
        <f>H64*SQRT(1+r_f)+G65-O65-P65</f>
        <v>5664731.1942841886</v>
      </c>
      <c r="I65">
        <f>I64*SQRT(1+r_f)+E65*((1+k)/(1+r_f))^(Félévek_száma/2-C65)+F65/(1+r_f)^(Félévek_száma/2-C65)-O65-P65</f>
        <v>2560320.3723312225</v>
      </c>
      <c r="J65">
        <f t="shared" ca="1" si="0"/>
        <v>63508858.304650716</v>
      </c>
      <c r="K65">
        <f ca="1">_xlfn.NORM.INV(RAND(),Diákhitel!$L$4/2,Diákhitel!$M$4)</f>
        <v>4.0306399675771917E-2</v>
      </c>
      <c r="L65">
        <f>L64*SQRT(1+k)+E65-O65</f>
        <v>0</v>
      </c>
      <c r="M65">
        <f t="shared" si="4"/>
        <v>0</v>
      </c>
      <c r="N65">
        <f t="shared" si="5"/>
        <v>0</v>
      </c>
      <c r="O65">
        <f>IF(Diákhitel!$D$4="Stratégia 2",IF(AND(D65="Nem",D64="Igen"),L64*SQRT(1+k),0),IF(C65=Évek_száma,L64*SQRT(1+k),MIN(IF(D65="Igen",0,6*Diákhitel!$H$4*(0.06)),L64*SQRT(1+k))))</f>
        <v>0</v>
      </c>
      <c r="P65">
        <f>IF(Diákhitel!$D$4="Stratégia 2",IF(AND(D65="Nem",D64="Igen"),M64,0),IF(C65=Évek_száma,M64,MIN(IF(D65="Igen",0,IF(M64=0,0,VLOOKUP(M64,Diákhitel!$R$30:$S$34,2)*Diákhitel!$H$4*6)),M64)))</f>
        <v>0</v>
      </c>
      <c r="Q65">
        <f t="shared" si="1"/>
        <v>0</v>
      </c>
      <c r="R65">
        <f>IF(Diákhitel!$D$4="Stratégia 1",H65-N65,IF(Diákhitel!$D$4="Stratégia 2",I65-N65,J65-N65))</f>
        <v>5664731.1942841886</v>
      </c>
      <c r="S65">
        <f>IF(Diákhitel!$D$4="Stratégia 2",H65-I65,0)</f>
        <v>0</v>
      </c>
    </row>
    <row r="66" spans="2:19" x14ac:dyDescent="0.25">
      <c r="B66">
        <v>60</v>
      </c>
      <c r="C66">
        <f t="shared" si="2"/>
        <v>29.5</v>
      </c>
      <c r="D66" t="str">
        <f>IF(Diákhitel!$B$4&gt;=B66, "Igen", "Nem")</f>
        <v>Nem</v>
      </c>
      <c r="E66">
        <f>IF(D66="Igen",Diákhitel!$I$4,0)</f>
        <v>0</v>
      </c>
      <c r="F66">
        <f>IF(Diákhitel!$J$4="Igen", IF(D66="Igen",Diákhitel!$E$4,0), 0)</f>
        <v>0</v>
      </c>
      <c r="G66">
        <f t="shared" si="3"/>
        <v>0</v>
      </c>
      <c r="H66">
        <f>H65*SQRT(1+r_f)+G66-O66-P66</f>
        <v>5804622.1650225604</v>
      </c>
      <c r="I66">
        <f>I65*SQRT(1+r_f)+E66*((1+k)/(1+r_f))^(Félévek_száma/2-C66)+F66/(1+r_f)^(Félévek_száma/2-C66)-O66-P66</f>
        <v>2623547.6800361387</v>
      </c>
      <c r="J66">
        <f t="shared" ca="1" si="0"/>
        <v>66068671.73042994</v>
      </c>
      <c r="K66">
        <f ca="1">_xlfn.NORM.INV(RAND(),Diákhitel!$L$4/2,Diákhitel!$M$4)</f>
        <v>3.5491353385901592E-2</v>
      </c>
      <c r="L66">
        <f>L65*SQRT(1+k)+E66-O66</f>
        <v>0</v>
      </c>
      <c r="M66">
        <f t="shared" si="4"/>
        <v>0</v>
      </c>
      <c r="N66">
        <f t="shared" si="5"/>
        <v>0</v>
      </c>
      <c r="O66">
        <f>IF(Diákhitel!$D$4="Stratégia 2",IF(AND(D66="Nem",D65="Igen"),L65*SQRT(1+k),0),IF(C66=Évek_száma,L65*SQRT(1+k),MIN(IF(D66="Igen",0,6*Diákhitel!$H$4*(0.06)),L65*SQRT(1+k))))</f>
        <v>0</v>
      </c>
      <c r="P66">
        <f>IF(Diákhitel!$D$4="Stratégia 2",IF(AND(D66="Nem",D65="Igen"),M65,0),IF(C66=Évek_száma,M65,MIN(IF(D66="Igen",0,IF(M65=0,0,VLOOKUP(M65,Diákhitel!$R$30:$S$34,2)*Diákhitel!$H$4*6)),M65)))</f>
        <v>0</v>
      </c>
      <c r="Q66">
        <f t="shared" si="1"/>
        <v>0</v>
      </c>
      <c r="R66">
        <f>IF(Diákhitel!$D$4="Stratégia 1",H66-N66,IF(Diákhitel!$D$4="Stratégia 2",I66-N66,J66-N66))</f>
        <v>5804622.1650225604</v>
      </c>
      <c r="S66">
        <f>IF(Diákhitel!$D$4="Stratégia 2",H66-I66,0)</f>
        <v>0</v>
      </c>
    </row>
    <row r="67" spans="2:19" x14ac:dyDescent="0.25">
      <c r="B67">
        <v>61</v>
      </c>
      <c r="C67">
        <f t="shared" si="2"/>
        <v>30</v>
      </c>
      <c r="D67" t="str">
        <f>IF(Diákhitel!$B$4&gt;=B67, "Igen", "Nem")</f>
        <v>Nem</v>
      </c>
      <c r="E67">
        <f>IF(D67="Igen",Diákhitel!$I$4,0)</f>
        <v>0</v>
      </c>
      <c r="F67">
        <f>IF(Diákhitel!$J$4="Igen", IF(D67="Igen",Diákhitel!$E$4,0), 0)</f>
        <v>0</v>
      </c>
      <c r="G67">
        <f t="shared" si="3"/>
        <v>0</v>
      </c>
      <c r="H67">
        <f>H66*SQRT(1+r_f)+G67-O67-P67</f>
        <v>5947967.7539983997</v>
      </c>
      <c r="I67">
        <f>I66*SQRT(1+r_f)+E67*((1+k)/(1+r_f))^(Félévek_száma/2-C67)+F67/(1+r_f)^(Félévek_száma/2-C67)-O67-P67</f>
        <v>2688336.3909477843</v>
      </c>
      <c r="J67">
        <f t="shared" ca="1" si="0"/>
        <v>68413538.306551754</v>
      </c>
      <c r="K67">
        <f ca="1">_xlfn.NORM.INV(RAND(),Diákhitel!$L$4/2,Diákhitel!$M$4)</f>
        <v>4.37740217544699E-2</v>
      </c>
      <c r="L67">
        <f>L66*SQRT(1+k)+E67-O67</f>
        <v>0</v>
      </c>
      <c r="M67">
        <f t="shared" si="4"/>
        <v>0</v>
      </c>
      <c r="N67">
        <f t="shared" si="5"/>
        <v>0</v>
      </c>
      <c r="O67">
        <f>IF(Diákhitel!$D$4="Stratégia 2",IF(AND(D67="Nem",D66="Igen"),L66*SQRT(1+k),0),IF(C67=Évek_száma,L66*SQRT(1+k),MIN(IF(D67="Igen",0,6*Diákhitel!$H$4*(0.06)),L66*SQRT(1+k))))</f>
        <v>0</v>
      </c>
      <c r="P67">
        <f>IF(Diákhitel!$D$4="Stratégia 2",IF(AND(D67="Nem",D66="Igen"),M66,0),IF(C67=Évek_száma,M66,MIN(IF(D67="Igen",0,IF(M66=0,0,VLOOKUP(M66,Diákhitel!$R$30:$S$34,2)*Diákhitel!$H$4*6)),M66)))</f>
        <v>0</v>
      </c>
      <c r="Q67">
        <f t="shared" si="1"/>
        <v>0</v>
      </c>
      <c r="R67">
        <f>IF(Diákhitel!$D$4="Stratégia 1",H67-N67,IF(Diákhitel!$D$4="Stratégia 2",I67-N67,J67-N67))</f>
        <v>5947967.7539983997</v>
      </c>
      <c r="S67">
        <f>IF(Diákhitel!$D$4="Stratégia 2",H67-I67,0)</f>
        <v>0</v>
      </c>
    </row>
    <row r="68" spans="2:19" x14ac:dyDescent="0.25">
      <c r="B68">
        <v>62</v>
      </c>
      <c r="C68">
        <f t="shared" si="2"/>
        <v>30.5</v>
      </c>
      <c r="D68" t="str">
        <f>IF(Diákhitel!$B$4&gt;=B68, "Igen", "Nem")</f>
        <v>Nem</v>
      </c>
      <c r="E68">
        <f>IF(D68="Igen",Diákhitel!$I$4,0)</f>
        <v>0</v>
      </c>
      <c r="F68">
        <f>IF(Diákhitel!$J$4="Igen", IF(D68="Igen",Diákhitel!$E$4,0), 0)</f>
        <v>0</v>
      </c>
      <c r="G68">
        <f t="shared" si="3"/>
        <v>0</v>
      </c>
      <c r="H68">
        <f>H67*SQRT(1+r_f)+G68-O68-P68</f>
        <v>6094853.2732736897</v>
      </c>
      <c r="I68">
        <f>I67*SQRT(1+r_f)+E68*((1+k)/(1+r_f))^(Félévek_száma/2-C68)+F68/(1+r_f)^(Félévek_száma/2-C68)-O68-P68</f>
        <v>2754725.0640379465</v>
      </c>
      <c r="J68">
        <f t="shared" ca="1" si="0"/>
        <v>71408274.02068302</v>
      </c>
      <c r="K68">
        <f ca="1">_xlfn.NORM.INV(RAND(),Diákhitel!$L$4/2,Diákhitel!$M$4)</f>
        <v>5.3150583203544939E-2</v>
      </c>
      <c r="L68">
        <f>L67*SQRT(1+k)+E68-O68</f>
        <v>0</v>
      </c>
      <c r="M68">
        <f t="shared" si="4"/>
        <v>0</v>
      </c>
      <c r="N68">
        <f t="shared" si="5"/>
        <v>0</v>
      </c>
      <c r="O68">
        <f>IF(Diákhitel!$D$4="Stratégia 2",IF(AND(D68="Nem",D67="Igen"),L67*SQRT(1+k),0),IF(C68=Évek_száma,L67*SQRT(1+k),MIN(IF(D68="Igen",0,6*Diákhitel!$H$4*(0.06)),L67*SQRT(1+k))))</f>
        <v>0</v>
      </c>
      <c r="P68">
        <f>IF(Diákhitel!$D$4="Stratégia 2",IF(AND(D68="Nem",D67="Igen"),M67,0),IF(C68=Évek_száma,M67,MIN(IF(D68="Igen",0,IF(M67=0,0,VLOOKUP(M67,Diákhitel!$R$30:$S$34,2)*Diákhitel!$H$4*6)),M67)))</f>
        <v>0</v>
      </c>
      <c r="Q68">
        <f t="shared" si="1"/>
        <v>0</v>
      </c>
      <c r="R68">
        <f>IF(Diákhitel!$D$4="Stratégia 1",H68-N68,IF(Diákhitel!$D$4="Stratégia 2",I68-N68,J68-N68))</f>
        <v>6094853.2732736897</v>
      </c>
      <c r="S68">
        <f>IF(Diákhitel!$D$4="Stratégia 2",H68-I68,0)</f>
        <v>0</v>
      </c>
    </row>
    <row r="69" spans="2:19" x14ac:dyDescent="0.25">
      <c r="B69">
        <v>63</v>
      </c>
      <c r="C69">
        <f t="shared" si="2"/>
        <v>31</v>
      </c>
      <c r="D69" t="str">
        <f>IF(Diákhitel!$B$4&gt;=B69, "Igen", "Nem")</f>
        <v>Nem</v>
      </c>
      <c r="E69">
        <f>IF(D69="Igen",Diákhitel!$I$4,0)</f>
        <v>0</v>
      </c>
      <c r="F69">
        <f>IF(Diákhitel!$J$4="Igen", IF(D69="Igen",Diákhitel!$E$4,0), 0)</f>
        <v>0</v>
      </c>
      <c r="G69">
        <f t="shared" si="3"/>
        <v>0</v>
      </c>
      <c r="H69">
        <f>H68*SQRT(1+r_f)+G69-O69-P69</f>
        <v>6245366.1416983204</v>
      </c>
      <c r="I69">
        <f>I68*SQRT(1+r_f)+E69*((1+k)/(1+r_f))^(Félévek_száma/2-C69)+F69/(1+r_f)^(Félévek_száma/2-C69)-O69-P69</f>
        <v>2822753.2104951744</v>
      </c>
      <c r="J69">
        <f t="shared" ca="1" si="0"/>
        <v>75203665.430440873</v>
      </c>
      <c r="K69">
        <f ca="1">_xlfn.NORM.INV(RAND(),Diákhitel!$L$4/2,Diákhitel!$M$4)</f>
        <v>4.6364107933941523E-2</v>
      </c>
      <c r="L69">
        <f>L68*SQRT(1+k)+E69-O69</f>
        <v>0</v>
      </c>
      <c r="M69">
        <f t="shared" si="4"/>
        <v>0</v>
      </c>
      <c r="N69">
        <f t="shared" si="5"/>
        <v>0</v>
      </c>
      <c r="O69">
        <f>IF(Diákhitel!$D$4="Stratégia 2",IF(AND(D69="Nem",D68="Igen"),L68*SQRT(1+k),0),IF(C69=Évek_száma,L68*SQRT(1+k),MIN(IF(D69="Igen",0,6*Diákhitel!$H$4*(0.06)),L68*SQRT(1+k))))</f>
        <v>0</v>
      </c>
      <c r="P69">
        <f>IF(Diákhitel!$D$4="Stratégia 2",IF(AND(D69="Nem",D68="Igen"),M68,0),IF(C69=Évek_száma,M68,MIN(IF(D69="Igen",0,IF(M68=0,0,VLOOKUP(M68,Diákhitel!$R$30:$S$34,2)*Diákhitel!$H$4*6)),M68)))</f>
        <v>0</v>
      </c>
      <c r="Q69">
        <f t="shared" si="1"/>
        <v>0</v>
      </c>
      <c r="R69">
        <f>IF(Diákhitel!$D$4="Stratégia 1",H69-N69,IF(Diákhitel!$D$4="Stratégia 2",I69-N69,J69-N69))</f>
        <v>6245366.1416983204</v>
      </c>
      <c r="S69">
        <f>IF(Diákhitel!$D$4="Stratégia 2",H69-I69,0)</f>
        <v>0</v>
      </c>
    </row>
    <row r="70" spans="2:19" x14ac:dyDescent="0.25">
      <c r="B70">
        <v>64</v>
      </c>
      <c r="C70">
        <f t="shared" si="2"/>
        <v>31.5</v>
      </c>
      <c r="D70" t="str">
        <f>IF(Diákhitel!$B$4&gt;=B70, "Igen", "Nem")</f>
        <v>Nem</v>
      </c>
      <c r="E70">
        <f>IF(D70="Igen",Diákhitel!$I$4,0)</f>
        <v>0</v>
      </c>
      <c r="F70">
        <f>IF(Diákhitel!$J$4="Igen", IF(D70="Igen",Diákhitel!$E$4,0), 0)</f>
        <v>0</v>
      </c>
      <c r="G70">
        <f t="shared" si="3"/>
        <v>0</v>
      </c>
      <c r="H70">
        <f>H69*SQRT(1+r_f)+G70-O70-P70</f>
        <v>6399595.936937375</v>
      </c>
      <c r="I70">
        <f>I69*SQRT(1+r_f)+E70*((1+k)/(1+r_f))^(Félévek_száma/2-C70)+F70/(1+r_f)^(Félévek_száma/2-C70)-O70-P70</f>
        <v>2892461.3172398447</v>
      </c>
      <c r="J70">
        <f t="shared" ca="1" si="0"/>
        <v>78690416.291485846</v>
      </c>
      <c r="K70">
        <f ca="1">_xlfn.NORM.INV(RAND(),Diákhitel!$L$4/2,Diákhitel!$M$4)</f>
        <v>4.7089949785178678E-2</v>
      </c>
      <c r="L70">
        <f>L69*SQRT(1+k)+E70-O70</f>
        <v>0</v>
      </c>
      <c r="M70">
        <f t="shared" si="4"/>
        <v>0</v>
      </c>
      <c r="N70">
        <f t="shared" si="5"/>
        <v>0</v>
      </c>
      <c r="O70">
        <f>IF(Diákhitel!$D$4="Stratégia 2",IF(AND(D70="Nem",D69="Igen"),L69*SQRT(1+k),0),IF(C70=Évek_száma,L69*SQRT(1+k),MIN(IF(D70="Igen",0,6*Diákhitel!$H$4*(0.06)),L69*SQRT(1+k))))</f>
        <v>0</v>
      </c>
      <c r="P70">
        <f>IF(Diákhitel!$D$4="Stratégia 2",IF(AND(D70="Nem",D69="Igen"),M69,0),IF(C70=Évek_száma,M69,MIN(IF(D70="Igen",0,IF(M69=0,0,VLOOKUP(M69,Diákhitel!$R$30:$S$34,2)*Diákhitel!$H$4*6)),M69)))</f>
        <v>0</v>
      </c>
      <c r="Q70">
        <f t="shared" si="1"/>
        <v>0</v>
      </c>
      <c r="R70">
        <f>IF(Diákhitel!$D$4="Stratégia 1",H70-N70,IF(Diákhitel!$D$4="Stratégia 2",I70-N70,J70-N70))</f>
        <v>6399595.936937375</v>
      </c>
      <c r="S70">
        <f>IF(Diákhitel!$D$4="Stratégia 2",H70-I70,0)</f>
        <v>0</v>
      </c>
    </row>
    <row r="71" spans="2:19" x14ac:dyDescent="0.25">
      <c r="B71">
        <v>65</v>
      </c>
      <c r="C71">
        <f t="shared" si="2"/>
        <v>32</v>
      </c>
      <c r="D71" t="str">
        <f>IF(Diákhitel!$B$4&gt;=B71, "Igen", "Nem")</f>
        <v>Nem</v>
      </c>
      <c r="E71">
        <f>IF(D71="Igen",Diákhitel!$I$4,0)</f>
        <v>0</v>
      </c>
      <c r="F71">
        <f>IF(Diákhitel!$J$4="Igen", IF(D71="Igen",Diákhitel!$E$4,0), 0)</f>
        <v>0</v>
      </c>
      <c r="G71">
        <f t="shared" si="3"/>
        <v>0</v>
      </c>
      <c r="H71">
        <f>H70*SQRT(1+r_f)+G71-O71-P71</f>
        <v>6557634.4487832375</v>
      </c>
      <c r="I71">
        <f>I70*SQRT(1+r_f)+E71*((1+k)/(1+r_f))^(Félévek_száma/2-C71)+F71/(1+r_f)^(Félévek_száma/2-C71)-O71-P71</f>
        <v>2963890.8710199338</v>
      </c>
      <c r="J71">
        <f t="shared" ca="1" si="0"/>
        <v>82395944.043226719</v>
      </c>
      <c r="K71">
        <f ca="1">_xlfn.NORM.INV(RAND(),Diákhitel!$L$4/2,Diákhitel!$M$4)</f>
        <v>5.3778804766268784E-2</v>
      </c>
      <c r="L71">
        <f>L70*SQRT(1+k)+E71-O71</f>
        <v>0</v>
      </c>
      <c r="M71">
        <f t="shared" si="4"/>
        <v>0</v>
      </c>
      <c r="N71">
        <f t="shared" si="5"/>
        <v>0</v>
      </c>
      <c r="O71">
        <f>IF(Diákhitel!$D$4="Stratégia 2",IF(AND(D71="Nem",D70="Igen"),L70*SQRT(1+k),0),IF(C71=Évek_száma,L70*SQRT(1+k),MIN(IF(D71="Igen",0,6*Diákhitel!$H$4*(0.06)),L70*SQRT(1+k))))</f>
        <v>0</v>
      </c>
      <c r="P71">
        <f>IF(Diákhitel!$D$4="Stratégia 2",IF(AND(D71="Nem",D70="Igen"),M70,0),IF(C71=Évek_száma,M70,MIN(IF(D71="Igen",0,IF(M70=0,0,VLOOKUP(M70,Diákhitel!$R$30:$S$34,2)*Diákhitel!$H$4*6)),M70)))</f>
        <v>0</v>
      </c>
      <c r="Q71">
        <f t="shared" si="1"/>
        <v>0</v>
      </c>
      <c r="R71">
        <f>IF(Diákhitel!$D$4="Stratégia 1",H71-N71,IF(Diákhitel!$D$4="Stratégia 2",I71-N71,J71-N71))</f>
        <v>6557634.4487832375</v>
      </c>
      <c r="S71">
        <f>IF(Diákhitel!$D$4="Stratégia 2",H71-I71,0)</f>
        <v>0</v>
      </c>
    </row>
    <row r="72" spans="2:19" x14ac:dyDescent="0.25">
      <c r="B72">
        <v>66</v>
      </c>
      <c r="C72">
        <f t="shared" si="2"/>
        <v>32.5</v>
      </c>
      <c r="D72" t="str">
        <f>IF(Diákhitel!$B$4&gt;=B72, "Igen", "Nem")</f>
        <v>Nem</v>
      </c>
      <c r="E72">
        <f>IF(D72="Igen",Diákhitel!$I$4,0)</f>
        <v>0</v>
      </c>
      <c r="F72">
        <f>IF(Diákhitel!$J$4="Igen", IF(D72="Igen",Diákhitel!$E$4,0), 0)</f>
        <v>0</v>
      </c>
      <c r="G72">
        <f t="shared" si="3"/>
        <v>0</v>
      </c>
      <c r="H72">
        <f>H71*SQRT(1+r_f)+G72-O72-P72</f>
        <v>6719575.7337842453</v>
      </c>
      <c r="I72">
        <f>I71*SQRT(1+r_f)+E72*((1+k)/(1+r_f))^(Félévek_száma/2-C72)+F72/(1+r_f)^(Félévek_száma/2-C72)-O72-P72</f>
        <v>3037084.3831018377</v>
      </c>
      <c r="J72">
        <f t="shared" ca="1" si="0"/>
        <v>86827099.431459814</v>
      </c>
      <c r="K72">
        <f ca="1">_xlfn.NORM.INV(RAND(),Diákhitel!$L$4/2,Diákhitel!$M$4)</f>
        <v>4.5519349569939777E-2</v>
      </c>
      <c r="L72">
        <f>L71*SQRT(1+k)+E72-O72</f>
        <v>0</v>
      </c>
      <c r="M72">
        <f t="shared" si="4"/>
        <v>0</v>
      </c>
      <c r="N72">
        <f t="shared" si="5"/>
        <v>0</v>
      </c>
      <c r="O72">
        <f>IF(Diákhitel!$D$4="Stratégia 2",IF(AND(D72="Nem",D71="Igen"),L71*SQRT(1+k),0),IF(C72=Évek_száma,L71*SQRT(1+k),MIN(IF(D72="Igen",0,6*Diákhitel!$H$4*(0.06)),L71*SQRT(1+k))))</f>
        <v>0</v>
      </c>
      <c r="P72">
        <f>IF(Diákhitel!$D$4="Stratégia 2",IF(AND(D72="Nem",D71="Igen"),M71,0),IF(C72=Évek_száma,M71,MIN(IF(D72="Igen",0,IF(M71=0,0,VLOOKUP(M71,Diákhitel!$R$30:$S$34,2)*Diákhitel!$H$4*6)),M71)))</f>
        <v>0</v>
      </c>
      <c r="Q72">
        <f t="shared" ref="Q72:Q135" si="6">O72+P72</f>
        <v>0</v>
      </c>
      <c r="R72">
        <f>IF(Diákhitel!$D$4="Stratégia 1",H72-N72,IF(Diákhitel!$D$4="Stratégia 2",I72-N72,J72-N72))</f>
        <v>6719575.7337842453</v>
      </c>
      <c r="S72">
        <f>IF(Diákhitel!$D$4="Stratégia 2",H72-I72,0)</f>
        <v>0</v>
      </c>
    </row>
    <row r="73" spans="2:19" x14ac:dyDescent="0.25">
      <c r="B73">
        <v>67</v>
      </c>
      <c r="C73">
        <f t="shared" si="2"/>
        <v>33</v>
      </c>
      <c r="D73" t="str">
        <f>IF(Diákhitel!$B$4&gt;=B73, "Igen", "Nem")</f>
        <v>Nem</v>
      </c>
      <c r="E73">
        <f>IF(D73="Igen",Diákhitel!$I$4,0)</f>
        <v>0</v>
      </c>
      <c r="F73">
        <f>IF(Diákhitel!$J$4="Igen", IF(D73="Igen",Diákhitel!$E$4,0), 0)</f>
        <v>0</v>
      </c>
      <c r="G73">
        <f t="shared" si="3"/>
        <v>0</v>
      </c>
      <c r="H73">
        <f>H72*SQRT(1+r_f)+G73-O73-P73</f>
        <v>6885516.1712224009</v>
      </c>
      <c r="I73">
        <f>I72*SQRT(1+r_f)+E73*((1+k)/(1+r_f))^(Félévek_száma/2-C73)+F73/(1+r_f)^(Félévek_száma/2-C73)-O73-P73</f>
        <v>3112085.4145709313</v>
      </c>
      <c r="J73">
        <f t="shared" ref="J73:J136" ca="1" si="7">J72*(1+K72)+G73-O73-P73</f>
        <v>90779412.522624344</v>
      </c>
      <c r="K73">
        <f ca="1">_xlfn.NORM.INV(RAND(),Diákhitel!$L$4/2,Diákhitel!$M$4)</f>
        <v>4.2766433179437145E-2</v>
      </c>
      <c r="L73">
        <f>L72*SQRT(1+k)+E73-O73</f>
        <v>0</v>
      </c>
      <c r="M73">
        <f t="shared" si="4"/>
        <v>0</v>
      </c>
      <c r="N73">
        <f t="shared" si="5"/>
        <v>0</v>
      </c>
      <c r="O73">
        <f>IF(Diákhitel!$D$4="Stratégia 2",IF(AND(D73="Nem",D72="Igen"),L72*SQRT(1+k),0),IF(C73=Évek_száma,L72*SQRT(1+k),MIN(IF(D73="Igen",0,6*Diákhitel!$H$4*(0.06)),L72*SQRT(1+k))))</f>
        <v>0</v>
      </c>
      <c r="P73">
        <f>IF(Diákhitel!$D$4="Stratégia 2",IF(AND(D73="Nem",D72="Igen"),M72,0),IF(C73=Évek_száma,M72,MIN(IF(D73="Igen",0,IF(M72=0,0,VLOOKUP(M72,Diákhitel!$R$30:$S$34,2)*Diákhitel!$H$4*6)),M72)))</f>
        <v>0</v>
      </c>
      <c r="Q73">
        <f t="shared" si="6"/>
        <v>0</v>
      </c>
      <c r="R73">
        <f>IF(Diákhitel!$D$4="Stratégia 1",H73-N73,IF(Diákhitel!$D$4="Stratégia 2",I73-N73,J73-N73))</f>
        <v>6885516.1712224009</v>
      </c>
      <c r="S73">
        <f>IF(Diákhitel!$D$4="Stratégia 2",H73-I73,0)</f>
        <v>0</v>
      </c>
    </row>
    <row r="74" spans="2:19" x14ac:dyDescent="0.25">
      <c r="B74">
        <v>68</v>
      </c>
      <c r="C74">
        <f t="shared" si="2"/>
        <v>33.5</v>
      </c>
      <c r="D74" t="str">
        <f>IF(Diákhitel!$B$4&gt;=B74, "Igen", "Nem")</f>
        <v>Nem</v>
      </c>
      <c r="E74">
        <f>IF(D74="Igen",Diákhitel!$I$4,0)</f>
        <v>0</v>
      </c>
      <c r="F74">
        <f>IF(Diákhitel!$J$4="Igen", IF(D74="Igen",Diákhitel!$E$4,0), 0)</f>
        <v>0</v>
      </c>
      <c r="G74">
        <f t="shared" si="3"/>
        <v>0</v>
      </c>
      <c r="H74">
        <f>H73*SQRT(1+r_f)+G74-O74-P74</f>
        <v>7055554.5204734588</v>
      </c>
      <c r="I74">
        <f>I73*SQRT(1+r_f)+E74*((1+k)/(1+r_f))^(Félévek_száma/2-C74)+F74/(1+r_f)^(Félévek_száma/2-C74)-O74-P74</f>
        <v>3188938.6022569304</v>
      </c>
      <c r="J74">
        <f t="shared" ca="1" si="7"/>
        <v>94661724.202341706</v>
      </c>
      <c r="K74">
        <f ca="1">_xlfn.NORM.INV(RAND(),Diákhitel!$L$4/2,Diákhitel!$M$4)</f>
        <v>4.5298989789229832E-2</v>
      </c>
      <c r="L74">
        <f>L73*SQRT(1+k)+E74-O74</f>
        <v>0</v>
      </c>
      <c r="M74">
        <f t="shared" si="4"/>
        <v>0</v>
      </c>
      <c r="N74">
        <f t="shared" si="5"/>
        <v>0</v>
      </c>
      <c r="O74">
        <f>IF(Diákhitel!$D$4="Stratégia 2",IF(AND(D74="Nem",D73="Igen"),L73*SQRT(1+k),0),IF(C74=Évek_száma,L73*SQRT(1+k),MIN(IF(D74="Igen",0,6*Diákhitel!$H$4*(0.06)),L73*SQRT(1+k))))</f>
        <v>0</v>
      </c>
      <c r="P74">
        <f>IF(Diákhitel!$D$4="Stratégia 2",IF(AND(D74="Nem",D73="Igen"),M73,0),IF(C74=Évek_száma,M73,MIN(IF(D74="Igen",0,IF(M73=0,0,VLOOKUP(M73,Diákhitel!$R$30:$S$34,2)*Diákhitel!$H$4*6)),M73)))</f>
        <v>0</v>
      </c>
      <c r="Q74">
        <f t="shared" si="6"/>
        <v>0</v>
      </c>
      <c r="R74">
        <f>IF(Diákhitel!$D$4="Stratégia 1",H74-N74,IF(Diákhitel!$D$4="Stratégia 2",I74-N74,J74-N74))</f>
        <v>7055554.5204734588</v>
      </c>
      <c r="S74">
        <f>IF(Diákhitel!$D$4="Stratégia 2",H74-I74,0)</f>
        <v>0</v>
      </c>
    </row>
    <row r="75" spans="2:19" x14ac:dyDescent="0.25">
      <c r="B75">
        <v>69</v>
      </c>
      <c r="C75">
        <f t="shared" si="2"/>
        <v>34</v>
      </c>
      <c r="D75" t="str">
        <f>IF(Diákhitel!$B$4&gt;=B75, "Igen", "Nem")</f>
        <v>Nem</v>
      </c>
      <c r="E75">
        <f>IF(D75="Igen",Diákhitel!$I$4,0)</f>
        <v>0</v>
      </c>
      <c r="F75">
        <f>IF(Diákhitel!$J$4="Igen", IF(D75="Igen",Diákhitel!$E$4,0), 0)</f>
        <v>0</v>
      </c>
      <c r="G75">
        <f t="shared" si="3"/>
        <v>0</v>
      </c>
      <c r="H75">
        <f>H74*SQRT(1+r_f)+G75-O75-P75</f>
        <v>7229791.979783522</v>
      </c>
      <c r="I75">
        <f>I74*SQRT(1+r_f)+E75*((1+k)/(1+r_f))^(Félévek_száma/2-C75)+F75/(1+r_f)^(Félévek_száma/2-C75)-O75-P75</f>
        <v>3267689.6852994789</v>
      </c>
      <c r="J75">
        <f t="shared" ca="1" si="7"/>
        <v>98949804.680414468</v>
      </c>
      <c r="K75">
        <f ca="1">_xlfn.NORM.INV(RAND(),Diákhitel!$L$4/2,Diákhitel!$M$4)</f>
        <v>5.8901607107696638E-2</v>
      </c>
      <c r="L75">
        <f>L74*SQRT(1+k)+E75-O75</f>
        <v>0</v>
      </c>
      <c r="M75">
        <f t="shared" si="4"/>
        <v>0</v>
      </c>
      <c r="N75">
        <f t="shared" si="5"/>
        <v>0</v>
      </c>
      <c r="O75">
        <f>IF(Diákhitel!$D$4="Stratégia 2",IF(AND(D75="Nem",D74="Igen"),L74*SQRT(1+k),0),IF(C75=Évek_száma,L74*SQRT(1+k),MIN(IF(D75="Igen",0,6*Diákhitel!$H$4*(0.06)),L74*SQRT(1+k))))</f>
        <v>0</v>
      </c>
      <c r="P75">
        <f>IF(Diákhitel!$D$4="Stratégia 2",IF(AND(D75="Nem",D74="Igen"),M74,0),IF(C75=Évek_száma,M74,MIN(IF(D75="Igen",0,IF(M74=0,0,VLOOKUP(M74,Diákhitel!$R$30:$S$34,2)*Diákhitel!$H$4*6)),M74)))</f>
        <v>0</v>
      </c>
      <c r="Q75">
        <f t="shared" si="6"/>
        <v>0</v>
      </c>
      <c r="R75">
        <f>IF(Diákhitel!$D$4="Stratégia 1",H75-N75,IF(Diákhitel!$D$4="Stratégia 2",I75-N75,J75-N75))</f>
        <v>7229791.979783522</v>
      </c>
      <c r="S75">
        <f>IF(Diákhitel!$D$4="Stratégia 2",H75-I75,0)</f>
        <v>0</v>
      </c>
    </row>
    <row r="76" spans="2:19" x14ac:dyDescent="0.25">
      <c r="B76">
        <v>70</v>
      </c>
      <c r="C76">
        <f t="shared" si="2"/>
        <v>34.5</v>
      </c>
      <c r="D76" t="str">
        <f>IF(Diákhitel!$B$4&gt;=B76, "Igen", "Nem")</f>
        <v>Nem</v>
      </c>
      <c r="E76">
        <f>IF(D76="Igen",Diákhitel!$I$4,0)</f>
        <v>0</v>
      </c>
      <c r="F76">
        <f>IF(Diákhitel!$J$4="Igen", IF(D76="Igen",Diákhitel!$E$4,0), 0)</f>
        <v>0</v>
      </c>
      <c r="G76">
        <f t="shared" si="3"/>
        <v>0</v>
      </c>
      <c r="H76">
        <f>H75*SQRT(1+r_f)+G76-O76-P76</f>
        <v>7408332.2464971328</v>
      </c>
      <c r="I76">
        <f>I75*SQRT(1+r_f)+E76*((1+k)/(1+r_f))^(Félévek_száma/2-C76)+F76/(1+r_f)^(Félévek_száma/2-C76)-O76-P76</f>
        <v>3348385.5323697776</v>
      </c>
      <c r="J76">
        <f t="shared" ca="1" si="7"/>
        <v>104778107.19908357</v>
      </c>
      <c r="K76">
        <f ca="1">_xlfn.NORM.INV(RAND(),Diákhitel!$L$4/2,Diákhitel!$M$4)</f>
        <v>5.742001550639355E-2</v>
      </c>
      <c r="L76">
        <f>L75*SQRT(1+k)+E76-O76</f>
        <v>0</v>
      </c>
      <c r="M76">
        <f t="shared" si="4"/>
        <v>0</v>
      </c>
      <c r="N76">
        <f t="shared" si="5"/>
        <v>0</v>
      </c>
      <c r="O76">
        <f>IF(Diákhitel!$D$4="Stratégia 2",IF(AND(D76="Nem",D75="Igen"),L75*SQRT(1+k),0),IF(C76=Évek_száma,L75*SQRT(1+k),MIN(IF(D76="Igen",0,6*Diákhitel!$H$4*(0.06)),L75*SQRT(1+k))))</f>
        <v>0</v>
      </c>
      <c r="P76">
        <f>IF(Diákhitel!$D$4="Stratégia 2",IF(AND(D76="Nem",D75="Igen"),M75,0),IF(C76=Évek_száma,M75,MIN(IF(D76="Igen",0,IF(M75=0,0,VLOOKUP(M75,Diákhitel!$R$30:$S$34,2)*Diákhitel!$H$4*6)),M75)))</f>
        <v>0</v>
      </c>
      <c r="Q76">
        <f t="shared" si="6"/>
        <v>0</v>
      </c>
      <c r="R76">
        <f>IF(Diákhitel!$D$4="Stratégia 1",H76-N76,IF(Diákhitel!$D$4="Stratégia 2",I76-N76,J76-N76))</f>
        <v>7408332.2464971328</v>
      </c>
      <c r="S76">
        <f>IF(Diákhitel!$D$4="Stratégia 2",H76-I76,0)</f>
        <v>0</v>
      </c>
    </row>
    <row r="77" spans="2:19" x14ac:dyDescent="0.25">
      <c r="B77">
        <v>71</v>
      </c>
      <c r="C77">
        <f t="shared" si="2"/>
        <v>35</v>
      </c>
      <c r="D77" t="str">
        <f>IF(Diákhitel!$B$4&gt;=B77, "Igen", "Nem")</f>
        <v>Nem</v>
      </c>
      <c r="E77">
        <f>IF(D77="Igen",Diákhitel!$I$4,0)</f>
        <v>0</v>
      </c>
      <c r="F77">
        <f>IF(Diákhitel!$J$4="Igen", IF(D77="Igen",Diákhitel!$E$4,0), 0)</f>
        <v>0</v>
      </c>
      <c r="G77">
        <f t="shared" si="3"/>
        <v>0</v>
      </c>
      <c r="H77">
        <f>H76*SQRT(1+r_f)+G77-O77-P77</f>
        <v>7591281.5787726995</v>
      </c>
      <c r="I77">
        <f>I76*SQRT(1+r_f)+E77*((1+k)/(1+r_f))^(Félévek_száma/2-C77)+F77/(1+r_f)^(Félévek_száma/2-C77)-O77-P77</f>
        <v>3431074.1695644534</v>
      </c>
      <c r="J77">
        <f t="shared" ca="1" si="7"/>
        <v>110794467.73918551</v>
      </c>
      <c r="K77">
        <f ca="1">_xlfn.NORM.INV(RAND(),Diákhitel!$L$4/2,Diákhitel!$M$4)</f>
        <v>4.9131274750582488E-2</v>
      </c>
      <c r="L77">
        <f>L76*SQRT(1+k)+E77-O77</f>
        <v>0</v>
      </c>
      <c r="M77">
        <f t="shared" si="4"/>
        <v>0</v>
      </c>
      <c r="N77">
        <f t="shared" si="5"/>
        <v>0</v>
      </c>
      <c r="O77">
        <f>IF(Diákhitel!$D$4="Stratégia 2",IF(AND(D77="Nem",D76="Igen"),L76*SQRT(1+k),0),IF(C77=Évek_száma,L76*SQRT(1+k),MIN(IF(D77="Igen",0,6*Diákhitel!$H$4*(0.06)),L76*SQRT(1+k))))</f>
        <v>0</v>
      </c>
      <c r="P77">
        <f>IF(Diákhitel!$D$4="Stratégia 2",IF(AND(D77="Nem",D76="Igen"),M76,0),IF(C77=Évek_száma,M76,MIN(IF(D77="Igen",0,IF(M76=0,0,VLOOKUP(M76,Diákhitel!$R$30:$S$34,2)*Diákhitel!$H$4*6)),M76)))</f>
        <v>0</v>
      </c>
      <c r="Q77">
        <f t="shared" si="6"/>
        <v>0</v>
      </c>
      <c r="R77">
        <f>IF(Diákhitel!$D$4="Stratégia 1",H77-N77,IF(Diákhitel!$D$4="Stratégia 2",I77-N77,J77-N77))</f>
        <v>7591281.5787726995</v>
      </c>
      <c r="S77">
        <f>IF(Diákhitel!$D$4="Stratégia 2",H77-I77,0)</f>
        <v>0</v>
      </c>
    </row>
    <row r="78" spans="2:19" x14ac:dyDescent="0.25">
      <c r="B78">
        <v>72</v>
      </c>
      <c r="C78">
        <f t="shared" si="2"/>
        <v>35.5</v>
      </c>
      <c r="D78" t="str">
        <f>IF(Diákhitel!$B$4&gt;=B78, "Igen", "Nem")</f>
        <v>Nem</v>
      </c>
      <c r="E78">
        <f>IF(D78="Igen",Diákhitel!$I$4,0)</f>
        <v>0</v>
      </c>
      <c r="F78">
        <f>IF(Diákhitel!$J$4="Igen", IF(D78="Igen",Diákhitel!$E$4,0), 0)</f>
        <v>0</v>
      </c>
      <c r="G78">
        <f t="shared" si="3"/>
        <v>0</v>
      </c>
      <c r="H78">
        <f>H77*SQRT(1+r_f)+G78-O78-P78</f>
        <v>7778748.8588219909</v>
      </c>
      <c r="I78">
        <f>I77*SQRT(1+r_f)+E78*((1+k)/(1+r_f))^(Félévek_száma/2-C78)+F78/(1+r_f)^(Félévek_száma/2-C78)-O78-P78</f>
        <v>3515804.8089882671</v>
      </c>
      <c r="J78">
        <f t="shared" ca="1" si="7"/>
        <v>116237941.17452399</v>
      </c>
      <c r="K78">
        <f ca="1">_xlfn.NORM.INV(RAND(),Diákhitel!$L$4/2,Diákhitel!$M$4)</f>
        <v>5.0993874893722979E-2</v>
      </c>
      <c r="L78">
        <f>L77*SQRT(1+k)+E78-O78</f>
        <v>0</v>
      </c>
      <c r="M78">
        <f t="shared" si="4"/>
        <v>0</v>
      </c>
      <c r="N78">
        <f t="shared" si="5"/>
        <v>0</v>
      </c>
      <c r="O78">
        <f>IF(Diákhitel!$D$4="Stratégia 2",IF(AND(D78="Nem",D77="Igen"),L77*SQRT(1+k),0),IF(C78=Évek_száma,L77*SQRT(1+k),MIN(IF(D78="Igen",0,6*Diákhitel!$H$4*(0.06)),L77*SQRT(1+k))))</f>
        <v>0</v>
      </c>
      <c r="P78">
        <f>IF(Diákhitel!$D$4="Stratégia 2",IF(AND(D78="Nem",D77="Igen"),M77,0),IF(C78=Évek_száma,M77,MIN(IF(D78="Igen",0,IF(M77=0,0,VLOOKUP(M77,Diákhitel!$R$30:$S$34,2)*Diákhitel!$H$4*6)),M77)))</f>
        <v>0</v>
      </c>
      <c r="Q78">
        <f t="shared" si="6"/>
        <v>0</v>
      </c>
      <c r="R78">
        <f>IF(Diákhitel!$D$4="Stratégia 1",H78-N78,IF(Diákhitel!$D$4="Stratégia 2",I78-N78,J78-N78))</f>
        <v>7778748.8588219909</v>
      </c>
      <c r="S78">
        <f>IF(Diákhitel!$D$4="Stratégia 2",H78-I78,0)</f>
        <v>0</v>
      </c>
    </row>
    <row r="79" spans="2:19" x14ac:dyDescent="0.25">
      <c r="B79">
        <v>73</v>
      </c>
      <c r="C79">
        <f t="shared" si="2"/>
        <v>36</v>
      </c>
      <c r="D79" t="str">
        <f>IF(Diákhitel!$B$4&gt;=B79, "Igen", "Nem")</f>
        <v>Nem</v>
      </c>
      <c r="E79">
        <f>IF(D79="Igen",Diákhitel!$I$4,0)</f>
        <v>0</v>
      </c>
      <c r="F79">
        <f>IF(Diákhitel!$J$4="Igen", IF(D79="Igen",Diákhitel!$E$4,0), 0)</f>
        <v>0</v>
      </c>
      <c r="G79">
        <f t="shared" si="3"/>
        <v>0</v>
      </c>
      <c r="H79">
        <f>H78*SQRT(1+r_f)+G79-O79-P79</f>
        <v>7970845.6577113355</v>
      </c>
      <c r="I79">
        <f>I78*SQRT(1+r_f)+E79*((1+k)/(1+r_f))^(Félévek_száma/2-C79)+F79/(1+r_f)^(Félévek_száma/2-C79)-O79-P79</f>
        <v>3602627.8780426765</v>
      </c>
      <c r="J79">
        <f t="shared" ca="1" si="7"/>
        <v>122165364.20468159</v>
      </c>
      <c r="K79">
        <f ca="1">_xlfn.NORM.INV(RAND(),Diákhitel!$L$4/2,Diákhitel!$M$4)</f>
        <v>5.7899718651119148E-2</v>
      </c>
      <c r="L79">
        <f>L78*SQRT(1+k)+E79-O79</f>
        <v>0</v>
      </c>
      <c r="M79">
        <f t="shared" si="4"/>
        <v>0</v>
      </c>
      <c r="N79">
        <f t="shared" si="5"/>
        <v>0</v>
      </c>
      <c r="O79">
        <f>IF(Diákhitel!$D$4="Stratégia 2",IF(AND(D79="Nem",D78="Igen"),L78*SQRT(1+k),0),IF(C79=Évek_száma,L78*SQRT(1+k),MIN(IF(D79="Igen",0,6*Diákhitel!$H$4*(0.06)),L78*SQRT(1+k))))</f>
        <v>0</v>
      </c>
      <c r="P79">
        <f>IF(Diákhitel!$D$4="Stratégia 2",IF(AND(D79="Nem",D78="Igen"),M78,0),IF(C79=Évek_száma,M78,MIN(IF(D79="Igen",0,IF(M78=0,0,VLOOKUP(M78,Diákhitel!$R$30:$S$34,2)*Diákhitel!$H$4*6)),M78)))</f>
        <v>0</v>
      </c>
      <c r="Q79">
        <f t="shared" si="6"/>
        <v>0</v>
      </c>
      <c r="R79">
        <f>IF(Diákhitel!$D$4="Stratégia 1",H79-N79,IF(Diákhitel!$D$4="Stratégia 2",I79-N79,J79-N79))</f>
        <v>7970845.6577113355</v>
      </c>
      <c r="S79">
        <f>IF(Diákhitel!$D$4="Stratégia 2",H79-I79,0)</f>
        <v>0</v>
      </c>
    </row>
    <row r="80" spans="2:19" x14ac:dyDescent="0.25">
      <c r="B80">
        <v>74</v>
      </c>
      <c r="C80">
        <f t="shared" si="2"/>
        <v>36.5</v>
      </c>
      <c r="D80" t="str">
        <f>IF(Diákhitel!$B$4&gt;=B80, "Igen", "Nem")</f>
        <v>Nem</v>
      </c>
      <c r="E80">
        <f>IF(D80="Igen",Diákhitel!$I$4,0)</f>
        <v>0</v>
      </c>
      <c r="F80">
        <f>IF(Diákhitel!$J$4="Igen", IF(D80="Igen",Diákhitel!$E$4,0), 0)</f>
        <v>0</v>
      </c>
      <c r="G80">
        <f t="shared" si="3"/>
        <v>0</v>
      </c>
      <c r="H80">
        <f>H79*SQRT(1+r_f)+G80-O80-P80</f>
        <v>8167686.3017630912</v>
      </c>
      <c r="I80">
        <f>I79*SQRT(1+r_f)+E80*((1+k)/(1+r_f))^(Félévek_száma/2-C80)+F80/(1+r_f)^(Félévek_száma/2-C80)-O80-P80</f>
        <v>3691595.0494376807</v>
      </c>
      <c r="J80">
        <f t="shared" ca="1" si="7"/>
        <v>129238704.42104416</v>
      </c>
      <c r="K80">
        <f ca="1">_xlfn.NORM.INV(RAND(),Diákhitel!$L$4/2,Diákhitel!$M$4)</f>
        <v>6.7069109371611341E-2</v>
      </c>
      <c r="L80">
        <f>L79*SQRT(1+k)+E80-O80</f>
        <v>0</v>
      </c>
      <c r="M80">
        <f t="shared" si="4"/>
        <v>0</v>
      </c>
      <c r="N80">
        <f t="shared" si="5"/>
        <v>0</v>
      </c>
      <c r="O80">
        <f>IF(Diákhitel!$D$4="Stratégia 2",IF(AND(D80="Nem",D79="Igen"),L79*SQRT(1+k),0),IF(C80=Évek_száma,L79*SQRT(1+k),MIN(IF(D80="Igen",0,6*Diákhitel!$H$4*(0.06)),L79*SQRT(1+k))))</f>
        <v>0</v>
      </c>
      <c r="P80">
        <f>IF(Diákhitel!$D$4="Stratégia 2",IF(AND(D80="Nem",D79="Igen"),M79,0),IF(C80=Évek_száma,M79,MIN(IF(D80="Igen",0,IF(M79=0,0,VLOOKUP(M79,Diákhitel!$R$30:$S$34,2)*Diákhitel!$H$4*6)),M79)))</f>
        <v>0</v>
      </c>
      <c r="Q80">
        <f t="shared" si="6"/>
        <v>0</v>
      </c>
      <c r="R80">
        <f>IF(Diákhitel!$D$4="Stratégia 1",H80-N80,IF(Diákhitel!$D$4="Stratégia 2",I80-N80,J80-N80))</f>
        <v>8167686.3017630912</v>
      </c>
      <c r="S80">
        <f>IF(Diákhitel!$D$4="Stratégia 2",H80-I80,0)</f>
        <v>0</v>
      </c>
    </row>
    <row r="81" spans="2:19" x14ac:dyDescent="0.25">
      <c r="B81">
        <v>75</v>
      </c>
      <c r="C81">
        <f t="shared" si="2"/>
        <v>37</v>
      </c>
      <c r="D81" t="str">
        <f>IF(Diákhitel!$B$4&gt;=B81, "Igen", "Nem")</f>
        <v>Nem</v>
      </c>
      <c r="E81">
        <f>IF(D81="Igen",Diákhitel!$I$4,0)</f>
        <v>0</v>
      </c>
      <c r="F81">
        <f>IF(Diákhitel!$J$4="Igen", IF(D81="Igen",Diákhitel!$E$4,0), 0)</f>
        <v>0</v>
      </c>
      <c r="G81">
        <f t="shared" si="3"/>
        <v>0</v>
      </c>
      <c r="H81">
        <f>H80*SQRT(1+r_f)+G81-O81-P81</f>
        <v>8369387.9405969037</v>
      </c>
      <c r="I81">
        <f>I80*SQRT(1+r_f)+E81*((1+k)/(1+r_f))^(Félévek_száma/2-C81)+F81/(1+r_f)^(Félévek_száma/2-C81)-O81-P81</f>
        <v>3782759.2719448106</v>
      </c>
      <c r="J81">
        <f t="shared" ca="1" si="7"/>
        <v>137906629.22290453</v>
      </c>
      <c r="K81">
        <f ca="1">_xlfn.NORM.INV(RAND(),Diákhitel!$L$4/2,Diákhitel!$M$4)</f>
        <v>2.8132814855846552E-2</v>
      </c>
      <c r="L81">
        <f>L80*SQRT(1+k)+E81-O81</f>
        <v>0</v>
      </c>
      <c r="M81">
        <f t="shared" si="4"/>
        <v>0</v>
      </c>
      <c r="N81">
        <f t="shared" si="5"/>
        <v>0</v>
      </c>
      <c r="O81">
        <f>IF(Diákhitel!$D$4="Stratégia 2",IF(AND(D81="Nem",D80="Igen"),L80*SQRT(1+k),0),IF(C81=Évek_száma,L80*SQRT(1+k),MIN(IF(D81="Igen",0,6*Diákhitel!$H$4*(0.06)),L80*SQRT(1+k))))</f>
        <v>0</v>
      </c>
      <c r="P81">
        <f>IF(Diákhitel!$D$4="Stratégia 2",IF(AND(D81="Nem",D80="Igen"),M80,0),IF(C81=Évek_száma,M80,MIN(IF(D81="Igen",0,IF(M80=0,0,VLOOKUP(M80,Diákhitel!$R$30:$S$34,2)*Diákhitel!$H$4*6)),M80)))</f>
        <v>0</v>
      </c>
      <c r="Q81">
        <f t="shared" si="6"/>
        <v>0</v>
      </c>
      <c r="R81">
        <f>IF(Diákhitel!$D$4="Stratégia 1",H81-N81,IF(Diákhitel!$D$4="Stratégia 2",I81-N81,J81-N81))</f>
        <v>8369387.9405969037</v>
      </c>
      <c r="S81">
        <f>IF(Diákhitel!$D$4="Stratégia 2",H81-I81,0)</f>
        <v>0</v>
      </c>
    </row>
    <row r="82" spans="2:19" x14ac:dyDescent="0.25">
      <c r="B82">
        <v>76</v>
      </c>
      <c r="C82">
        <f t="shared" si="2"/>
        <v>37.5</v>
      </c>
      <c r="D82" t="str">
        <f>IF(Diákhitel!$B$4&gt;=B82, "Igen", "Nem")</f>
        <v>Nem</v>
      </c>
      <c r="E82">
        <f>IF(D82="Igen",Diákhitel!$I$4,0)</f>
        <v>0</v>
      </c>
      <c r="F82">
        <f>IF(Diákhitel!$J$4="Igen", IF(D82="Igen",Diákhitel!$E$4,0), 0)</f>
        <v>0</v>
      </c>
      <c r="G82">
        <f t="shared" si="3"/>
        <v>0</v>
      </c>
      <c r="H82">
        <f>H81*SQRT(1+r_f)+G82-O82-P82</f>
        <v>8576070.6168512478</v>
      </c>
      <c r="I82">
        <f>I81*SQRT(1+r_f)+E82*((1+k)/(1+r_f))^(Félévek_száma/2-C82)+F82/(1+r_f)^(Félévek_száma/2-C82)-O82-P82</f>
        <v>3876174.8019095655</v>
      </c>
      <c r="J82">
        <f t="shared" ca="1" si="7"/>
        <v>141786330.89022639</v>
      </c>
      <c r="K82">
        <f ca="1">_xlfn.NORM.INV(RAND(),Diákhitel!$L$4/2,Diákhitel!$M$4)</f>
        <v>4.8039723429343484E-2</v>
      </c>
      <c r="L82">
        <f>L81*SQRT(1+k)+E82-O82</f>
        <v>0</v>
      </c>
      <c r="M82">
        <f t="shared" si="4"/>
        <v>0</v>
      </c>
      <c r="N82">
        <f t="shared" si="5"/>
        <v>0</v>
      </c>
      <c r="O82">
        <f>IF(Diákhitel!$D$4="Stratégia 2",IF(AND(D82="Nem",D81="Igen"),L81*SQRT(1+k),0),IF(C82=Évek_száma,L81*SQRT(1+k),MIN(IF(D82="Igen",0,6*Diákhitel!$H$4*(0.06)),L81*SQRT(1+k))))</f>
        <v>0</v>
      </c>
      <c r="P82">
        <f>IF(Diákhitel!$D$4="Stratégia 2",IF(AND(D82="Nem",D81="Igen"),M81,0),IF(C82=Évek_száma,M81,MIN(IF(D82="Igen",0,IF(M81=0,0,VLOOKUP(M81,Diákhitel!$R$30:$S$34,2)*Diákhitel!$H$4*6)),M81)))</f>
        <v>0</v>
      </c>
      <c r="Q82">
        <f t="shared" si="6"/>
        <v>0</v>
      </c>
      <c r="R82">
        <f>IF(Diákhitel!$D$4="Stratégia 1",H82-N82,IF(Diákhitel!$D$4="Stratégia 2",I82-N82,J82-N82))</f>
        <v>8576070.6168512478</v>
      </c>
      <c r="S82">
        <f>IF(Diákhitel!$D$4="Stratégia 2",H82-I82,0)</f>
        <v>0</v>
      </c>
    </row>
    <row r="83" spans="2:19" x14ac:dyDescent="0.25">
      <c r="B83">
        <v>77</v>
      </c>
      <c r="C83">
        <f t="shared" si="2"/>
        <v>38</v>
      </c>
      <c r="D83" t="str">
        <f>IF(Diákhitel!$B$4&gt;=B83, "Igen", "Nem")</f>
        <v>Nem</v>
      </c>
      <c r="E83">
        <f>IF(D83="Igen",Diákhitel!$I$4,0)</f>
        <v>0</v>
      </c>
      <c r="F83">
        <f>IF(Diákhitel!$J$4="Igen", IF(D83="Igen",Diákhitel!$E$4,0), 0)</f>
        <v>0</v>
      </c>
      <c r="G83">
        <f t="shared" si="3"/>
        <v>0</v>
      </c>
      <c r="H83">
        <f>H82*SQRT(1+r_f)+G83-O83-P83</f>
        <v>8787857.3376267515</v>
      </c>
      <c r="I83">
        <f>I82*SQRT(1+r_f)+E83*((1+k)/(1+r_f))^(Félévek_száma/2-C83)+F83/(1+r_f)^(Félévek_száma/2-C83)-O83-P83</f>
        <v>3971897.235542052</v>
      </c>
      <c r="J83">
        <f t="shared" ca="1" si="7"/>
        <v>148597707.01225424</v>
      </c>
      <c r="K83">
        <f ca="1">_xlfn.NORM.INV(RAND(),Diákhitel!$L$4/2,Diákhitel!$M$4)</f>
        <v>5.5076469462710297E-2</v>
      </c>
      <c r="L83">
        <f>L82*SQRT(1+k)+E83-O83</f>
        <v>0</v>
      </c>
      <c r="M83">
        <f t="shared" si="4"/>
        <v>0</v>
      </c>
      <c r="N83">
        <f t="shared" si="5"/>
        <v>0</v>
      </c>
      <c r="O83">
        <f>IF(Diákhitel!$D$4="Stratégia 2",IF(AND(D83="Nem",D82="Igen"),L82*SQRT(1+k),0),IF(C83=Évek_száma,L82*SQRT(1+k),MIN(IF(D83="Igen",0,6*Diákhitel!$H$4*(0.06)),L82*SQRT(1+k))))</f>
        <v>0</v>
      </c>
      <c r="P83">
        <f>IF(Diákhitel!$D$4="Stratégia 2",IF(AND(D83="Nem",D82="Igen"),M82,0),IF(C83=Évek_száma,M82,MIN(IF(D83="Igen",0,IF(M82=0,0,VLOOKUP(M82,Diákhitel!$R$30:$S$34,2)*Diákhitel!$H$4*6)),M82)))</f>
        <v>0</v>
      </c>
      <c r="Q83">
        <f t="shared" si="6"/>
        <v>0</v>
      </c>
      <c r="R83">
        <f>IF(Diákhitel!$D$4="Stratégia 1",H83-N83,IF(Diákhitel!$D$4="Stratégia 2",I83-N83,J83-N83))</f>
        <v>8787857.3376267515</v>
      </c>
      <c r="S83">
        <f>IF(Diákhitel!$D$4="Stratégia 2",H83-I83,0)</f>
        <v>0</v>
      </c>
    </row>
    <row r="84" spans="2:19" x14ac:dyDescent="0.25">
      <c r="B84">
        <v>78</v>
      </c>
      <c r="C84">
        <f t="shared" si="2"/>
        <v>38.5</v>
      </c>
      <c r="D84" t="str">
        <f>IF(Diákhitel!$B$4&gt;=B84, "Igen", "Nem")</f>
        <v>Nem</v>
      </c>
      <c r="E84">
        <f>IF(D84="Igen",Diákhitel!$I$4,0)</f>
        <v>0</v>
      </c>
      <c r="F84">
        <f>IF(Diákhitel!$J$4="Igen", IF(D84="Igen",Diákhitel!$E$4,0), 0)</f>
        <v>0</v>
      </c>
      <c r="G84">
        <f t="shared" si="3"/>
        <v>0</v>
      </c>
      <c r="H84">
        <f>H83*SQRT(1+r_f)+G84-O84-P84</f>
        <v>9004874.1476938128</v>
      </c>
      <c r="I84">
        <f>I83*SQRT(1+r_f)+E84*((1+k)/(1+r_f))^(Félévek_száma/2-C84)+F84/(1+r_f)^(Félévek_száma/2-C84)-O84-P84</f>
        <v>4069983.5420050444</v>
      </c>
      <c r="J84">
        <f t="shared" ca="1" si="7"/>
        <v>156781944.08474344</v>
      </c>
      <c r="K84">
        <f ca="1">_xlfn.NORM.INV(RAND(),Diákhitel!$L$4/2,Diákhitel!$M$4)</f>
        <v>3.272476876163824E-2</v>
      </c>
      <c r="L84">
        <f>L83*SQRT(1+k)+E84-O84</f>
        <v>0</v>
      </c>
      <c r="M84">
        <f t="shared" si="4"/>
        <v>0</v>
      </c>
      <c r="N84">
        <f t="shared" si="5"/>
        <v>0</v>
      </c>
      <c r="O84">
        <f>IF(Diákhitel!$D$4="Stratégia 2",IF(AND(D84="Nem",D83="Igen"),L83*SQRT(1+k),0),IF(C84=Évek_száma,L83*SQRT(1+k),MIN(IF(D84="Igen",0,6*Diákhitel!$H$4*(0.06)),L83*SQRT(1+k))))</f>
        <v>0</v>
      </c>
      <c r="P84">
        <f>IF(Diákhitel!$D$4="Stratégia 2",IF(AND(D84="Nem",D83="Igen"),M83,0),IF(C84=Évek_száma,M83,MIN(IF(D84="Igen",0,IF(M83=0,0,VLOOKUP(M83,Diákhitel!$R$30:$S$34,2)*Diákhitel!$H$4*6)),M83)))</f>
        <v>0</v>
      </c>
      <c r="Q84">
        <f t="shared" si="6"/>
        <v>0</v>
      </c>
      <c r="R84">
        <f>IF(Diákhitel!$D$4="Stratégia 1",H84-N84,IF(Diákhitel!$D$4="Stratégia 2",I84-N84,J84-N84))</f>
        <v>9004874.1476938128</v>
      </c>
      <c r="S84">
        <f>IF(Diákhitel!$D$4="Stratégia 2",H84-I84,0)</f>
        <v>0</v>
      </c>
    </row>
    <row r="85" spans="2:19" x14ac:dyDescent="0.25">
      <c r="B85">
        <v>79</v>
      </c>
      <c r="C85">
        <f t="shared" si="2"/>
        <v>39</v>
      </c>
      <c r="D85" t="str">
        <f>IF(Diákhitel!$B$4&gt;=B85, "Igen", "Nem")</f>
        <v>Nem</v>
      </c>
      <c r="E85">
        <f>IF(D85="Igen",Diákhitel!$I$4,0)</f>
        <v>0</v>
      </c>
      <c r="F85">
        <f>IF(Diákhitel!$J$4="Igen", IF(D85="Igen",Diákhitel!$E$4,0), 0)</f>
        <v>0</v>
      </c>
      <c r="G85">
        <f t="shared" si="3"/>
        <v>0</v>
      </c>
      <c r="H85">
        <f>H84*SQRT(1+r_f)+G85-O85-P85</f>
        <v>9227250.2045080904</v>
      </c>
      <c r="I85">
        <f>I84*SQRT(1+r_f)+E85*((1+k)/(1+r_f))^(Félévek_száma/2-C85)+F85/(1+r_f)^(Félévek_száma/2-C85)-O85-P85</f>
        <v>4170492.0973191555</v>
      </c>
      <c r="J85">
        <f t="shared" ca="1" si="7"/>
        <v>161912596.95091677</v>
      </c>
      <c r="K85">
        <f ca="1">_xlfn.NORM.INV(RAND(),Diákhitel!$L$4/2,Diákhitel!$M$4)</f>
        <v>5.4371094046060289E-2</v>
      </c>
      <c r="L85">
        <f>L84*SQRT(1+k)+E85-O85</f>
        <v>0</v>
      </c>
      <c r="M85">
        <f t="shared" si="4"/>
        <v>0</v>
      </c>
      <c r="N85">
        <f t="shared" si="5"/>
        <v>0</v>
      </c>
      <c r="O85">
        <f>IF(Diákhitel!$D$4="Stratégia 2",IF(AND(D85="Nem",D84="Igen"),L84*SQRT(1+k),0),IF(C85=Évek_száma,L84*SQRT(1+k),MIN(IF(D85="Igen",0,6*Diákhitel!$H$4*(0.06)),L84*SQRT(1+k))))</f>
        <v>0</v>
      </c>
      <c r="P85">
        <f>IF(Diákhitel!$D$4="Stratégia 2",IF(AND(D85="Nem",D84="Igen"),M84,0),IF(C85=Évek_száma,M84,MIN(IF(D85="Igen",0,IF(M84=0,0,VLOOKUP(M84,Diákhitel!$R$30:$S$34,2)*Diákhitel!$H$4*6)),M84)))</f>
        <v>0</v>
      </c>
      <c r="Q85">
        <f t="shared" si="6"/>
        <v>0</v>
      </c>
      <c r="R85">
        <f>IF(Diákhitel!$D$4="Stratégia 1",H85-N85,IF(Diákhitel!$D$4="Stratégia 2",I85-N85,J85-N85))</f>
        <v>9227250.2045080904</v>
      </c>
      <c r="S85">
        <f>IF(Diákhitel!$D$4="Stratégia 2",H85-I85,0)</f>
        <v>0</v>
      </c>
    </row>
    <row r="86" spans="2:19" x14ac:dyDescent="0.25">
      <c r="B86">
        <v>80</v>
      </c>
      <c r="C86">
        <f t="shared" si="2"/>
        <v>39.5</v>
      </c>
      <c r="D86" t="str">
        <f>IF(Diákhitel!$B$4&gt;=B86, "Igen", "Nem")</f>
        <v>Nem</v>
      </c>
      <c r="E86">
        <f>IF(D86="Igen",Diákhitel!$I$4,0)</f>
        <v>0</v>
      </c>
      <c r="F86">
        <f>IF(Diákhitel!$J$4="Igen", IF(D86="Igen",Diákhitel!$E$4,0), 0)</f>
        <v>0</v>
      </c>
      <c r="G86">
        <f t="shared" si="3"/>
        <v>0</v>
      </c>
      <c r="H86">
        <f>H85*SQRT(1+r_f)+G86-O86-P86</f>
        <v>9455117.8550785054</v>
      </c>
      <c r="I86">
        <f>I85*SQRT(1+r_f)+E86*((1+k)/(1+r_f))^(Félévek_száma/2-C86)+F86/(1+r_f)^(Félévek_száma/2-C86)-O86-P86</f>
        <v>4273482.7191052977</v>
      </c>
      <c r="J86">
        <f t="shared" ca="1" si="7"/>
        <v>170715961.98697689</v>
      </c>
      <c r="K86">
        <f ca="1">_xlfn.NORM.INV(RAND(),Diákhitel!$L$4/2,Diákhitel!$M$4)</f>
        <v>5.1082134555386974E-2</v>
      </c>
      <c r="L86">
        <f>L85*SQRT(1+k)+E86-O86</f>
        <v>0</v>
      </c>
      <c r="M86">
        <f t="shared" si="4"/>
        <v>0</v>
      </c>
      <c r="N86">
        <f t="shared" si="5"/>
        <v>0</v>
      </c>
      <c r="O86">
        <f>IF(Diákhitel!$D$4="Stratégia 2",IF(AND(D86="Nem",D85="Igen"),L85*SQRT(1+k),0),IF(C86=Évek_száma,L85*SQRT(1+k),MIN(IF(D86="Igen",0,6*Diákhitel!$H$4*(0.06)),L85*SQRT(1+k))))</f>
        <v>0</v>
      </c>
      <c r="P86">
        <f>IF(Diákhitel!$D$4="Stratégia 2",IF(AND(D86="Nem",D85="Igen"),M85,0),IF(C86=Évek_száma,M85,MIN(IF(D86="Igen",0,IF(M85=0,0,VLOOKUP(M85,Diákhitel!$R$30:$S$34,2)*Diákhitel!$H$4*6)),M85)))</f>
        <v>0</v>
      </c>
      <c r="Q86">
        <f t="shared" si="6"/>
        <v>0</v>
      </c>
      <c r="R86">
        <f>IF(Diákhitel!$D$4="Stratégia 1",H86-N86,IF(Diákhitel!$D$4="Stratégia 2",I86-N86,J86-N86))</f>
        <v>9455117.8550785054</v>
      </c>
      <c r="S86">
        <f>IF(Diákhitel!$D$4="Stratégia 2",H86-I86,0)</f>
        <v>0</v>
      </c>
    </row>
    <row r="87" spans="2:19" x14ac:dyDescent="0.25">
      <c r="B87">
        <v>81</v>
      </c>
      <c r="C87">
        <f t="shared" si="2"/>
        <v>40</v>
      </c>
      <c r="D87" t="str">
        <f>IF(Diákhitel!$B$4&gt;=B87, "Igen", "Nem")</f>
        <v>Nem</v>
      </c>
      <c r="E87">
        <f>IF(D87="Igen",Diákhitel!$I$4,0)</f>
        <v>0</v>
      </c>
      <c r="F87">
        <f>IF(Diákhitel!$J$4="Igen", IF(D87="Igen",Diákhitel!$E$4,0), 0)</f>
        <v>0</v>
      </c>
      <c r="G87">
        <f t="shared" si="3"/>
        <v>0</v>
      </c>
      <c r="H87">
        <f>H86*SQRT(1+r_f)+G87-O87-P87</f>
        <v>9688612.7147334982</v>
      </c>
      <c r="I87">
        <f>I86*SQRT(1+r_f)+E87*((1+k)/(1+r_f))^(Félévek_száma/2-C87)+F87/(1+r_f)^(Félévek_száma/2-C87)-O87-P87</f>
        <v>4379016.7021851139</v>
      </c>
      <c r="J87">
        <f t="shared" ca="1" si="7"/>
        <v>179436497.72794795</v>
      </c>
      <c r="K87">
        <f ca="1">_xlfn.NORM.INV(RAND(),Diákhitel!$L$4/2,Diákhitel!$M$4)</f>
        <v>3.6192373201306402E-2</v>
      </c>
      <c r="L87">
        <f>L86*SQRT(1+k)+E87-O87</f>
        <v>0</v>
      </c>
      <c r="M87">
        <f t="shared" si="4"/>
        <v>0</v>
      </c>
      <c r="N87">
        <f t="shared" si="5"/>
        <v>0</v>
      </c>
      <c r="O87">
        <f>IF(Diákhitel!$D$4="Stratégia 2",IF(AND(D87="Nem",D86="Igen"),L86*SQRT(1+k),0),IF(C87=Évek_száma,L86*SQRT(1+k),MIN(IF(D87="Igen",0,6*Diákhitel!$H$4*(0.06)),L86*SQRT(1+k))))</f>
        <v>0</v>
      </c>
      <c r="P87">
        <f>IF(Diákhitel!$D$4="Stratégia 2",IF(AND(D87="Nem",D86="Igen"),M86,0),IF(C87=Évek_száma,M86,MIN(IF(D87="Igen",0,IF(M86=0,0,VLOOKUP(M86,Diákhitel!$R$30:$S$34,2)*Diákhitel!$H$4*6)),M86)))</f>
        <v>0</v>
      </c>
      <c r="Q87">
        <f t="shared" si="6"/>
        <v>0</v>
      </c>
      <c r="R87">
        <f>IF(Diákhitel!$D$4="Stratégia 1",H87-N87,IF(Diákhitel!$D$4="Stratégia 2",I87-N87,J87-N87))</f>
        <v>9688612.7147334982</v>
      </c>
      <c r="S87">
        <f>IF(Diákhitel!$D$4="Stratégia 2",H87-I87,0)</f>
        <v>0</v>
      </c>
    </row>
    <row r="88" spans="2:19" x14ac:dyDescent="0.25">
      <c r="B88">
        <v>82</v>
      </c>
      <c r="C88">
        <f t="shared" si="2"/>
        <v>40.5</v>
      </c>
      <c r="D88" t="str">
        <f>IF(Diákhitel!$B$4&gt;=B88, "Igen", "Nem")</f>
        <v>Nem</v>
      </c>
      <c r="E88">
        <f>IF(D88="Igen",Diákhitel!$I$4,0)</f>
        <v>0</v>
      </c>
      <c r="F88">
        <f>IF(Diákhitel!$J$4="Igen", IF(D88="Igen",Diákhitel!$E$4,0), 0)</f>
        <v>0</v>
      </c>
      <c r="G88">
        <f t="shared" si="3"/>
        <v>0</v>
      </c>
      <c r="H88">
        <f>H87*SQRT(1+r_f)+G88-O88-P88</f>
        <v>9927873.7478324324</v>
      </c>
      <c r="I88">
        <f>I87*SQRT(1+r_f)+E88*((1+k)/(1+r_f))^(Félévek_száma/2-C88)+F88/(1+r_f)^(Félévek_száma/2-C88)-O88-P88</f>
        <v>4487156.8550605634</v>
      </c>
      <c r="J88">
        <f t="shared" ca="1" si="7"/>
        <v>185930730.41965321</v>
      </c>
      <c r="K88">
        <f ca="1">_xlfn.NORM.INV(RAND(),Diákhitel!$L$4/2,Diákhitel!$M$4)</f>
        <v>5.1853973393853538E-2</v>
      </c>
      <c r="L88">
        <f>L87*SQRT(1+k)+E88-O88</f>
        <v>0</v>
      </c>
      <c r="M88">
        <f t="shared" si="4"/>
        <v>0</v>
      </c>
      <c r="N88">
        <f t="shared" si="5"/>
        <v>0</v>
      </c>
      <c r="O88">
        <f>IF(Diákhitel!$D$4="Stratégia 2",IF(AND(D88="Nem",D87="Igen"),L87*SQRT(1+k),0),IF(C88=Évek_száma,L87*SQRT(1+k),MIN(IF(D88="Igen",0,6*Diákhitel!$H$4*(0.06)),L87*SQRT(1+k))))</f>
        <v>0</v>
      </c>
      <c r="P88">
        <f>IF(Diákhitel!$D$4="Stratégia 2",IF(AND(D88="Nem",D87="Igen"),M87,0),IF(C88=Évek_száma,M87,MIN(IF(D88="Igen",0,IF(M87=0,0,VLOOKUP(M87,Diákhitel!$R$30:$S$34,2)*Diákhitel!$H$4*6)),M87)))</f>
        <v>0</v>
      </c>
      <c r="Q88">
        <f t="shared" si="6"/>
        <v>0</v>
      </c>
      <c r="R88">
        <f>IF(Diákhitel!$D$4="Stratégia 1",H88-N88,IF(Diákhitel!$D$4="Stratégia 2",I88-N88,J88-N88))</f>
        <v>9927873.7478324324</v>
      </c>
      <c r="S88">
        <f>IF(Diákhitel!$D$4="Stratégia 2",H88-I88,0)</f>
        <v>0</v>
      </c>
    </row>
    <row r="89" spans="2:19" x14ac:dyDescent="0.25">
      <c r="B89">
        <v>83</v>
      </c>
      <c r="C89">
        <f t="shared" si="2"/>
        <v>41</v>
      </c>
      <c r="D89" t="str">
        <f>IF(Diákhitel!$B$4&gt;=B89, "Igen", "Nem")</f>
        <v>Nem</v>
      </c>
      <c r="E89">
        <f>IF(D89="Igen",Diákhitel!$I$4,0)</f>
        <v>0</v>
      </c>
      <c r="F89">
        <f>IF(Diákhitel!$J$4="Igen", IF(D89="Igen",Diákhitel!$E$4,0), 0)</f>
        <v>0</v>
      </c>
      <c r="G89">
        <f t="shared" si="3"/>
        <v>0</v>
      </c>
      <c r="H89">
        <f>H88*SQRT(1+r_f)+G89-O89-P89</f>
        <v>10173043.350470174</v>
      </c>
      <c r="I89">
        <f>I88*SQRT(1+r_f)+E89*((1+k)/(1+r_f))^(Félévek_száma/2-C89)+F89/(1+r_f)^(Félévek_száma/2-C89)-O89-P89</f>
        <v>4597967.5372943711</v>
      </c>
      <c r="J89">
        <f t="shared" ca="1" si="7"/>
        <v>195571977.56793365</v>
      </c>
      <c r="K89">
        <f ca="1">_xlfn.NORM.INV(RAND(),Diákhitel!$L$4/2,Diákhitel!$M$4)</f>
        <v>7.0662254746181097E-2</v>
      </c>
      <c r="L89">
        <f>L88*SQRT(1+k)+E89-O89</f>
        <v>0</v>
      </c>
      <c r="M89">
        <f t="shared" si="4"/>
        <v>0</v>
      </c>
      <c r="N89">
        <f t="shared" si="5"/>
        <v>0</v>
      </c>
      <c r="O89">
        <f>IF(Diákhitel!$D$4="Stratégia 2",IF(AND(D89="Nem",D88="Igen"),L88*SQRT(1+k),0),IF(C89=Évek_száma,L88*SQRT(1+k),MIN(IF(D89="Igen",0,6*Diákhitel!$H$4*(0.06)),L88*SQRT(1+k))))</f>
        <v>0</v>
      </c>
      <c r="P89">
        <f>IF(Diákhitel!$D$4="Stratégia 2",IF(AND(D89="Nem",D88="Igen"),M88,0),IF(C89=Évek_száma,M88,MIN(IF(D89="Igen",0,IF(M88=0,0,VLOOKUP(M88,Diákhitel!$R$30:$S$34,2)*Diákhitel!$H$4*6)),M88)))</f>
        <v>0</v>
      </c>
      <c r="Q89">
        <f t="shared" si="6"/>
        <v>0</v>
      </c>
      <c r="R89">
        <f>IF(Diákhitel!$D$4="Stratégia 1",H89-N89,IF(Diákhitel!$D$4="Stratégia 2",I89-N89,J89-N89))</f>
        <v>10173043.350470174</v>
      </c>
      <c r="S89">
        <f>IF(Diákhitel!$D$4="Stratégia 2",H89-I89,0)</f>
        <v>0</v>
      </c>
    </row>
    <row r="90" spans="2:19" x14ac:dyDescent="0.25">
      <c r="B90">
        <v>84</v>
      </c>
      <c r="C90">
        <f t="shared" si="2"/>
        <v>41.5</v>
      </c>
      <c r="D90" t="str">
        <f>IF(Diákhitel!$B$4&gt;=B90, "Igen", "Nem")</f>
        <v>Nem</v>
      </c>
      <c r="E90">
        <f>IF(D90="Igen",Diákhitel!$I$4,0)</f>
        <v>0</v>
      </c>
      <c r="F90">
        <f>IF(Diákhitel!$J$4="Igen", IF(D90="Igen",Diákhitel!$E$4,0), 0)</f>
        <v>0</v>
      </c>
      <c r="G90">
        <f t="shared" si="3"/>
        <v>0</v>
      </c>
      <c r="H90">
        <f>H89*SQRT(1+r_f)+G90-O90-P90</f>
        <v>10424267.435224056</v>
      </c>
      <c r="I90">
        <f>I89*SQRT(1+r_f)+E90*((1+k)/(1+r_f))^(Félévek_száma/2-C90)+F90/(1+r_f)^(Félévek_száma/2-C90)-O90-P90</f>
        <v>4711514.6978135929</v>
      </c>
      <c r="J90">
        <f t="shared" ca="1" si="7"/>
        <v>209391534.46805337</v>
      </c>
      <c r="K90">
        <f ca="1">_xlfn.NORM.INV(RAND(),Diákhitel!$L$4/2,Diákhitel!$M$4)</f>
        <v>5.8452085975844531E-2</v>
      </c>
      <c r="L90">
        <f>L89*SQRT(1+k)+E90-O90</f>
        <v>0</v>
      </c>
      <c r="M90">
        <f t="shared" si="4"/>
        <v>0</v>
      </c>
      <c r="N90">
        <f t="shared" si="5"/>
        <v>0</v>
      </c>
      <c r="O90">
        <f>IF(Diákhitel!$D$4="Stratégia 2",IF(AND(D90="Nem",D89="Igen"),L89*SQRT(1+k),0),IF(C90=Évek_száma,L89*SQRT(1+k),MIN(IF(D90="Igen",0,6*Diákhitel!$H$4*(0.06)),L89*SQRT(1+k))))</f>
        <v>0</v>
      </c>
      <c r="P90">
        <f>IF(Diákhitel!$D$4="Stratégia 2",IF(AND(D90="Nem",D89="Igen"),M89,0),IF(C90=Évek_száma,M89,MIN(IF(D90="Igen",0,IF(M89=0,0,VLOOKUP(M89,Diákhitel!$R$30:$S$34,2)*Diákhitel!$H$4*6)),M89)))</f>
        <v>0</v>
      </c>
      <c r="Q90">
        <f t="shared" si="6"/>
        <v>0</v>
      </c>
      <c r="R90">
        <f>IF(Diákhitel!$D$4="Stratégia 1",H90-N90,IF(Diákhitel!$D$4="Stratégia 2",I90-N90,J90-N90))</f>
        <v>10424267.435224056</v>
      </c>
      <c r="S90">
        <f>IF(Diákhitel!$D$4="Stratégia 2",H90-I90,0)</f>
        <v>0</v>
      </c>
    </row>
    <row r="91" spans="2:19" x14ac:dyDescent="0.25">
      <c r="B91">
        <v>85</v>
      </c>
      <c r="C91">
        <f t="shared" si="2"/>
        <v>42</v>
      </c>
      <c r="D91" t="str">
        <f>IF(Diákhitel!$B$4&gt;=B91, "Igen", "Nem")</f>
        <v>Nem</v>
      </c>
      <c r="E91">
        <f>IF(D91="Igen",Diákhitel!$I$4,0)</f>
        <v>0</v>
      </c>
      <c r="F91">
        <f>IF(Diákhitel!$J$4="Igen", IF(D91="Igen",Diákhitel!$E$4,0), 0)</f>
        <v>0</v>
      </c>
      <c r="G91">
        <f t="shared" si="3"/>
        <v>0</v>
      </c>
      <c r="H91">
        <f>H90*SQRT(1+r_f)+G91-O91-P91</f>
        <v>10681695.517993685</v>
      </c>
      <c r="I91">
        <f>I90*SQRT(1+r_f)+E91*((1+k)/(1+r_f))^(Félévek_száma/2-C91)+F91/(1+r_f)^(Félévek_száma/2-C91)-O91-P91</f>
        <v>4827865.9141590903</v>
      </c>
      <c r="J91">
        <f t="shared" ca="1" si="7"/>
        <v>221630906.44339406</v>
      </c>
      <c r="K91">
        <f ca="1">_xlfn.NORM.INV(RAND(),Diákhitel!$L$4/2,Diákhitel!$M$4)</f>
        <v>4.5932658112060452E-2</v>
      </c>
      <c r="L91">
        <f>L90*SQRT(1+k)+E91-O91</f>
        <v>0</v>
      </c>
      <c r="M91">
        <f t="shared" si="4"/>
        <v>0</v>
      </c>
      <c r="N91">
        <f t="shared" si="5"/>
        <v>0</v>
      </c>
      <c r="O91">
        <f>IF(Diákhitel!$D$4="Stratégia 2",IF(AND(D91="Nem",D90="Igen"),L90*SQRT(1+k),0),IF(C91=Évek_száma,L90*SQRT(1+k),MIN(IF(D91="Igen",0,6*Diákhitel!$H$4*(0.06)),L90*SQRT(1+k))))</f>
        <v>0</v>
      </c>
      <c r="P91">
        <f>IF(Diákhitel!$D$4="Stratégia 2",IF(AND(D91="Nem",D90="Igen"),M90,0),IF(C91=Évek_száma,M90,MIN(IF(D91="Igen",0,IF(M90=0,0,VLOOKUP(M90,Diákhitel!$R$30:$S$34,2)*Diákhitel!$H$4*6)),M90)))</f>
        <v>0</v>
      </c>
      <c r="Q91">
        <f t="shared" si="6"/>
        <v>0</v>
      </c>
      <c r="R91">
        <f>IF(Diákhitel!$D$4="Stratégia 1",H91-N91,IF(Diákhitel!$D$4="Stratégia 2",I91-N91,J91-N91))</f>
        <v>10681695.517993685</v>
      </c>
      <c r="S91">
        <f>IF(Diákhitel!$D$4="Stratégia 2",H91-I91,0)</f>
        <v>0</v>
      </c>
    </row>
    <row r="92" spans="2:19" x14ac:dyDescent="0.25">
      <c r="B92">
        <v>86</v>
      </c>
      <c r="C92">
        <f t="shared" si="2"/>
        <v>42.5</v>
      </c>
      <c r="D92" t="str">
        <f>IF(Diákhitel!$B$4&gt;=B92, "Igen", "Nem")</f>
        <v>Nem</v>
      </c>
      <c r="E92">
        <f>IF(D92="Igen",Diákhitel!$I$4,0)</f>
        <v>0</v>
      </c>
      <c r="F92">
        <f>IF(Diákhitel!$J$4="Igen", IF(D92="Igen",Diákhitel!$E$4,0), 0)</f>
        <v>0</v>
      </c>
      <c r="G92">
        <f t="shared" si="3"/>
        <v>0</v>
      </c>
      <c r="H92">
        <f>H91*SQRT(1+r_f)+G92-O92-P92</f>
        <v>10945480.806985261</v>
      </c>
      <c r="I92">
        <f>I91*SQRT(1+r_f)+E92*((1+k)/(1+r_f))^(Félévek_száma/2-C92)+F92/(1+r_f)^(Félévek_száma/2-C92)-O92-P92</f>
        <v>4947090.4327042727</v>
      </c>
      <c r="J92">
        <f t="shared" ca="1" si="7"/>
        <v>231811003.09612456</v>
      </c>
      <c r="K92">
        <f ca="1">_xlfn.NORM.INV(RAND(),Diákhitel!$L$4/2,Diákhitel!$M$4)</f>
        <v>6.1075633781750252E-2</v>
      </c>
      <c r="L92">
        <f>L91*SQRT(1+k)+E92-O92</f>
        <v>0</v>
      </c>
      <c r="M92">
        <f t="shared" si="4"/>
        <v>0</v>
      </c>
      <c r="N92">
        <f t="shared" si="5"/>
        <v>0</v>
      </c>
      <c r="O92">
        <f>IF(Diákhitel!$D$4="Stratégia 2",IF(AND(D92="Nem",D91="Igen"),L91*SQRT(1+k),0),IF(C92=Évek_száma,L91*SQRT(1+k),MIN(IF(D92="Igen",0,6*Diákhitel!$H$4*(0.06)),L91*SQRT(1+k))))</f>
        <v>0</v>
      </c>
      <c r="P92">
        <f>IF(Diákhitel!$D$4="Stratégia 2",IF(AND(D92="Nem",D91="Igen"),M91,0),IF(C92=Évek_száma,M91,MIN(IF(D92="Igen",0,IF(M91=0,0,VLOOKUP(M91,Diákhitel!$R$30:$S$34,2)*Diákhitel!$H$4*6)),M91)))</f>
        <v>0</v>
      </c>
      <c r="Q92">
        <f t="shared" si="6"/>
        <v>0</v>
      </c>
      <c r="R92">
        <f>IF(Diákhitel!$D$4="Stratégia 1",H92-N92,IF(Diákhitel!$D$4="Stratégia 2",I92-N92,J92-N92))</f>
        <v>10945480.806985261</v>
      </c>
      <c r="S92">
        <f>IF(Diákhitel!$D$4="Stratégia 2",H92-I92,0)</f>
        <v>0</v>
      </c>
    </row>
    <row r="93" spans="2:19" x14ac:dyDescent="0.25">
      <c r="B93">
        <v>87</v>
      </c>
      <c r="C93">
        <f t="shared" si="2"/>
        <v>43</v>
      </c>
      <c r="D93" t="str">
        <f>IF(Diákhitel!$B$4&gt;=B93, "Igen", "Nem")</f>
        <v>Nem</v>
      </c>
      <c r="E93">
        <f>IF(D93="Igen",Diákhitel!$I$4,0)</f>
        <v>0</v>
      </c>
      <c r="F93">
        <f>IF(Diákhitel!$J$4="Igen", IF(D93="Igen",Diákhitel!$E$4,0), 0)</f>
        <v>0</v>
      </c>
      <c r="G93">
        <f t="shared" si="3"/>
        <v>0</v>
      </c>
      <c r="H93">
        <f>H92*SQRT(1+r_f)+G93-O93-P93</f>
        <v>11215780.293893371</v>
      </c>
      <c r="I93">
        <f>I92*SQRT(1+r_f)+E93*((1+k)/(1+r_f))^(Félévek_száma/2-C93)+F93/(1+r_f)^(Félévek_száma/2-C93)-O93-P93</f>
        <v>5069259.2098670453</v>
      </c>
      <c r="J93">
        <f t="shared" ca="1" si="7"/>
        <v>245969007.02780363</v>
      </c>
      <c r="K93">
        <f ca="1">_xlfn.NORM.INV(RAND(),Diákhitel!$L$4/2,Diákhitel!$M$4)</f>
        <v>6.1858093733269198E-2</v>
      </c>
      <c r="L93">
        <f>L92*SQRT(1+k)+E93-O93</f>
        <v>0</v>
      </c>
      <c r="M93">
        <f t="shared" si="4"/>
        <v>0</v>
      </c>
      <c r="N93">
        <f t="shared" si="5"/>
        <v>0</v>
      </c>
      <c r="O93">
        <f>IF(Diákhitel!$D$4="Stratégia 2",IF(AND(D93="Nem",D92="Igen"),L92*SQRT(1+k),0),IF(C93=Évek_száma,L92*SQRT(1+k),MIN(IF(D93="Igen",0,6*Diákhitel!$H$4*(0.06)),L92*SQRT(1+k))))</f>
        <v>0</v>
      </c>
      <c r="P93">
        <f>IF(Diákhitel!$D$4="Stratégia 2",IF(AND(D93="Nem",D92="Igen"),M92,0),IF(C93=Évek_száma,M92,MIN(IF(D93="Igen",0,IF(M92=0,0,VLOOKUP(M92,Diákhitel!$R$30:$S$34,2)*Diákhitel!$H$4*6)),M92)))</f>
        <v>0</v>
      </c>
      <c r="Q93">
        <f t="shared" si="6"/>
        <v>0</v>
      </c>
      <c r="R93">
        <f>IF(Diákhitel!$D$4="Stratégia 1",H93-N93,IF(Diákhitel!$D$4="Stratégia 2",I93-N93,J93-N93))</f>
        <v>11215780.293893371</v>
      </c>
      <c r="S93">
        <f>IF(Diákhitel!$D$4="Stratégia 2",H93-I93,0)</f>
        <v>0</v>
      </c>
    </row>
    <row r="94" spans="2:19" x14ac:dyDescent="0.25">
      <c r="B94">
        <v>88</v>
      </c>
      <c r="C94">
        <f t="shared" si="2"/>
        <v>43.5</v>
      </c>
      <c r="D94" t="str">
        <f>IF(Diákhitel!$B$4&gt;=B94, "Igen", "Nem")</f>
        <v>Nem</v>
      </c>
      <c r="E94">
        <f>IF(D94="Igen",Diákhitel!$I$4,0)</f>
        <v>0</v>
      </c>
      <c r="F94">
        <f>IF(Diákhitel!$J$4="Igen", IF(D94="Igen",Diákhitel!$E$4,0), 0)</f>
        <v>0</v>
      </c>
      <c r="G94">
        <f t="shared" si="3"/>
        <v>0</v>
      </c>
      <c r="H94">
        <f>H93*SQRT(1+r_f)+G94-O94-P94</f>
        <v>11492754.847334526</v>
      </c>
      <c r="I94">
        <f>I93*SQRT(1+r_f)+E94*((1+k)/(1+r_f))^(Félévek_száma/2-C94)+F94/(1+r_f)^(Félévek_száma/2-C94)-O94-P94</f>
        <v>5194444.9543394875</v>
      </c>
      <c r="J94">
        <f t="shared" ca="1" si="7"/>
        <v>261184180.92000863</v>
      </c>
      <c r="K94">
        <f ca="1">_xlfn.NORM.INV(RAND(),Diákhitel!$L$4/2,Diákhitel!$M$4)</f>
        <v>4.4593461313655873E-2</v>
      </c>
      <c r="L94">
        <f>L93*SQRT(1+k)+E94-O94</f>
        <v>0</v>
      </c>
      <c r="M94">
        <f t="shared" si="4"/>
        <v>0</v>
      </c>
      <c r="N94">
        <f t="shared" si="5"/>
        <v>0</v>
      </c>
      <c r="O94">
        <f>IF(Diákhitel!$D$4="Stratégia 2",IF(AND(D94="Nem",D93="Igen"),L93*SQRT(1+k),0),IF(C94=Évek_száma,L93*SQRT(1+k),MIN(IF(D94="Igen",0,6*Diákhitel!$H$4*(0.06)),L93*SQRT(1+k))))</f>
        <v>0</v>
      </c>
      <c r="P94">
        <f>IF(Diákhitel!$D$4="Stratégia 2",IF(AND(D94="Nem",D93="Igen"),M93,0),IF(C94=Évek_száma,M93,MIN(IF(D94="Igen",0,IF(M93=0,0,VLOOKUP(M93,Diákhitel!$R$30:$S$34,2)*Diákhitel!$H$4*6)),M93)))</f>
        <v>0</v>
      </c>
      <c r="Q94">
        <f t="shared" si="6"/>
        <v>0</v>
      </c>
      <c r="R94">
        <f>IF(Diákhitel!$D$4="Stratégia 1",H94-N94,IF(Diákhitel!$D$4="Stratégia 2",I94-N94,J94-N94))</f>
        <v>11492754.847334526</v>
      </c>
      <c r="S94">
        <f>IF(Diákhitel!$D$4="Stratégia 2",H94-I94,0)</f>
        <v>0</v>
      </c>
    </row>
    <row r="95" spans="2:19" x14ac:dyDescent="0.25">
      <c r="B95">
        <v>89</v>
      </c>
      <c r="C95">
        <f t="shared" si="2"/>
        <v>44</v>
      </c>
      <c r="D95" t="str">
        <f>IF(Diákhitel!$B$4&gt;=B95, "Igen", "Nem")</f>
        <v>Nem</v>
      </c>
      <c r="E95">
        <f>IF(D95="Igen",Diákhitel!$I$4,0)</f>
        <v>0</v>
      </c>
      <c r="F95">
        <f>IF(Diákhitel!$J$4="Igen", IF(D95="Igen",Diákhitel!$E$4,0), 0)</f>
        <v>0</v>
      </c>
      <c r="G95">
        <f t="shared" si="3"/>
        <v>0</v>
      </c>
      <c r="H95">
        <f>H94*SQRT(1+r_f)+G95-O95-P95</f>
        <v>11776569.308588043</v>
      </c>
      <c r="I95">
        <f>I94*SQRT(1+r_f)+E95*((1+k)/(1+r_f))^(Félévek_száma/2-C95)+F95/(1+r_f)^(Félévek_száma/2-C95)-O95-P95</f>
        <v>5322722.1703603985</v>
      </c>
      <c r="J95">
        <f t="shared" ca="1" si="7"/>
        <v>272831287.58760393</v>
      </c>
      <c r="K95">
        <f ca="1">_xlfn.NORM.INV(RAND(),Diákhitel!$L$4/2,Diákhitel!$M$4)</f>
        <v>5.7201664296322688E-2</v>
      </c>
      <c r="L95">
        <f>L94*SQRT(1+k)+E95-O95</f>
        <v>0</v>
      </c>
      <c r="M95">
        <f t="shared" si="4"/>
        <v>0</v>
      </c>
      <c r="N95">
        <f t="shared" si="5"/>
        <v>0</v>
      </c>
      <c r="O95">
        <f>IF(Diákhitel!$D$4="Stratégia 2",IF(AND(D95="Nem",D94="Igen"),L94*SQRT(1+k),0),IF(C95=Évek_száma,L94*SQRT(1+k),MIN(IF(D95="Igen",0,6*Diákhitel!$H$4*(0.06)),L94*SQRT(1+k))))</f>
        <v>0</v>
      </c>
      <c r="P95">
        <f>IF(Diákhitel!$D$4="Stratégia 2",IF(AND(D95="Nem",D94="Igen"),M94,0),IF(C95=Évek_száma,M94,MIN(IF(D95="Igen",0,IF(M94=0,0,VLOOKUP(M94,Diákhitel!$R$30:$S$34,2)*Diákhitel!$H$4*6)),M94)))</f>
        <v>0</v>
      </c>
      <c r="Q95">
        <f t="shared" si="6"/>
        <v>0</v>
      </c>
      <c r="R95">
        <f>IF(Diákhitel!$D$4="Stratégia 1",H95-N95,IF(Diákhitel!$D$4="Stratégia 2",I95-N95,J95-N95))</f>
        <v>11776569.308588043</v>
      </c>
      <c r="S95">
        <f>IF(Diákhitel!$D$4="Stratégia 2",H95-I95,0)</f>
        <v>0</v>
      </c>
    </row>
    <row r="96" spans="2:19" x14ac:dyDescent="0.25">
      <c r="B96">
        <v>90</v>
      </c>
      <c r="C96">
        <f t="shared" si="2"/>
        <v>44.5</v>
      </c>
      <c r="D96" t="str">
        <f>IF(Diákhitel!$B$4&gt;=B96, "Igen", "Nem")</f>
        <v>Nem</v>
      </c>
      <c r="E96">
        <f>IF(D96="Igen",Diákhitel!$I$4,0)</f>
        <v>0</v>
      </c>
      <c r="F96">
        <f>IF(Diákhitel!$J$4="Igen", IF(D96="Igen",Diákhitel!$E$4,0), 0)</f>
        <v>0</v>
      </c>
      <c r="G96">
        <f t="shared" si="3"/>
        <v>0</v>
      </c>
      <c r="H96">
        <f>H95*SQRT(1+r_f)+G96-O96-P96</f>
        <v>12067392.589701256</v>
      </c>
      <c r="I96">
        <f>I95*SQRT(1+r_f)+E96*((1+k)/(1+r_f))^(Félévek_száma/2-C96)+F96/(1+r_f)^(Félévek_száma/2-C96)-O96-P96</f>
        <v>5454167.2020564629</v>
      </c>
      <c r="J96">
        <f t="shared" ca="1" si="7"/>
        <v>288437691.3097235</v>
      </c>
      <c r="K96">
        <f ca="1">_xlfn.NORM.INV(RAND(),Diákhitel!$L$4/2,Diákhitel!$M$4)</f>
        <v>6.7865374449378554E-2</v>
      </c>
      <c r="L96">
        <f>L95*SQRT(1+k)+E96-O96</f>
        <v>0</v>
      </c>
      <c r="M96">
        <f t="shared" si="4"/>
        <v>0</v>
      </c>
      <c r="N96">
        <f t="shared" si="5"/>
        <v>0</v>
      </c>
      <c r="O96">
        <f>IF(Diákhitel!$D$4="Stratégia 2",IF(AND(D96="Nem",D95="Igen"),L95*SQRT(1+k),0),IF(C96=Évek_száma,L95*SQRT(1+k),MIN(IF(D96="Igen",0,6*Diákhitel!$H$4*(0.06)),L95*SQRT(1+k))))</f>
        <v>0</v>
      </c>
      <c r="P96">
        <f>IF(Diákhitel!$D$4="Stratégia 2",IF(AND(D96="Nem",D95="Igen"),M95,0),IF(C96=Évek_száma,M95,MIN(IF(D96="Igen",0,IF(M95=0,0,VLOOKUP(M95,Diákhitel!$R$30:$S$34,2)*Diákhitel!$H$4*6)),M95)))</f>
        <v>0</v>
      </c>
      <c r="Q96">
        <f t="shared" si="6"/>
        <v>0</v>
      </c>
      <c r="R96">
        <f>IF(Diákhitel!$D$4="Stratégia 1",H96-N96,IF(Diákhitel!$D$4="Stratégia 2",I96-N96,J96-N96))</f>
        <v>12067392.589701256</v>
      </c>
      <c r="S96">
        <f>IF(Diákhitel!$D$4="Stratégia 2",H96-I96,0)</f>
        <v>0</v>
      </c>
    </row>
    <row r="97" spans="2:19" x14ac:dyDescent="0.25">
      <c r="B97">
        <v>91</v>
      </c>
      <c r="C97">
        <f t="shared" si="2"/>
        <v>45</v>
      </c>
      <c r="D97" t="str">
        <f>IF(Diákhitel!$B$4&gt;=B97, "Igen", "Nem")</f>
        <v>Nem</v>
      </c>
      <c r="E97">
        <f>IF(D97="Igen",Diákhitel!$I$4,0)</f>
        <v>0</v>
      </c>
      <c r="F97">
        <f>IF(Diákhitel!$J$4="Igen", IF(D97="Igen",Diákhitel!$E$4,0), 0)</f>
        <v>0</v>
      </c>
      <c r="G97">
        <f t="shared" si="3"/>
        <v>0</v>
      </c>
      <c r="H97">
        <f>H96*SQRT(1+r_f)+G97-O97-P97</f>
        <v>12365397.774017448</v>
      </c>
      <c r="I97">
        <f>I96*SQRT(1+r_f)+E97*((1+k)/(1+r_f))^(Félévek_száma/2-C97)+F97/(1+r_f)^(Félévek_száma/2-C97)-O97-P97</f>
        <v>5588858.2788784197</v>
      </c>
      <c r="J97">
        <f t="shared" ca="1" si="7"/>
        <v>308012623.23577213</v>
      </c>
      <c r="K97">
        <f ca="1">_xlfn.NORM.INV(RAND(),Diákhitel!$L$4/2,Diákhitel!$M$4)</f>
        <v>6.4238625373876396E-2</v>
      </c>
      <c r="L97">
        <f>L96*SQRT(1+k)+E97-O97</f>
        <v>0</v>
      </c>
      <c r="M97">
        <f t="shared" si="4"/>
        <v>0</v>
      </c>
      <c r="N97">
        <f t="shared" si="5"/>
        <v>0</v>
      </c>
      <c r="O97">
        <f>IF(Diákhitel!$D$4="Stratégia 2",IF(AND(D97="Nem",D96="Igen"),L96*SQRT(1+k),0),IF(C97=Évek_száma,L96*SQRT(1+k),MIN(IF(D97="Igen",0,6*Diákhitel!$H$4*(0.06)),L96*SQRT(1+k))))</f>
        <v>0</v>
      </c>
      <c r="P97">
        <f>IF(Diákhitel!$D$4="Stratégia 2",IF(AND(D97="Nem",D96="Igen"),M96,0),IF(C97=Évek_száma,M96,MIN(IF(D97="Igen",0,IF(M96=0,0,VLOOKUP(M96,Diákhitel!$R$30:$S$34,2)*Diákhitel!$H$4*6)),M96)))</f>
        <v>0</v>
      </c>
      <c r="Q97">
        <f t="shared" si="6"/>
        <v>0</v>
      </c>
      <c r="R97">
        <f>IF(Diákhitel!$D$4="Stratégia 1",H97-N97,IF(Diákhitel!$D$4="Stratégia 2",I97-N97,J97-N97))</f>
        <v>12365397.774017448</v>
      </c>
      <c r="S97">
        <f>IF(Diákhitel!$D$4="Stratégia 2",H97-I97,0)</f>
        <v>0</v>
      </c>
    </row>
    <row r="98" spans="2:19" x14ac:dyDescent="0.25">
      <c r="B98">
        <v>92</v>
      </c>
      <c r="C98">
        <f t="shared" si="2"/>
        <v>45.5</v>
      </c>
      <c r="D98" t="str">
        <f>IF(Diákhitel!$B$4&gt;=B98, "Igen", "Nem")</f>
        <v>Nem</v>
      </c>
      <c r="E98">
        <f>IF(D98="Igen",Diákhitel!$I$4,0)</f>
        <v>0</v>
      </c>
      <c r="F98">
        <f>IF(Diákhitel!$J$4="Igen", IF(D98="Igen",Diákhitel!$E$4,0), 0)</f>
        <v>0</v>
      </c>
      <c r="G98">
        <f t="shared" ref="G98:G107" si="8">E98+F98</f>
        <v>0</v>
      </c>
      <c r="H98">
        <f>H97*SQRT(1+r_f)+G98-O98-P98</f>
        <v>12670762.219186321</v>
      </c>
      <c r="I98">
        <f>I97*SQRT(1+r_f)+E98*((1+k)/(1+r_f))^(Félévek_száma/2-C98)+F98/(1+r_f)^(Félévek_száma/2-C98)-O98-P98</f>
        <v>5726875.5621592868</v>
      </c>
      <c r="J98">
        <f t="shared" ca="1" si="7"/>
        <v>327798930.75023985</v>
      </c>
      <c r="K98">
        <f ca="1">_xlfn.NORM.INV(RAND(),Diákhitel!$L$4/2,Diákhitel!$M$4)</f>
        <v>5.9496486019726159E-2</v>
      </c>
      <c r="L98">
        <f>L97*SQRT(1+k)+E98-O98</f>
        <v>0</v>
      </c>
      <c r="M98">
        <f t="shared" ref="M98:M107" si="9">MAX(M97+F98-P98,0)</f>
        <v>0</v>
      </c>
      <c r="N98">
        <f t="shared" ref="N98:N107" si="10">L98+M98</f>
        <v>0</v>
      </c>
      <c r="O98">
        <f>IF(Diákhitel!$D$4="Stratégia 2",IF(AND(D98="Nem",D97="Igen"),L97*SQRT(1+k),0),IF(C98=Évek_száma,L97*SQRT(1+k),MIN(IF(D98="Igen",0,6*Diákhitel!$H$4*(0.06)),L97*SQRT(1+k))))</f>
        <v>0</v>
      </c>
      <c r="P98">
        <f>IF(Diákhitel!$D$4="Stratégia 2",IF(AND(D98="Nem",D97="Igen"),M97,0),IF(C98=Évek_száma,M97,MIN(IF(D98="Igen",0,IF(M97=0,0,VLOOKUP(M97,Diákhitel!$R$30:$S$34,2)*Diákhitel!$H$4*6)),M97)))</f>
        <v>0</v>
      </c>
      <c r="Q98">
        <f t="shared" si="6"/>
        <v>0</v>
      </c>
      <c r="R98">
        <f>IF(Diákhitel!$D$4="Stratégia 1",H98-N98,IF(Diákhitel!$D$4="Stratégia 2",I98-N98,J98-N98))</f>
        <v>12670762.219186321</v>
      </c>
      <c r="S98">
        <f>IF(Diákhitel!$D$4="Stratégia 2",H98-I98,0)</f>
        <v>0</v>
      </c>
    </row>
    <row r="99" spans="2:19" x14ac:dyDescent="0.25">
      <c r="B99">
        <v>93</v>
      </c>
      <c r="C99">
        <f t="shared" si="2"/>
        <v>46</v>
      </c>
      <c r="D99" t="str">
        <f>IF(Diákhitel!$B$4&gt;=B99, "Igen", "Nem")</f>
        <v>Nem</v>
      </c>
      <c r="E99">
        <f>IF(D99="Igen",Diákhitel!$I$4,0)</f>
        <v>0</v>
      </c>
      <c r="F99">
        <f>IF(Diákhitel!$J$4="Igen", IF(D99="Igen",Diákhitel!$E$4,0), 0)</f>
        <v>0</v>
      </c>
      <c r="G99">
        <f t="shared" si="8"/>
        <v>0</v>
      </c>
      <c r="H99">
        <f>H98*SQRT(1+r_f)+G99-O99-P99</f>
        <v>12983667.662718322</v>
      </c>
      <c r="I99">
        <f>I98*SQRT(1+r_f)+E99*((1+k)/(1+r_f))^(Félévek_száma/2-C99)+F99/(1+r_f)^(Félévek_száma/2-C99)-O99-P99</f>
        <v>5868301.1928223418</v>
      </c>
      <c r="J99">
        <f t="shared" ca="1" si="7"/>
        <v>347301815.25090271</v>
      </c>
      <c r="K99">
        <f ca="1">_xlfn.NORM.INV(RAND(),Diákhitel!$L$4/2,Diákhitel!$M$4)</f>
        <v>3.6074046886137121E-2</v>
      </c>
      <c r="L99">
        <f>L98*SQRT(1+k)+E99-O99</f>
        <v>0</v>
      </c>
      <c r="M99">
        <f t="shared" si="9"/>
        <v>0</v>
      </c>
      <c r="N99">
        <f t="shared" si="10"/>
        <v>0</v>
      </c>
      <c r="O99">
        <f>IF(Diákhitel!$D$4="Stratégia 2",IF(AND(D99="Nem",D98="Igen"),L98*SQRT(1+k),0),IF(C99=Évek_száma,L98*SQRT(1+k),MIN(IF(D99="Igen",0,6*Diákhitel!$H$4*(0.06)),L98*SQRT(1+k))))</f>
        <v>0</v>
      </c>
      <c r="P99">
        <f>IF(Diákhitel!$D$4="Stratégia 2",IF(AND(D99="Nem",D98="Igen"),M98,0),IF(C99=Évek_száma,M98,MIN(IF(D99="Igen",0,IF(M98=0,0,VLOOKUP(M98,Diákhitel!$R$30:$S$34,2)*Diákhitel!$H$4*6)),M98)))</f>
        <v>0</v>
      </c>
      <c r="Q99">
        <f t="shared" si="6"/>
        <v>0</v>
      </c>
      <c r="R99">
        <f>IF(Diákhitel!$D$4="Stratégia 1",H99-N99,IF(Diákhitel!$D$4="Stratégia 2",I99-N99,J99-N99))</f>
        <v>12983667.662718322</v>
      </c>
      <c r="S99">
        <f>IF(Diákhitel!$D$4="Stratégia 2",H99-I99,0)</f>
        <v>0</v>
      </c>
    </row>
    <row r="100" spans="2:19" x14ac:dyDescent="0.25">
      <c r="B100">
        <v>94</v>
      </c>
      <c r="C100">
        <f t="shared" si="2"/>
        <v>46.5</v>
      </c>
      <c r="D100" t="str">
        <f>IF(Diákhitel!$B$4&gt;=B100, "Igen", "Nem")</f>
        <v>Nem</v>
      </c>
      <c r="E100">
        <f>IF(D100="Igen",Diákhitel!$I$4,0)</f>
        <v>0</v>
      </c>
      <c r="F100">
        <f>IF(Diákhitel!$J$4="Igen", IF(D100="Igen",Diákhitel!$E$4,0), 0)</f>
        <v>0</v>
      </c>
      <c r="G100">
        <f t="shared" si="8"/>
        <v>0</v>
      </c>
      <c r="H100">
        <f>H99*SQRT(1+r_f)+G100-O100-P100</f>
        <v>13304300.330145638</v>
      </c>
      <c r="I100">
        <f>I99*SQRT(1+r_f)+E100*((1+k)/(1+r_f))^(Félévek_száma/2-C100)+F100/(1+r_f)^(Félévek_száma/2-C100)-O100-P100</f>
        <v>6013219.3402672522</v>
      </c>
      <c r="J100">
        <f t="shared" ca="1" si="7"/>
        <v>359830397.21790433</v>
      </c>
      <c r="K100">
        <f ca="1">_xlfn.NORM.INV(RAND(),Diákhitel!$L$4/2,Diákhitel!$M$4)</f>
        <v>4.7299489691670429E-2</v>
      </c>
      <c r="L100">
        <f>L99*SQRT(1+k)+E100-O100</f>
        <v>0</v>
      </c>
      <c r="M100">
        <f t="shared" si="9"/>
        <v>0</v>
      </c>
      <c r="N100">
        <f t="shared" si="10"/>
        <v>0</v>
      </c>
      <c r="O100">
        <f>IF(Diákhitel!$D$4="Stratégia 2",IF(AND(D100="Nem",D99="Igen"),L99*SQRT(1+k),0),IF(C100=Évek_száma,L99*SQRT(1+k),MIN(IF(D100="Igen",0,6*Diákhitel!$H$4*(0.06)),L99*SQRT(1+k))))</f>
        <v>0</v>
      </c>
      <c r="P100">
        <f>IF(Diákhitel!$D$4="Stratégia 2",IF(AND(D100="Nem",D99="Igen"),M99,0),IF(C100=Évek_száma,M99,MIN(IF(D100="Igen",0,IF(M99=0,0,VLOOKUP(M99,Diákhitel!$R$30:$S$34,2)*Diákhitel!$H$4*6)),M99)))</f>
        <v>0</v>
      </c>
      <c r="Q100">
        <f t="shared" si="6"/>
        <v>0</v>
      </c>
      <c r="R100">
        <f>IF(Diákhitel!$D$4="Stratégia 1",H100-N100,IF(Diákhitel!$D$4="Stratégia 2",I100-N100,J100-N100))</f>
        <v>13304300.330145638</v>
      </c>
      <c r="S100">
        <f>IF(Diákhitel!$D$4="Stratégia 2",H100-I100,0)</f>
        <v>0</v>
      </c>
    </row>
    <row r="101" spans="2:19" x14ac:dyDescent="0.25">
      <c r="B101">
        <v>95</v>
      </c>
      <c r="C101">
        <f t="shared" si="2"/>
        <v>47</v>
      </c>
      <c r="D101" t="str">
        <f>IF(Diákhitel!$B$4&gt;=B101, "Igen", "Nem")</f>
        <v>Nem</v>
      </c>
      <c r="E101">
        <f>IF(D101="Igen",Diákhitel!$I$4,0)</f>
        <v>0</v>
      </c>
      <c r="F101">
        <f>IF(Diákhitel!$J$4="Igen", IF(D101="Igen",Diákhitel!$E$4,0), 0)</f>
        <v>0</v>
      </c>
      <c r="G101">
        <f t="shared" si="8"/>
        <v>0</v>
      </c>
      <c r="H101">
        <f>H100*SQRT(1+r_f)+G101-O101-P101</f>
        <v>13632851.045854241</v>
      </c>
      <c r="I101">
        <f>I100*SQRT(1+r_f)+E101*((1+k)/(1+r_f))^(Félévek_száma/2-C101)+F101/(1+r_f)^(Félévek_száma/2-C101)-O101-P101</f>
        <v>6161716.25246346</v>
      </c>
      <c r="J101">
        <f t="shared" ca="1" si="7"/>
        <v>376850191.38186228</v>
      </c>
      <c r="K101">
        <f ca="1">_xlfn.NORM.INV(RAND(),Diákhitel!$L$4/2,Diákhitel!$M$4)</f>
        <v>3.4321054397735917E-2</v>
      </c>
      <c r="L101">
        <f>L100*SQRT(1+k)+E101-O101</f>
        <v>0</v>
      </c>
      <c r="M101">
        <f t="shared" si="9"/>
        <v>0</v>
      </c>
      <c r="N101">
        <f t="shared" si="10"/>
        <v>0</v>
      </c>
      <c r="O101">
        <f>IF(Diákhitel!$D$4="Stratégia 2",IF(AND(D101="Nem",D100="Igen"),L100*SQRT(1+k),0),IF(C101=Évek_száma,L100*SQRT(1+k),MIN(IF(D101="Igen",0,6*Diákhitel!$H$4*(0.06)),L100*SQRT(1+k))))</f>
        <v>0</v>
      </c>
      <c r="P101">
        <f>IF(Diákhitel!$D$4="Stratégia 2",IF(AND(D101="Nem",D100="Igen"),M100,0),IF(C101=Évek_száma,M100,MIN(IF(D101="Igen",0,IF(M100=0,0,VLOOKUP(M100,Diákhitel!$R$30:$S$34,2)*Diákhitel!$H$4*6)),M100)))</f>
        <v>0</v>
      </c>
      <c r="Q101">
        <f t="shared" si="6"/>
        <v>0</v>
      </c>
      <c r="R101">
        <f>IF(Diákhitel!$D$4="Stratégia 1",H101-N101,IF(Diákhitel!$D$4="Stratégia 2",I101-N101,J101-N101))</f>
        <v>13632851.045854241</v>
      </c>
      <c r="S101">
        <f>IF(Diákhitel!$D$4="Stratégia 2",H101-I101,0)</f>
        <v>0</v>
      </c>
    </row>
    <row r="102" spans="2:19" x14ac:dyDescent="0.25">
      <c r="B102">
        <v>96</v>
      </c>
      <c r="C102">
        <f t="shared" si="2"/>
        <v>47.5</v>
      </c>
      <c r="D102" t="str">
        <f>IF(Diákhitel!$B$4&gt;=B102, "Igen", "Nem")</f>
        <v>Nem</v>
      </c>
      <c r="E102">
        <f>IF(D102="Igen",Diákhitel!$I$4,0)</f>
        <v>0</v>
      </c>
      <c r="F102">
        <f>IF(Diákhitel!$J$4="Igen", IF(D102="Igen",Diákhitel!$E$4,0), 0)</f>
        <v>0</v>
      </c>
      <c r="G102">
        <f t="shared" si="8"/>
        <v>0</v>
      </c>
      <c r="H102">
        <f>H101*SQRT(1+r_f)+G102-O102-P102</f>
        <v>13969515.346652923</v>
      </c>
      <c r="I102">
        <f>I101*SQRT(1+r_f)+E102*((1+k)/(1+r_f))^(Félévek_száma/2-C102)+F102/(1+r_f)^(Félévek_száma/2-C102)-O102-P102</f>
        <v>6313880.3072806159</v>
      </c>
      <c r="J102">
        <f t="shared" ca="1" si="7"/>
        <v>389784087.30007637</v>
      </c>
      <c r="K102">
        <f ca="1">_xlfn.NORM.INV(RAND(),Diákhitel!$L$4/2,Diákhitel!$M$4)</f>
        <v>4.632968388539737E-2</v>
      </c>
      <c r="L102">
        <f>L101*SQRT(1+k)+E102-O102</f>
        <v>0</v>
      </c>
      <c r="M102">
        <f t="shared" si="9"/>
        <v>0</v>
      </c>
      <c r="N102">
        <f t="shared" si="10"/>
        <v>0</v>
      </c>
      <c r="O102">
        <f>IF(Diákhitel!$D$4="Stratégia 2",IF(AND(D102="Nem",D101="Igen"),L101*SQRT(1+k),0),IF(C102=Évek_száma,L101*SQRT(1+k),MIN(IF(D102="Igen",0,6*Diákhitel!$H$4*(0.06)),L101*SQRT(1+k))))</f>
        <v>0</v>
      </c>
      <c r="P102">
        <f>IF(Diákhitel!$D$4="Stratégia 2",IF(AND(D102="Nem",D101="Igen"),M101,0),IF(C102=Évek_száma,M101,MIN(IF(D102="Igen",0,IF(M101=0,0,VLOOKUP(M101,Diákhitel!$R$30:$S$34,2)*Diákhitel!$H$4*6)),M101)))</f>
        <v>0</v>
      </c>
      <c r="Q102">
        <f t="shared" si="6"/>
        <v>0</v>
      </c>
      <c r="R102">
        <f>IF(Diákhitel!$D$4="Stratégia 1",H102-N102,IF(Diákhitel!$D$4="Stratégia 2",I102-N102,J102-N102))</f>
        <v>13969515.346652923</v>
      </c>
      <c r="S102">
        <f>IF(Diákhitel!$D$4="Stratégia 2",H102-I102,0)</f>
        <v>0</v>
      </c>
    </row>
    <row r="103" spans="2:19" x14ac:dyDescent="0.25">
      <c r="B103">
        <v>97</v>
      </c>
      <c r="C103">
        <f t="shared" si="2"/>
        <v>48</v>
      </c>
      <c r="D103" t="str">
        <f>IF(Diákhitel!$B$4&gt;=B103, "Igen", "Nem")</f>
        <v>Nem</v>
      </c>
      <c r="E103">
        <f>IF(D103="Igen",Diákhitel!$I$4,0)</f>
        <v>0</v>
      </c>
      <c r="F103">
        <f>IF(Diákhitel!$J$4="Igen", IF(D103="Igen",Diákhitel!$E$4,0), 0)</f>
        <v>0</v>
      </c>
      <c r="G103">
        <f t="shared" si="8"/>
        <v>0</v>
      </c>
      <c r="H103">
        <f>H102*SQRT(1+r_f)+G103-O103-P103</f>
        <v>14314493.598146955</v>
      </c>
      <c r="I103">
        <f>I102*SQRT(1+r_f)+E103*((1+k)/(1+r_f))^(Félévek_száma/2-C103)+F103/(1+r_f)^(Félévek_száma/2-C103)-O103-P103</f>
        <v>6469802.0650866339</v>
      </c>
      <c r="J103">
        <f t="shared" ca="1" si="7"/>
        <v>407842660.84824699</v>
      </c>
      <c r="K103">
        <f ca="1">_xlfn.NORM.INV(RAND(),Diákhitel!$L$4/2,Diákhitel!$M$4)</f>
        <v>4.6798985458167651E-2</v>
      </c>
      <c r="L103">
        <f>L102*SQRT(1+k)+E103-O103</f>
        <v>0</v>
      </c>
      <c r="M103">
        <f t="shared" si="9"/>
        <v>0</v>
      </c>
      <c r="N103">
        <f t="shared" si="10"/>
        <v>0</v>
      </c>
      <c r="O103">
        <f>IF(Diákhitel!$D$4="Stratégia 2",IF(AND(D103="Nem",D102="Igen"),L102*SQRT(1+k),0),IF(C103=Évek_száma,L102*SQRT(1+k),MIN(IF(D103="Igen",0,6*Diákhitel!$H$4*(0.06)),L102*SQRT(1+k))))</f>
        <v>0</v>
      </c>
      <c r="P103">
        <f>IF(Diákhitel!$D$4="Stratégia 2",IF(AND(D103="Nem",D102="Igen"),M102,0),IF(C103=Évek_száma,M102,MIN(IF(D103="Igen",0,IF(M102=0,0,VLOOKUP(M102,Diákhitel!$R$30:$S$34,2)*Diákhitel!$H$4*6)),M102)))</f>
        <v>0</v>
      </c>
      <c r="Q103">
        <f t="shared" si="6"/>
        <v>0</v>
      </c>
      <c r="R103">
        <f>IF(Diákhitel!$D$4="Stratégia 1",H103-N103,IF(Diákhitel!$D$4="Stratégia 2",I103-N103,J103-N103))</f>
        <v>14314493.598146955</v>
      </c>
      <c r="S103">
        <f>IF(Diákhitel!$D$4="Stratégia 2",H103-I103,0)</f>
        <v>0</v>
      </c>
    </row>
    <row r="104" spans="2:19" x14ac:dyDescent="0.25">
      <c r="B104">
        <v>98</v>
      </c>
      <c r="C104">
        <f t="shared" si="2"/>
        <v>48.5</v>
      </c>
      <c r="D104" t="str">
        <f>IF(Diákhitel!$B$4&gt;=B104, "Igen", "Nem")</f>
        <v>Nem</v>
      </c>
      <c r="E104">
        <f>IF(D104="Igen",Diákhitel!$I$4,0)</f>
        <v>0</v>
      </c>
      <c r="F104">
        <f>IF(Diákhitel!$J$4="Igen", IF(D104="Igen",Diákhitel!$E$4,0), 0)</f>
        <v>0</v>
      </c>
      <c r="G104">
        <f t="shared" si="8"/>
        <v>0</v>
      </c>
      <c r="H104">
        <f>H103*SQRT(1+r_f)+G104-O104-P104</f>
        <v>14667991.113985572</v>
      </c>
      <c r="I104">
        <f>I103*SQRT(1+r_f)+E104*((1+k)/(1+r_f))^(Félévek_száma/2-C104)+F104/(1+r_f)^(Félévek_száma/2-C104)-O104-P104</f>
        <v>6629574.3226446481</v>
      </c>
      <c r="J104">
        <f t="shared" ca="1" si="7"/>
        <v>426929283.60250449</v>
      </c>
      <c r="K104">
        <f ca="1">_xlfn.NORM.INV(RAND(),Diákhitel!$L$4/2,Diákhitel!$M$4)</f>
        <v>5.6397431664995855E-2</v>
      </c>
      <c r="L104">
        <f>L103*SQRT(1+k)+E104-O104</f>
        <v>0</v>
      </c>
      <c r="M104">
        <f t="shared" si="9"/>
        <v>0</v>
      </c>
      <c r="N104">
        <f t="shared" si="10"/>
        <v>0</v>
      </c>
      <c r="O104">
        <f>IF(Diákhitel!$D$4="Stratégia 2",IF(AND(D104="Nem",D103="Igen"),L103*SQRT(1+k),0),IF(C104=Évek_száma,L103*SQRT(1+k),MIN(IF(D104="Igen",0,6*Diákhitel!$H$4*(0.06)),L103*SQRT(1+k))))</f>
        <v>0</v>
      </c>
      <c r="P104">
        <f>IF(Diákhitel!$D$4="Stratégia 2",IF(AND(D104="Nem",D103="Igen"),M103,0),IF(C104=Évek_száma,M103,MIN(IF(D104="Igen",0,IF(M103=0,0,VLOOKUP(M103,Diákhitel!$R$30:$S$34,2)*Diákhitel!$H$4*6)),M103)))</f>
        <v>0</v>
      </c>
      <c r="Q104">
        <f t="shared" si="6"/>
        <v>0</v>
      </c>
      <c r="R104">
        <f>IF(Diákhitel!$D$4="Stratégia 1",H104-N104,IF(Diákhitel!$D$4="Stratégia 2",I104-N104,J104-N104))</f>
        <v>14667991.113985572</v>
      </c>
      <c r="S104">
        <f>IF(Diákhitel!$D$4="Stratégia 2",H104-I104,0)</f>
        <v>0</v>
      </c>
    </row>
    <row r="105" spans="2:19" x14ac:dyDescent="0.25">
      <c r="B105">
        <v>99</v>
      </c>
      <c r="C105">
        <f t="shared" si="2"/>
        <v>49</v>
      </c>
      <c r="D105" t="str">
        <f>IF(Diákhitel!$B$4&gt;=B105, "Igen", "Nem")</f>
        <v>Nem</v>
      </c>
      <c r="E105">
        <f>IF(D105="Igen",Diákhitel!$I$4,0)</f>
        <v>0</v>
      </c>
      <c r="F105">
        <f>IF(Diákhitel!$J$4="Igen", IF(D105="Igen",Diákhitel!$E$4,0), 0)</f>
        <v>0</v>
      </c>
      <c r="G105">
        <f t="shared" si="8"/>
        <v>0</v>
      </c>
      <c r="H105">
        <f>H104*SQRT(1+r_f)+G105-O105-P105</f>
        <v>15030218.278054304</v>
      </c>
      <c r="I105">
        <f>I104*SQRT(1+r_f)+E105*((1+k)/(1+r_f))^(Félévek_száma/2-C105)+F105/(1+r_f)^(Félévek_száma/2-C105)-O105-P105</f>
        <v>6793292.168340967</v>
      </c>
      <c r="J105">
        <f t="shared" ca="1" si="7"/>
        <v>451006998.70026237</v>
      </c>
      <c r="K105">
        <f ca="1">_xlfn.NORM.INV(RAND(),Diákhitel!$L$4/2,Diákhitel!$M$4)</f>
        <v>5.3034380002298855E-2</v>
      </c>
      <c r="L105">
        <f>L104*SQRT(1+k)+E105-O105</f>
        <v>0</v>
      </c>
      <c r="M105">
        <f t="shared" si="9"/>
        <v>0</v>
      </c>
      <c r="N105">
        <f t="shared" si="10"/>
        <v>0</v>
      </c>
      <c r="O105">
        <f>IF(Diákhitel!$D$4="Stratégia 2",IF(AND(D105="Nem",D104="Igen"),L104*SQRT(1+k),0),IF(C105=Évek_száma,L104*SQRT(1+k),MIN(IF(D105="Igen",0,6*Diákhitel!$H$4*(0.06)),L104*SQRT(1+k))))</f>
        <v>0</v>
      </c>
      <c r="P105">
        <f>IF(Diákhitel!$D$4="Stratégia 2",IF(AND(D105="Nem",D104="Igen"),M104,0),IF(C105=Évek_száma,M104,MIN(IF(D105="Igen",0,IF(M104=0,0,VLOOKUP(M104,Diákhitel!$R$30:$S$34,2)*Diákhitel!$H$4*6)),M104)))</f>
        <v>0</v>
      </c>
      <c r="Q105">
        <f t="shared" si="6"/>
        <v>0</v>
      </c>
      <c r="R105">
        <f>IF(Diákhitel!$D$4="Stratégia 1",H105-N105,IF(Diákhitel!$D$4="Stratégia 2",I105-N105,J105-N105))</f>
        <v>15030218.278054304</v>
      </c>
      <c r="S105">
        <f>IF(Diákhitel!$D$4="Stratégia 2",H105-I105,0)</f>
        <v>0</v>
      </c>
    </row>
    <row r="106" spans="2:19" x14ac:dyDescent="0.25">
      <c r="B106">
        <v>100</v>
      </c>
      <c r="C106">
        <f t="shared" si="2"/>
        <v>49.5</v>
      </c>
      <c r="D106" t="str">
        <f>IF(Diákhitel!$B$4&gt;=B106, "Igen", "Nem")</f>
        <v>Nem</v>
      </c>
      <c r="E106">
        <f>IF(D106="Igen",Diákhitel!$I$4,0)</f>
        <v>0</v>
      </c>
      <c r="F106">
        <f>IF(Diákhitel!$J$4="Igen", IF(D106="Igen",Diákhitel!$E$4,0), 0)</f>
        <v>0</v>
      </c>
      <c r="G106">
        <f t="shared" si="8"/>
        <v>0</v>
      </c>
      <c r="H106">
        <f>H105*SQRT(1+r_f)+G106-O106-P106</f>
        <v>15401390.669684852</v>
      </c>
      <c r="I106">
        <f>I105*SQRT(1+r_f)+E106*((1+k)/(1+r_f))^(Félévek_száma/2-C106)+F106/(1+r_f)^(Félévek_száma/2-C106)-O106-P106</f>
        <v>6961053.038776882</v>
      </c>
      <c r="J106">
        <f t="shared" ca="1" si="7"/>
        <v>474925875.25302833</v>
      </c>
      <c r="K106">
        <f ca="1">_xlfn.NORM.INV(RAND(),Diákhitel!$L$4/2,Diákhitel!$M$4)</f>
        <v>3.3824732718840331E-2</v>
      </c>
      <c r="L106">
        <f>L105*SQRT(1+k)+E106-O106</f>
        <v>0</v>
      </c>
      <c r="M106">
        <f t="shared" si="9"/>
        <v>0</v>
      </c>
      <c r="N106">
        <f t="shared" si="10"/>
        <v>0</v>
      </c>
      <c r="O106">
        <f>IF(Diákhitel!$D$4="Stratégia 2",IF(AND(D106="Nem",D105="Igen"),L105*SQRT(1+k),0),IF(C106=Évek_száma,L105*SQRT(1+k),MIN(IF(D106="Igen",0,6*Diákhitel!$H$4*(0.06)),L105*SQRT(1+k))))</f>
        <v>0</v>
      </c>
      <c r="P106">
        <f>IF(Diákhitel!$D$4="Stratégia 2",IF(AND(D106="Nem",D105="Igen"),M105,0),IF(C106=Évek_száma,M105,MIN(IF(D106="Igen",0,IF(M105=0,0,VLOOKUP(M105,Diákhitel!$R$30:$S$34,2)*Diákhitel!$H$4*6)),M105)))</f>
        <v>0</v>
      </c>
      <c r="Q106">
        <f t="shared" si="6"/>
        <v>0</v>
      </c>
      <c r="R106">
        <f>IF(Diákhitel!$D$4="Stratégia 1",H106-N106,IF(Diákhitel!$D$4="Stratégia 2",I106-N106,J106-N106))</f>
        <v>15401390.669684852</v>
      </c>
      <c r="S106">
        <f>IF(Diákhitel!$D$4="Stratégia 2",H106-I106,0)</f>
        <v>0</v>
      </c>
    </row>
    <row r="107" spans="2:19" x14ac:dyDescent="0.25">
      <c r="B107">
        <v>101</v>
      </c>
      <c r="C107">
        <f t="shared" si="2"/>
        <v>50</v>
      </c>
      <c r="D107" t="str">
        <f>IF(Diákhitel!$B$4&gt;=B107, "Igen", "Nem")</f>
        <v>Nem</v>
      </c>
      <c r="E107">
        <f>IF(D107="Igen",Diákhitel!$I$4,0)</f>
        <v>0</v>
      </c>
      <c r="F107">
        <f>IF(Diákhitel!$J$4="Igen", IF(D107="Igen",Diákhitel!$E$4,0), 0)</f>
        <v>0</v>
      </c>
      <c r="G107">
        <f t="shared" si="8"/>
        <v>0</v>
      </c>
      <c r="H107">
        <f>H106*SQRT(1+r_f)+G107-O107-P107</f>
        <v>15781729.191957021</v>
      </c>
      <c r="I107">
        <f>I106*SQRT(1+r_f)+E107*((1+k)/(1+r_f))^(Félévek_száma/2-C107)+F107/(1+r_f)^(Félévek_száma/2-C107)-O107-P107</f>
        <v>7132956.776758017</v>
      </c>
      <c r="J107">
        <f t="shared" ca="1" si="7"/>
        <v>490990116.04472333</v>
      </c>
      <c r="K107">
        <f ca="1">_xlfn.NORM.INV(RAND(),Diákhitel!$L$4/2,Diákhitel!$M$4)</f>
        <v>5.6521896100838256E-2</v>
      </c>
      <c r="L107">
        <f>L106*SQRT(1+k)+E107-O107</f>
        <v>0</v>
      </c>
      <c r="M107">
        <f t="shared" si="9"/>
        <v>0</v>
      </c>
      <c r="N107">
        <f t="shared" si="10"/>
        <v>0</v>
      </c>
      <c r="O107">
        <f>IF(Diákhitel!$D$4="Stratégia 2",IF(AND(D107="Nem",D106="Igen"),L106*SQRT(1+k),0),IF(C107=Évek_száma,L106*SQRT(1+k),MIN(IF(D107="Igen",0,6*Diákhitel!$H$4*(0.06)),L106*SQRT(1+k))))</f>
        <v>0</v>
      </c>
      <c r="P107">
        <f>IF(Diákhitel!$D$4="Stratégia 2",IF(AND(D107="Nem",D106="Igen"),M106,0),IF(C107=Évek_száma,M106,MIN(IF(D107="Igen",0,IF(M106=0,0,VLOOKUP(M106,Diákhitel!$R$30:$S$34,2)*Diákhitel!$H$4*6)),M106)))</f>
        <v>0</v>
      </c>
      <c r="Q107">
        <f t="shared" si="6"/>
        <v>0</v>
      </c>
      <c r="R107">
        <f>IF(Diákhitel!$D$4="Stratégia 1",H107-N107,IF(Diákhitel!$D$4="Stratégia 2",I107-N107,J107-N107))</f>
        <v>15781729.191957021</v>
      </c>
      <c r="S107">
        <f>IF(Diákhitel!$D$4="Stratégia 2",H107-I107,0)</f>
        <v>0</v>
      </c>
    </row>
    <row r="108" spans="2:19" x14ac:dyDescent="0.25">
      <c r="B108">
        <v>102</v>
      </c>
      <c r="C108">
        <f t="shared" si="2"/>
        <v>50.5</v>
      </c>
      <c r="D108" t="str">
        <f>IF(Diákhitel!$B$4&gt;=B108, "Igen", "Nem")</f>
        <v>Nem</v>
      </c>
      <c r="E108">
        <f>IF(D108="Igen",Diákhitel!$I$4,0)</f>
        <v>0</v>
      </c>
      <c r="F108">
        <f>IF(Diákhitel!$J$4="Igen", IF(D108="Igen",Diákhitel!$E$4,0), 0)</f>
        <v>0</v>
      </c>
      <c r="G108">
        <f t="shared" ref="G108:G137" si="11">E108+F108</f>
        <v>0</v>
      </c>
      <c r="H108">
        <f>H107*SQRT(1+r_f)+G108-O108-P108</f>
        <v>16171460.203169096</v>
      </c>
      <c r="I108">
        <f>I107*SQRT(1+r_f)+E108*((1+k)/(1+r_f))^(Félévek_száma/2-C108)+F108/(1+r_f)^(Félévek_száma/2-C108)-O108-P108</f>
        <v>7309105.6907157274</v>
      </c>
      <c r="J108">
        <f t="shared" ca="1" si="7"/>
        <v>518741808.37034172</v>
      </c>
      <c r="K108">
        <f ca="1">_xlfn.NORM.INV(RAND(),Diákhitel!$L$4/2,Diákhitel!$M$4)</f>
        <v>5.3399149523818239E-2</v>
      </c>
      <c r="L108">
        <f>L107*SQRT(1+k)+E108-O108</f>
        <v>0</v>
      </c>
      <c r="M108">
        <f t="shared" ref="M108:M137" si="12">MAX(M107+F108-P108,0)</f>
        <v>0</v>
      </c>
      <c r="N108">
        <f t="shared" ref="N108:N137" si="13">L108+M108</f>
        <v>0</v>
      </c>
      <c r="O108">
        <f>IF(Diákhitel!$D$4="Stratégia 2",IF(AND(D108="Nem",D107="Igen"),L107*SQRT(1+k),0),IF(C108=Évek_száma,L107*SQRT(1+k),MIN(IF(D108="Igen",0,6*Diákhitel!$H$4*(0.06)),L107*SQRT(1+k))))</f>
        <v>0</v>
      </c>
      <c r="P108">
        <f>IF(Diákhitel!$D$4="Stratégia 2",IF(AND(D108="Nem",D107="Igen"),M107,0),IF(C108=Évek_száma,M107,MIN(IF(D108="Igen",0,IF(M107=0,0,VLOOKUP(M107,Diákhitel!$R$30:$S$34,2)*Diákhitel!$H$4*6)),M107)))</f>
        <v>0</v>
      </c>
      <c r="Q108">
        <f t="shared" si="6"/>
        <v>0</v>
      </c>
      <c r="R108">
        <f>IF(Diákhitel!$D$4="Stratégia 1",H108-N108,IF(Diákhitel!$D$4="Stratégia 2",I108-N108,J108-N108))</f>
        <v>16171460.203169096</v>
      </c>
      <c r="S108">
        <f>IF(Diákhitel!$D$4="Stratégia 2",H108-I108,0)</f>
        <v>0</v>
      </c>
    </row>
    <row r="109" spans="2:19" x14ac:dyDescent="0.25">
      <c r="B109">
        <v>103</v>
      </c>
      <c r="C109">
        <f t="shared" si="2"/>
        <v>51</v>
      </c>
      <c r="D109" t="str">
        <f>IF(Diákhitel!$B$4&gt;=B109, "Igen", "Nem")</f>
        <v>Nem</v>
      </c>
      <c r="E109">
        <f>IF(D109="Igen",Diákhitel!$I$4,0)</f>
        <v>0</v>
      </c>
      <c r="F109">
        <f>IF(Diákhitel!$J$4="Igen", IF(D109="Igen",Diákhitel!$E$4,0), 0)</f>
        <v>0</v>
      </c>
      <c r="G109">
        <f t="shared" si="11"/>
        <v>0</v>
      </c>
      <c r="H109">
        <f>H108*SQRT(1+r_f)+G109-O109-P109</f>
        <v>16570815.651554875</v>
      </c>
      <c r="I109">
        <f>I108*SQRT(1+r_f)+E109*((1+k)/(1+r_f))^(Félévek_száma/2-C109)+F109/(1+r_f)^(Félévek_száma/2-C109)-O109-P109</f>
        <v>7489604.6155959191</v>
      </c>
      <c r="J109">
        <f t="shared" ca="1" si="7"/>
        <v>546442179.75976539</v>
      </c>
      <c r="K109">
        <f ca="1">_xlfn.NORM.INV(RAND(),Diákhitel!$L$4/2,Diákhitel!$M$4)</f>
        <v>4.9321384159797754E-2</v>
      </c>
      <c r="L109">
        <f>L108*SQRT(1+k)+E109-O109</f>
        <v>0</v>
      </c>
      <c r="M109">
        <f t="shared" si="12"/>
        <v>0</v>
      </c>
      <c r="N109">
        <f t="shared" si="13"/>
        <v>0</v>
      </c>
      <c r="O109">
        <f>IF(Diákhitel!$D$4="Stratégia 2",IF(AND(D109="Nem",D108="Igen"),L108*SQRT(1+k),0),IF(C109=Évek_száma,L108*SQRT(1+k),MIN(IF(D109="Igen",0,6*Diákhitel!$H$4*(0.06)),L108*SQRT(1+k))))</f>
        <v>0</v>
      </c>
      <c r="P109">
        <f>IF(Diákhitel!$D$4="Stratégia 2",IF(AND(D109="Nem",D108="Igen"),M108,0),IF(C109=Évek_száma,M108,MIN(IF(D109="Igen",0,IF(M108=0,0,VLOOKUP(M108,Diákhitel!$R$30:$S$34,2)*Diákhitel!$H$4*6)),M108)))</f>
        <v>0</v>
      </c>
      <c r="Q109">
        <f t="shared" si="6"/>
        <v>0</v>
      </c>
      <c r="R109">
        <f>IF(Diákhitel!$D$4="Stratégia 1",H109-N109,IF(Diákhitel!$D$4="Stratégia 2",I109-N109,J109-N109))</f>
        <v>16570815.651554875</v>
      </c>
      <c r="S109">
        <f>IF(Diákhitel!$D$4="Stratégia 2",H109-I109,0)</f>
        <v>0</v>
      </c>
    </row>
    <row r="110" spans="2:19" x14ac:dyDescent="0.25">
      <c r="B110">
        <v>104</v>
      </c>
      <c r="C110">
        <f t="shared" si="2"/>
        <v>51.5</v>
      </c>
      <c r="D110" t="str">
        <f>IF(Diákhitel!$B$4&gt;=B110, "Igen", "Nem")</f>
        <v>Nem</v>
      </c>
      <c r="E110">
        <f>IF(D110="Igen",Diákhitel!$I$4,0)</f>
        <v>0</v>
      </c>
      <c r="F110">
        <f>IF(Diákhitel!$J$4="Igen", IF(D110="Igen",Diákhitel!$E$4,0), 0)</f>
        <v>0</v>
      </c>
      <c r="G110">
        <f t="shared" si="11"/>
        <v>0</v>
      </c>
      <c r="H110">
        <f>H109*SQRT(1+r_f)+G110-O110-P110</f>
        <v>16980033.213327553</v>
      </c>
      <c r="I110">
        <f>I109*SQRT(1+r_f)+E110*((1+k)/(1+r_f))^(Félévek_száma/2-C110)+F110/(1+r_f)^(Félévek_száma/2-C110)-O110-P110</f>
        <v>7674560.9752515154</v>
      </c>
      <c r="J110">
        <f t="shared" ca="1" si="7"/>
        <v>573393464.42881405</v>
      </c>
      <c r="K110">
        <f ca="1">_xlfn.NORM.INV(RAND(),Diákhitel!$L$4/2,Diákhitel!$M$4)</f>
        <v>6.4510327306951498E-2</v>
      </c>
      <c r="L110">
        <f>L109*SQRT(1+k)+E110-O110</f>
        <v>0</v>
      </c>
      <c r="M110">
        <f t="shared" si="12"/>
        <v>0</v>
      </c>
      <c r="N110">
        <f t="shared" si="13"/>
        <v>0</v>
      </c>
      <c r="O110">
        <f>IF(Diákhitel!$D$4="Stratégia 2",IF(AND(D110="Nem",D109="Igen"),L109*SQRT(1+k),0),IF(C110=Évek_száma,L109*SQRT(1+k),MIN(IF(D110="Igen",0,6*Diákhitel!$H$4*(0.06)),L109*SQRT(1+k))))</f>
        <v>0</v>
      </c>
      <c r="P110">
        <f>IF(Diákhitel!$D$4="Stratégia 2",IF(AND(D110="Nem",D109="Igen"),M109,0),IF(C110=Évek_száma,M109,MIN(IF(D110="Igen",0,IF(M109=0,0,VLOOKUP(M109,Diákhitel!$R$30:$S$34,2)*Diákhitel!$H$4*6)),M109)))</f>
        <v>0</v>
      </c>
      <c r="Q110">
        <f t="shared" si="6"/>
        <v>0</v>
      </c>
      <c r="R110">
        <f>IF(Diákhitel!$D$4="Stratégia 1",H110-N110,IF(Diákhitel!$D$4="Stratégia 2",I110-N110,J110-N110))</f>
        <v>16980033.213327553</v>
      </c>
      <c r="S110">
        <f>IF(Diákhitel!$D$4="Stratégia 2",H110-I110,0)</f>
        <v>0</v>
      </c>
    </row>
    <row r="111" spans="2:19" x14ac:dyDescent="0.25">
      <c r="B111">
        <v>105</v>
      </c>
      <c r="C111">
        <f t="shared" ref="C111:C174" si="14">B111/2-0.5</f>
        <v>52</v>
      </c>
      <c r="D111" t="str">
        <f>IF(Diákhitel!$B$4&gt;=B111, "Igen", "Nem")</f>
        <v>Nem</v>
      </c>
      <c r="E111">
        <f>IF(D111="Igen",Diákhitel!$I$4,0)</f>
        <v>0</v>
      </c>
      <c r="F111">
        <f>IF(Diákhitel!$J$4="Igen", IF(D111="Igen",Diákhitel!$E$4,0), 0)</f>
        <v>0</v>
      </c>
      <c r="G111">
        <f t="shared" si="11"/>
        <v>0</v>
      </c>
      <c r="H111">
        <f>H110*SQRT(1+r_f)+G111-O111-P111</f>
        <v>17399356.434132621</v>
      </c>
      <c r="I111">
        <f>I110*SQRT(1+r_f)+E111*((1+k)/(1+r_f))^(Félévek_száma/2-C111)+F111/(1+r_f)^(Félévek_száma/2-C111)-O111-P111</f>
        <v>7864084.8463757169</v>
      </c>
      <c r="J111">
        <f t="shared" ca="1" si="7"/>
        <v>610383264.49478376</v>
      </c>
      <c r="K111">
        <f ca="1">_xlfn.NORM.INV(RAND(),Diákhitel!$L$4/2,Diákhitel!$M$4)</f>
        <v>5.3227818735973473E-2</v>
      </c>
      <c r="L111">
        <f>L110*SQRT(1+k)+E111-O111</f>
        <v>0</v>
      </c>
      <c r="M111">
        <f t="shared" si="12"/>
        <v>0</v>
      </c>
      <c r="N111">
        <f t="shared" si="13"/>
        <v>0</v>
      </c>
      <c r="O111">
        <f>IF(Diákhitel!$D$4="Stratégia 2",IF(AND(D111="Nem",D110="Igen"),L110*SQRT(1+k),0),IF(C111=Évek_száma,L110*SQRT(1+k),MIN(IF(D111="Igen",0,6*Diákhitel!$H$4*(0.06)),L110*SQRT(1+k))))</f>
        <v>0</v>
      </c>
      <c r="P111">
        <f>IF(Diákhitel!$D$4="Stratégia 2",IF(AND(D111="Nem",D110="Igen"),M110,0),IF(C111=Évek_száma,M110,MIN(IF(D111="Igen",0,IF(M110=0,0,VLOOKUP(M110,Diákhitel!$R$30:$S$34,2)*Diákhitel!$H$4*6)),M110)))</f>
        <v>0</v>
      </c>
      <c r="Q111">
        <f t="shared" si="6"/>
        <v>0</v>
      </c>
      <c r="R111">
        <f>IF(Diákhitel!$D$4="Stratégia 1",H111-N111,IF(Diákhitel!$D$4="Stratégia 2",I111-N111,J111-N111))</f>
        <v>17399356.434132621</v>
      </c>
      <c r="S111">
        <f>IF(Diákhitel!$D$4="Stratégia 2",H111-I111,0)</f>
        <v>0</v>
      </c>
    </row>
    <row r="112" spans="2:19" x14ac:dyDescent="0.25">
      <c r="B112">
        <v>106</v>
      </c>
      <c r="C112">
        <f t="shared" si="14"/>
        <v>52.5</v>
      </c>
      <c r="D112" t="str">
        <f>IF(Diákhitel!$B$4&gt;=B112, "Igen", "Nem")</f>
        <v>Nem</v>
      </c>
      <c r="E112">
        <f>IF(D112="Igen",Diákhitel!$I$4,0)</f>
        <v>0</v>
      </c>
      <c r="F112">
        <f>IF(Diákhitel!$J$4="Igen", IF(D112="Igen",Diákhitel!$E$4,0), 0)</f>
        <v>0</v>
      </c>
      <c r="G112">
        <f t="shared" si="11"/>
        <v>0</v>
      </c>
      <c r="H112">
        <f>H111*SQRT(1+r_f)+G112-O112-P112</f>
        <v>17829034.873993933</v>
      </c>
      <c r="I112">
        <f>I111*SQRT(1+r_f)+E112*((1+k)/(1+r_f))^(Félévek_száma/2-C112)+F112/(1+r_f)^(Félévek_száma/2-C112)-O112-P112</f>
        <v>8058289.024014093</v>
      </c>
      <c r="J112">
        <f t="shared" ca="1" si="7"/>
        <v>642872634.25678384</v>
      </c>
      <c r="K112">
        <f ca="1">_xlfn.NORM.INV(RAND(),Diákhitel!$L$4/2,Diákhitel!$M$4)</f>
        <v>3.1567416132984104E-2</v>
      </c>
      <c r="L112">
        <f>L111*SQRT(1+k)+E112-O112</f>
        <v>0</v>
      </c>
      <c r="M112">
        <f t="shared" si="12"/>
        <v>0</v>
      </c>
      <c r="N112">
        <f t="shared" si="13"/>
        <v>0</v>
      </c>
      <c r="O112">
        <f>IF(Diákhitel!$D$4="Stratégia 2",IF(AND(D112="Nem",D111="Igen"),L111*SQRT(1+k),0),IF(C112=Évek_száma,L111*SQRT(1+k),MIN(IF(D112="Igen",0,6*Diákhitel!$H$4*(0.06)),L111*SQRT(1+k))))</f>
        <v>0</v>
      </c>
      <c r="P112">
        <f>IF(Diákhitel!$D$4="Stratégia 2",IF(AND(D112="Nem",D111="Igen"),M111,0),IF(C112=Évek_száma,M111,MIN(IF(D112="Igen",0,IF(M111=0,0,VLOOKUP(M111,Diákhitel!$R$30:$S$34,2)*Diákhitel!$H$4*6)),M111)))</f>
        <v>0</v>
      </c>
      <c r="Q112">
        <f t="shared" si="6"/>
        <v>0</v>
      </c>
      <c r="R112">
        <f>IF(Diákhitel!$D$4="Stratégia 1",H112-N112,IF(Diákhitel!$D$4="Stratégia 2",I112-N112,J112-N112))</f>
        <v>17829034.873993933</v>
      </c>
      <c r="S112">
        <f>IF(Diákhitel!$D$4="Stratégia 2",H112-I112,0)</f>
        <v>0</v>
      </c>
    </row>
    <row r="113" spans="2:19" x14ac:dyDescent="0.25">
      <c r="B113">
        <v>107</v>
      </c>
      <c r="C113">
        <f t="shared" si="14"/>
        <v>53</v>
      </c>
      <c r="D113" t="str">
        <f>IF(Diákhitel!$B$4&gt;=B113, "Igen", "Nem")</f>
        <v>Nem</v>
      </c>
      <c r="E113">
        <f>IF(D113="Igen",Diákhitel!$I$4,0)</f>
        <v>0</v>
      </c>
      <c r="F113">
        <f>IF(Diákhitel!$J$4="Igen", IF(D113="Igen",Diákhitel!$E$4,0), 0)</f>
        <v>0</v>
      </c>
      <c r="G113">
        <f t="shared" si="11"/>
        <v>0</v>
      </c>
      <c r="H113">
        <f>H112*SQRT(1+r_f)+G113-O113-P113</f>
        <v>18269324.255839255</v>
      </c>
      <c r="I113">
        <f>I112*SQRT(1+r_f)+E113*((1+k)/(1+r_f))^(Félévek_száma/2-C113)+F113/(1+r_f)^(Félévek_száma/2-C113)-O113-P113</f>
        <v>8257289.0886945045</v>
      </c>
      <c r="J113">
        <f t="shared" ca="1" si="7"/>
        <v>663166462.22287548</v>
      </c>
      <c r="K113">
        <f ca="1">_xlfn.NORM.INV(RAND(),Diákhitel!$L$4/2,Diákhitel!$M$4)</f>
        <v>6.4339079991514225E-2</v>
      </c>
      <c r="L113">
        <f>L112*SQRT(1+k)+E113-O113</f>
        <v>0</v>
      </c>
      <c r="M113">
        <f t="shared" si="12"/>
        <v>0</v>
      </c>
      <c r="N113">
        <f t="shared" si="13"/>
        <v>0</v>
      </c>
      <c r="O113">
        <f>IF(Diákhitel!$D$4="Stratégia 2",IF(AND(D113="Nem",D112="Igen"),L112*SQRT(1+k),0),IF(C113=Évek_száma,L112*SQRT(1+k),MIN(IF(D113="Igen",0,6*Diákhitel!$H$4*(0.06)),L112*SQRT(1+k))))</f>
        <v>0</v>
      </c>
      <c r="P113">
        <f>IF(Diákhitel!$D$4="Stratégia 2",IF(AND(D113="Nem",D112="Igen"),M112,0),IF(C113=Évek_száma,M112,MIN(IF(D113="Igen",0,IF(M112=0,0,VLOOKUP(M112,Diákhitel!$R$30:$S$34,2)*Diákhitel!$H$4*6)),M112)))</f>
        <v>0</v>
      </c>
      <c r="Q113">
        <f t="shared" si="6"/>
        <v>0</v>
      </c>
      <c r="R113">
        <f>IF(Diákhitel!$D$4="Stratégia 1",H113-N113,IF(Diákhitel!$D$4="Stratégia 2",I113-N113,J113-N113))</f>
        <v>18269324.255839255</v>
      </c>
      <c r="S113">
        <f>IF(Diákhitel!$D$4="Stratégia 2",H113-I113,0)</f>
        <v>0</v>
      </c>
    </row>
    <row r="114" spans="2:19" x14ac:dyDescent="0.25">
      <c r="B114">
        <v>108</v>
      </c>
      <c r="C114">
        <f t="shared" si="14"/>
        <v>53.5</v>
      </c>
      <c r="D114" t="str">
        <f>IF(Diákhitel!$B$4&gt;=B114, "Igen", "Nem")</f>
        <v>Nem</v>
      </c>
      <c r="E114">
        <f>IF(D114="Igen",Diákhitel!$I$4,0)</f>
        <v>0</v>
      </c>
      <c r="F114">
        <f>IF(Diákhitel!$J$4="Igen", IF(D114="Igen",Diákhitel!$E$4,0), 0)</f>
        <v>0</v>
      </c>
      <c r="G114">
        <f t="shared" si="11"/>
        <v>0</v>
      </c>
      <c r="H114">
        <f>H113*SQRT(1+r_f)+G114-O114-P114</f>
        <v>18720486.617693633</v>
      </c>
      <c r="I114">
        <f>I113*SQRT(1+r_f)+E114*((1+k)/(1+r_f))^(Félévek_száma/2-C114)+F114/(1+r_f)^(Félévek_száma/2-C114)-O114-P114</f>
        <v>8461203.4752147999</v>
      </c>
      <c r="J114">
        <f t="shared" ca="1" si="7"/>
        <v>705833982.28352261</v>
      </c>
      <c r="K114">
        <f ca="1">_xlfn.NORM.INV(RAND(),Diákhitel!$L$4/2,Diákhitel!$M$4)</f>
        <v>5.9918866409369803E-2</v>
      </c>
      <c r="L114">
        <f>L113*SQRT(1+k)+E114-O114</f>
        <v>0</v>
      </c>
      <c r="M114">
        <f t="shared" si="12"/>
        <v>0</v>
      </c>
      <c r="N114">
        <f t="shared" si="13"/>
        <v>0</v>
      </c>
      <c r="O114">
        <f>IF(Diákhitel!$D$4="Stratégia 2",IF(AND(D114="Nem",D113="Igen"),L113*SQRT(1+k),0),IF(C114=Évek_száma,L113*SQRT(1+k),MIN(IF(D114="Igen",0,6*Diákhitel!$H$4*(0.06)),L113*SQRT(1+k))))</f>
        <v>0</v>
      </c>
      <c r="P114">
        <f>IF(Diákhitel!$D$4="Stratégia 2",IF(AND(D114="Nem",D113="Igen"),M113,0),IF(C114=Évek_száma,M113,MIN(IF(D114="Igen",0,IF(M113=0,0,VLOOKUP(M113,Diákhitel!$R$30:$S$34,2)*Diákhitel!$H$4*6)),M113)))</f>
        <v>0</v>
      </c>
      <c r="Q114">
        <f t="shared" si="6"/>
        <v>0</v>
      </c>
      <c r="R114">
        <f>IF(Diákhitel!$D$4="Stratégia 1",H114-N114,IF(Diákhitel!$D$4="Stratégia 2",I114-N114,J114-N114))</f>
        <v>18720486.617693633</v>
      </c>
      <c r="S114">
        <f>IF(Diákhitel!$D$4="Stratégia 2",H114-I114,0)</f>
        <v>0</v>
      </c>
    </row>
    <row r="115" spans="2:19" x14ac:dyDescent="0.25">
      <c r="B115">
        <v>109</v>
      </c>
      <c r="C115">
        <f t="shared" si="14"/>
        <v>54</v>
      </c>
      <c r="D115" t="str">
        <f>IF(Diákhitel!$B$4&gt;=B115, "Igen", "Nem")</f>
        <v>Nem</v>
      </c>
      <c r="E115">
        <f>IF(D115="Igen",Diákhitel!$I$4,0)</f>
        <v>0</v>
      </c>
      <c r="F115">
        <f>IF(Diákhitel!$J$4="Igen", IF(D115="Igen",Diákhitel!$E$4,0), 0)</f>
        <v>0</v>
      </c>
      <c r="G115">
        <f t="shared" si="11"/>
        <v>0</v>
      </c>
      <c r="H115">
        <f>H114*SQRT(1+r_f)+G115-O115-P115</f>
        <v>19182790.468631219</v>
      </c>
      <c r="I115">
        <f>I114*SQRT(1+r_f)+E115*((1+k)/(1+r_f))^(Félévek_száma/2-C115)+F115/(1+r_f)^(Félévek_száma/2-C115)-O115-P115</f>
        <v>8670153.5431292318</v>
      </c>
      <c r="J115">
        <f t="shared" ca="1" si="7"/>
        <v>748126754.37516248</v>
      </c>
      <c r="K115">
        <f ca="1">_xlfn.NORM.INV(RAND(),Diákhitel!$L$4/2,Diákhitel!$M$4)</f>
        <v>4.5588604001647402E-2</v>
      </c>
      <c r="L115">
        <f>L114*SQRT(1+k)+E115-O115</f>
        <v>0</v>
      </c>
      <c r="M115">
        <f t="shared" si="12"/>
        <v>0</v>
      </c>
      <c r="N115">
        <f t="shared" si="13"/>
        <v>0</v>
      </c>
      <c r="O115">
        <f>IF(Diákhitel!$D$4="Stratégia 2",IF(AND(D115="Nem",D114="Igen"),L114*SQRT(1+k),0),IF(C115=Évek_száma,L114*SQRT(1+k),MIN(IF(D115="Igen",0,6*Diákhitel!$H$4*(0.06)),L114*SQRT(1+k))))</f>
        <v>0</v>
      </c>
      <c r="P115">
        <f>IF(Diákhitel!$D$4="Stratégia 2",IF(AND(D115="Nem",D114="Igen"),M114,0),IF(C115=Évek_száma,M114,MIN(IF(D115="Igen",0,IF(M114=0,0,VLOOKUP(M114,Diákhitel!$R$30:$S$34,2)*Diákhitel!$H$4*6)),M114)))</f>
        <v>0</v>
      </c>
      <c r="Q115">
        <f t="shared" si="6"/>
        <v>0</v>
      </c>
      <c r="R115">
        <f>IF(Diákhitel!$D$4="Stratégia 1",H115-N115,IF(Diákhitel!$D$4="Stratégia 2",I115-N115,J115-N115))</f>
        <v>19182790.468631219</v>
      </c>
      <c r="S115">
        <f>IF(Diákhitel!$D$4="Stratégia 2",H115-I115,0)</f>
        <v>0</v>
      </c>
    </row>
    <row r="116" spans="2:19" x14ac:dyDescent="0.25">
      <c r="B116">
        <v>110</v>
      </c>
      <c r="C116">
        <f t="shared" si="14"/>
        <v>54.5</v>
      </c>
      <c r="D116" t="str">
        <f>IF(Diákhitel!$B$4&gt;=B116, "Igen", "Nem")</f>
        <v>Nem</v>
      </c>
      <c r="E116">
        <f>IF(D116="Igen",Diákhitel!$I$4,0)</f>
        <v>0</v>
      </c>
      <c r="F116">
        <f>IF(Diákhitel!$J$4="Igen", IF(D116="Igen",Diákhitel!$E$4,0), 0)</f>
        <v>0</v>
      </c>
      <c r="G116">
        <f t="shared" si="11"/>
        <v>0</v>
      </c>
      <c r="H116">
        <f>H115*SQRT(1+r_f)+G116-O116-P116</f>
        <v>19656510.948578317</v>
      </c>
      <c r="I116">
        <f>I115*SQRT(1+r_f)+E116*((1+k)/(1+r_f))^(Félévek_száma/2-C116)+F116/(1+r_f)^(Félévek_száma/2-C116)-O116-P116</f>
        <v>8884263.6489755418</v>
      </c>
      <c r="J116">
        <f t="shared" ca="1" si="7"/>
        <v>782232808.72340941</v>
      </c>
      <c r="K116">
        <f ca="1">_xlfn.NORM.INV(RAND(),Diákhitel!$L$4/2,Diákhitel!$M$4)</f>
        <v>4.1178478049401709E-2</v>
      </c>
      <c r="L116">
        <f>L115*SQRT(1+k)+E116-O116</f>
        <v>0</v>
      </c>
      <c r="M116">
        <f t="shared" si="12"/>
        <v>0</v>
      </c>
      <c r="N116">
        <f t="shared" si="13"/>
        <v>0</v>
      </c>
      <c r="O116">
        <f>IF(Diákhitel!$D$4="Stratégia 2",IF(AND(D116="Nem",D115="Igen"),L115*SQRT(1+k),0),IF(C116=Évek_száma,L115*SQRT(1+k),MIN(IF(D116="Igen",0,6*Diákhitel!$H$4*(0.06)),L115*SQRT(1+k))))</f>
        <v>0</v>
      </c>
      <c r="P116">
        <f>IF(Diákhitel!$D$4="Stratégia 2",IF(AND(D116="Nem",D115="Igen"),M115,0),IF(C116=Évek_száma,M115,MIN(IF(D116="Igen",0,IF(M115=0,0,VLOOKUP(M115,Diákhitel!$R$30:$S$34,2)*Diákhitel!$H$4*6)),M115)))</f>
        <v>0</v>
      </c>
      <c r="Q116">
        <f t="shared" si="6"/>
        <v>0</v>
      </c>
      <c r="R116">
        <f>IF(Diákhitel!$D$4="Stratégia 1",H116-N116,IF(Diákhitel!$D$4="Stratégia 2",I116-N116,J116-N116))</f>
        <v>19656510.948578317</v>
      </c>
      <c r="S116">
        <f>IF(Diákhitel!$D$4="Stratégia 2",H116-I116,0)</f>
        <v>0</v>
      </c>
    </row>
    <row r="117" spans="2:19" x14ac:dyDescent="0.25">
      <c r="B117">
        <v>111</v>
      </c>
      <c r="C117">
        <f t="shared" si="14"/>
        <v>55</v>
      </c>
      <c r="D117" t="str">
        <f>IF(Diákhitel!$B$4&gt;=B117, "Igen", "Nem")</f>
        <v>Nem</v>
      </c>
      <c r="E117">
        <f>IF(D117="Igen",Diákhitel!$I$4,0)</f>
        <v>0</v>
      </c>
      <c r="F117">
        <f>IF(Diákhitel!$J$4="Igen", IF(D117="Igen",Diákhitel!$E$4,0), 0)</f>
        <v>0</v>
      </c>
      <c r="G117">
        <f t="shared" si="11"/>
        <v>0</v>
      </c>
      <c r="H117">
        <f>H116*SQRT(1+r_f)+G117-O117-P117</f>
        <v>20141929.992062785</v>
      </c>
      <c r="I117">
        <f>I116*SQRT(1+r_f)+E117*((1+k)/(1+r_f))^(Félévek_száma/2-C117)+F117/(1+r_f)^(Félévek_száma/2-C117)-O117-P117</f>
        <v>9103661.220285695</v>
      </c>
      <c r="J117">
        <f t="shared" ca="1" si="7"/>
        <v>814443965.26694822</v>
      </c>
      <c r="K117">
        <f ca="1">_xlfn.NORM.INV(RAND(),Diákhitel!$L$4/2,Diákhitel!$M$4)</f>
        <v>4.9096013925858169E-2</v>
      </c>
      <c r="L117">
        <f>L116*SQRT(1+k)+E117-O117</f>
        <v>0</v>
      </c>
      <c r="M117">
        <f t="shared" si="12"/>
        <v>0</v>
      </c>
      <c r="N117">
        <f t="shared" si="13"/>
        <v>0</v>
      </c>
      <c r="O117">
        <f>IF(Diákhitel!$D$4="Stratégia 2",IF(AND(D117="Nem",D116="Igen"),L116*SQRT(1+k),0),IF(C117=Évek_száma,L116*SQRT(1+k),MIN(IF(D117="Igen",0,6*Diákhitel!$H$4*(0.06)),L116*SQRT(1+k))))</f>
        <v>0</v>
      </c>
      <c r="P117">
        <f>IF(Diákhitel!$D$4="Stratégia 2",IF(AND(D117="Nem",D116="Igen"),M116,0),IF(C117=Évek_száma,M116,MIN(IF(D117="Igen",0,IF(M116=0,0,VLOOKUP(M116,Diákhitel!$R$30:$S$34,2)*Diákhitel!$H$4*6)),M116)))</f>
        <v>0</v>
      </c>
      <c r="Q117">
        <f t="shared" si="6"/>
        <v>0</v>
      </c>
      <c r="R117">
        <f>IF(Diákhitel!$D$4="Stratégia 1",H117-N117,IF(Diákhitel!$D$4="Stratégia 2",I117-N117,J117-N117))</f>
        <v>20141929.992062785</v>
      </c>
      <c r="S117">
        <f>IF(Diákhitel!$D$4="Stratégia 2",H117-I117,0)</f>
        <v>0</v>
      </c>
    </row>
    <row r="118" spans="2:19" x14ac:dyDescent="0.25">
      <c r="B118">
        <v>112</v>
      </c>
      <c r="C118">
        <f t="shared" si="14"/>
        <v>55.5</v>
      </c>
      <c r="D118" t="str">
        <f>IF(Diákhitel!$B$4&gt;=B118, "Igen", "Nem")</f>
        <v>Nem</v>
      </c>
      <c r="E118">
        <f>IF(D118="Igen",Diákhitel!$I$4,0)</f>
        <v>0</v>
      </c>
      <c r="F118">
        <f>IF(Diákhitel!$J$4="Igen", IF(D118="Igen",Diákhitel!$E$4,0), 0)</f>
        <v>0</v>
      </c>
      <c r="G118">
        <f t="shared" si="11"/>
        <v>0</v>
      </c>
      <c r="H118">
        <f>H117*SQRT(1+r_f)+G118-O118-P118</f>
        <v>20639336.496007238</v>
      </c>
      <c r="I118">
        <f>I117*SQRT(1+r_f)+E118*((1+k)/(1+r_f))^(Félévek_száma/2-C118)+F118/(1+r_f)^(Félévek_száma/2-C118)-O118-P118</f>
        <v>9328476.8314243201</v>
      </c>
      <c r="J118">
        <f t="shared" ca="1" si="7"/>
        <v>854429917.52752554</v>
      </c>
      <c r="K118">
        <f ca="1">_xlfn.NORM.INV(RAND(),Diákhitel!$L$4/2,Diákhitel!$M$4)</f>
        <v>3.9709416757526789E-2</v>
      </c>
      <c r="L118">
        <f>L117*SQRT(1+k)+E118-O118</f>
        <v>0</v>
      </c>
      <c r="M118">
        <f t="shared" si="12"/>
        <v>0</v>
      </c>
      <c r="N118">
        <f t="shared" si="13"/>
        <v>0</v>
      </c>
      <c r="O118">
        <f>IF(Diákhitel!$D$4="Stratégia 2",IF(AND(D118="Nem",D117="Igen"),L117*SQRT(1+k),0),IF(C118=Évek_száma,L117*SQRT(1+k),MIN(IF(D118="Igen",0,6*Diákhitel!$H$4*(0.06)),L117*SQRT(1+k))))</f>
        <v>0</v>
      </c>
      <c r="P118">
        <f>IF(Diákhitel!$D$4="Stratégia 2",IF(AND(D118="Nem",D117="Igen"),M117,0),IF(C118=Évek_száma,M117,MIN(IF(D118="Igen",0,IF(M117=0,0,VLOOKUP(M117,Diákhitel!$R$30:$S$34,2)*Diákhitel!$H$4*6)),M117)))</f>
        <v>0</v>
      </c>
      <c r="Q118">
        <f t="shared" si="6"/>
        <v>0</v>
      </c>
      <c r="R118">
        <f>IF(Diákhitel!$D$4="Stratégia 1",H118-N118,IF(Diákhitel!$D$4="Stratégia 2",I118-N118,J118-N118))</f>
        <v>20639336.496007238</v>
      </c>
      <c r="S118">
        <f>IF(Diákhitel!$D$4="Stratégia 2",H118-I118,0)</f>
        <v>0</v>
      </c>
    </row>
    <row r="119" spans="2:19" x14ac:dyDescent="0.25">
      <c r="B119">
        <v>113</v>
      </c>
      <c r="C119">
        <f t="shared" si="14"/>
        <v>56</v>
      </c>
      <c r="D119" t="str">
        <f>IF(Diákhitel!$B$4&gt;=B119, "Igen", "Nem")</f>
        <v>Nem</v>
      </c>
      <c r="E119">
        <f>IF(D119="Igen",Diákhitel!$I$4,0)</f>
        <v>0</v>
      </c>
      <c r="F119">
        <f>IF(Diákhitel!$J$4="Igen", IF(D119="Igen",Diákhitel!$E$4,0), 0)</f>
        <v>0</v>
      </c>
      <c r="G119">
        <f t="shared" si="11"/>
        <v>0</v>
      </c>
      <c r="H119">
        <f>H118*SQRT(1+r_f)+G119-O119-P119</f>
        <v>21149026.491665926</v>
      </c>
      <c r="I119">
        <f>I118*SQRT(1+r_f)+E119*((1+k)/(1+r_f))^(Félévek_száma/2-C119)+F119/(1+r_f)^(Félévek_száma/2-C119)-O119-P119</f>
        <v>9558844.2812999822</v>
      </c>
      <c r="J119">
        <f t="shared" ca="1" si="7"/>
        <v>888358831.21272528</v>
      </c>
      <c r="K119">
        <f ca="1">_xlfn.NORM.INV(RAND(),Diákhitel!$L$4/2,Diákhitel!$M$4)</f>
        <v>6.6672405939157686E-2</v>
      </c>
      <c r="L119">
        <f>L118*SQRT(1+k)+E119-O119</f>
        <v>0</v>
      </c>
      <c r="M119">
        <f t="shared" si="12"/>
        <v>0</v>
      </c>
      <c r="N119">
        <f t="shared" si="13"/>
        <v>0</v>
      </c>
      <c r="O119">
        <f>IF(Diákhitel!$D$4="Stratégia 2",IF(AND(D119="Nem",D118="Igen"),L118*SQRT(1+k),0),IF(C119=Évek_száma,L118*SQRT(1+k),MIN(IF(D119="Igen",0,6*Diákhitel!$H$4*(0.06)),L118*SQRT(1+k))))</f>
        <v>0</v>
      </c>
      <c r="P119">
        <f>IF(Diákhitel!$D$4="Stratégia 2",IF(AND(D119="Nem",D118="Igen"),M118,0),IF(C119=Évek_száma,M118,MIN(IF(D119="Igen",0,IF(M118=0,0,VLOOKUP(M118,Diákhitel!$R$30:$S$34,2)*Diákhitel!$H$4*6)),M118)))</f>
        <v>0</v>
      </c>
      <c r="Q119">
        <f t="shared" si="6"/>
        <v>0</v>
      </c>
      <c r="R119">
        <f>IF(Diákhitel!$D$4="Stratégia 1",H119-N119,IF(Diákhitel!$D$4="Stratégia 2",I119-N119,J119-N119))</f>
        <v>21149026.491665926</v>
      </c>
      <c r="S119">
        <f>IF(Diákhitel!$D$4="Stratégia 2",H119-I119,0)</f>
        <v>0</v>
      </c>
    </row>
    <row r="120" spans="2:19" x14ac:dyDescent="0.25">
      <c r="B120">
        <v>114</v>
      </c>
      <c r="C120">
        <f t="shared" si="14"/>
        <v>56.5</v>
      </c>
      <c r="D120" t="str">
        <f>IF(Diákhitel!$B$4&gt;=B120, "Igen", "Nem")</f>
        <v>Nem</v>
      </c>
      <c r="E120">
        <f>IF(D120="Igen",Diákhitel!$I$4,0)</f>
        <v>0</v>
      </c>
      <c r="F120">
        <f>IF(Diákhitel!$J$4="Igen", IF(D120="Igen",Diákhitel!$E$4,0), 0)</f>
        <v>0</v>
      </c>
      <c r="G120">
        <f t="shared" si="11"/>
        <v>0</v>
      </c>
      <c r="H120">
        <f>H119*SQRT(1+r_f)+G120-O120-P120</f>
        <v>21671303.320807602</v>
      </c>
      <c r="I120">
        <f>I119*SQRT(1+r_f)+E120*((1+k)/(1+r_f))^(Félévek_száma/2-C120)+F120/(1+r_f)^(Félévek_száma/2-C120)-O120-P120</f>
        <v>9794900.6729955394</v>
      </c>
      <c r="J120">
        <f t="shared" ca="1" si="7"/>
        <v>947587851.82697582</v>
      </c>
      <c r="K120">
        <f ca="1">_xlfn.NORM.INV(RAND(),Diákhitel!$L$4/2,Diákhitel!$M$4)</f>
        <v>5.1620757493233367E-2</v>
      </c>
      <c r="L120">
        <f>L119*SQRT(1+k)+E120-O120</f>
        <v>0</v>
      </c>
      <c r="M120">
        <f t="shared" si="12"/>
        <v>0</v>
      </c>
      <c r="N120">
        <f t="shared" si="13"/>
        <v>0</v>
      </c>
      <c r="O120">
        <f>IF(Diákhitel!$D$4="Stratégia 2",IF(AND(D120="Nem",D119="Igen"),L119*SQRT(1+k),0),IF(C120=Évek_száma,L119*SQRT(1+k),MIN(IF(D120="Igen",0,6*Diákhitel!$H$4*(0.06)),L119*SQRT(1+k))))</f>
        <v>0</v>
      </c>
      <c r="P120">
        <f>IF(Diákhitel!$D$4="Stratégia 2",IF(AND(D120="Nem",D119="Igen"),M119,0),IF(C120=Évek_száma,M119,MIN(IF(D120="Igen",0,IF(M119=0,0,VLOOKUP(M119,Diákhitel!$R$30:$S$34,2)*Diákhitel!$H$4*6)),M119)))</f>
        <v>0</v>
      </c>
      <c r="Q120">
        <f t="shared" si="6"/>
        <v>0</v>
      </c>
      <c r="R120">
        <f>IF(Diákhitel!$D$4="Stratégia 1",H120-N120,IF(Diákhitel!$D$4="Stratégia 2",I120-N120,J120-N120))</f>
        <v>21671303.320807602</v>
      </c>
      <c r="S120">
        <f>IF(Diákhitel!$D$4="Stratégia 2",H120-I120,0)</f>
        <v>0</v>
      </c>
    </row>
    <row r="121" spans="2:19" x14ac:dyDescent="0.25">
      <c r="B121">
        <v>115</v>
      </c>
      <c r="C121">
        <f t="shared" si="14"/>
        <v>57</v>
      </c>
      <c r="D121" t="str">
        <f>IF(Diákhitel!$B$4&gt;=B121, "Igen", "Nem")</f>
        <v>Nem</v>
      </c>
      <c r="E121">
        <f>IF(D121="Igen",Diákhitel!$I$4,0)</f>
        <v>0</v>
      </c>
      <c r="F121">
        <f>IF(Diákhitel!$J$4="Igen", IF(D121="Igen",Diákhitel!$E$4,0), 0)</f>
        <v>0</v>
      </c>
      <c r="G121">
        <f t="shared" si="11"/>
        <v>0</v>
      </c>
      <c r="H121">
        <f>H120*SQRT(1+r_f)+G121-O121-P121</f>
        <v>22206477.816249225</v>
      </c>
      <c r="I121">
        <f>I120*SQRT(1+r_f)+E121*((1+k)/(1+r_f))^(Félévek_száma/2-C121)+F121/(1+r_f)^(Félévek_száma/2-C121)-O121-P121</f>
        <v>10036786.495364984</v>
      </c>
      <c r="J121">
        <f t="shared" ca="1" si="7"/>
        <v>996503054.52967024</v>
      </c>
      <c r="K121">
        <f ca="1">_xlfn.NORM.INV(RAND(),Diákhitel!$L$4/2,Diákhitel!$M$4)</f>
        <v>4.255832591464407E-2</v>
      </c>
      <c r="L121">
        <f>L120*SQRT(1+k)+E121-O121</f>
        <v>0</v>
      </c>
      <c r="M121">
        <f t="shared" si="12"/>
        <v>0</v>
      </c>
      <c r="N121">
        <f t="shared" si="13"/>
        <v>0</v>
      </c>
      <c r="O121">
        <f>IF(Diákhitel!$D$4="Stratégia 2",IF(AND(D121="Nem",D120="Igen"),L120*SQRT(1+k),0),IF(C121=Évek_száma,L120*SQRT(1+k),MIN(IF(D121="Igen",0,6*Diákhitel!$H$4*(0.06)),L120*SQRT(1+k))))</f>
        <v>0</v>
      </c>
      <c r="P121">
        <f>IF(Diákhitel!$D$4="Stratégia 2",IF(AND(D121="Nem",D120="Igen"),M120,0),IF(C121=Évek_száma,M120,MIN(IF(D121="Igen",0,IF(M120=0,0,VLOOKUP(M120,Diákhitel!$R$30:$S$34,2)*Diákhitel!$H$4*6)),M120)))</f>
        <v>0</v>
      </c>
      <c r="Q121">
        <f t="shared" si="6"/>
        <v>0</v>
      </c>
      <c r="R121">
        <f>IF(Diákhitel!$D$4="Stratégia 1",H121-N121,IF(Diákhitel!$D$4="Stratégia 2",I121-N121,J121-N121))</f>
        <v>22206477.816249225</v>
      </c>
      <c r="S121">
        <f>IF(Diákhitel!$D$4="Stratégia 2",H121-I121,0)</f>
        <v>0</v>
      </c>
    </row>
    <row r="122" spans="2:19" x14ac:dyDescent="0.25">
      <c r="B122">
        <v>116</v>
      </c>
      <c r="C122">
        <f t="shared" si="14"/>
        <v>57.5</v>
      </c>
      <c r="D122" t="str">
        <f>IF(Diákhitel!$B$4&gt;=B122, "Igen", "Nem")</f>
        <v>Nem</v>
      </c>
      <c r="E122">
        <f>IF(D122="Igen",Diákhitel!$I$4,0)</f>
        <v>0</v>
      </c>
      <c r="F122">
        <f>IF(Diákhitel!$J$4="Igen", IF(D122="Igen",Diákhitel!$E$4,0), 0)</f>
        <v>0</v>
      </c>
      <c r="G122">
        <f t="shared" si="11"/>
        <v>0</v>
      </c>
      <c r="H122">
        <f>H121*SQRT(1+r_f)+G122-O122-P122</f>
        <v>22754868.486847986</v>
      </c>
      <c r="I122">
        <f>I121*SQRT(1+r_f)+E122*((1+k)/(1+r_f))^(Félévek_száma/2-C122)+F122/(1+r_f)^(Félévek_száma/2-C122)-O122-P122</f>
        <v>10284645.706645319</v>
      </c>
      <c r="J122">
        <f t="shared" ca="1" si="7"/>
        <v>1038912556.2992822</v>
      </c>
      <c r="K122">
        <f ca="1">_xlfn.NORM.INV(RAND(),Diákhitel!$L$4/2,Diákhitel!$M$4)</f>
        <v>5.880220478003291E-2</v>
      </c>
      <c r="L122">
        <f>L121*SQRT(1+k)+E122-O122</f>
        <v>0</v>
      </c>
      <c r="M122">
        <f t="shared" si="12"/>
        <v>0</v>
      </c>
      <c r="N122">
        <f t="shared" si="13"/>
        <v>0</v>
      </c>
      <c r="O122">
        <f>IF(Diákhitel!$D$4="Stratégia 2",IF(AND(D122="Nem",D121="Igen"),L121*SQRT(1+k),0),IF(C122=Évek_száma,L121*SQRT(1+k),MIN(IF(D122="Igen",0,6*Diákhitel!$H$4*(0.06)),L121*SQRT(1+k))))</f>
        <v>0</v>
      </c>
      <c r="P122">
        <f>IF(Diákhitel!$D$4="Stratégia 2",IF(AND(D122="Nem",D121="Igen"),M121,0),IF(C122=Évek_száma,M121,MIN(IF(D122="Igen",0,IF(M121=0,0,VLOOKUP(M121,Diákhitel!$R$30:$S$34,2)*Diákhitel!$H$4*6)),M121)))</f>
        <v>0</v>
      </c>
      <c r="Q122">
        <f t="shared" si="6"/>
        <v>0</v>
      </c>
      <c r="R122">
        <f>IF(Diákhitel!$D$4="Stratégia 1",H122-N122,IF(Diákhitel!$D$4="Stratégia 2",I122-N122,J122-N122))</f>
        <v>22754868.486847986</v>
      </c>
      <c r="S122">
        <f>IF(Diákhitel!$D$4="Stratégia 2",H122-I122,0)</f>
        <v>0</v>
      </c>
    </row>
    <row r="123" spans="2:19" x14ac:dyDescent="0.25">
      <c r="B123">
        <v>117</v>
      </c>
      <c r="C123">
        <f t="shared" si="14"/>
        <v>58</v>
      </c>
      <c r="D123" t="str">
        <f>IF(Diákhitel!$B$4&gt;=B123, "Igen", "Nem")</f>
        <v>Nem</v>
      </c>
      <c r="E123">
        <f>IF(D123="Igen",Diákhitel!$I$4,0)</f>
        <v>0</v>
      </c>
      <c r="F123">
        <f>IF(Diákhitel!$J$4="Igen", IF(D123="Igen",Diákhitel!$E$4,0), 0)</f>
        <v>0</v>
      </c>
      <c r="G123">
        <f t="shared" si="11"/>
        <v>0</v>
      </c>
      <c r="H123">
        <f>H122*SQRT(1+r_f)+G123-O123-P123</f>
        <v>23316801.707061693</v>
      </c>
      <c r="I123">
        <f>I122*SQRT(1+r_f)+E123*((1+k)/(1+r_f))^(Félévek_száma/2-C123)+F123/(1+r_f)^(Félévek_száma/2-C123)-O123-P123</f>
        <v>10538625.820133235</v>
      </c>
      <c r="J123">
        <f t="shared" ca="1" si="7"/>
        <v>1100002905.1833401</v>
      </c>
      <c r="K123">
        <f ca="1">_xlfn.NORM.INV(RAND(),Diákhitel!$L$4/2,Diákhitel!$M$4)</f>
        <v>5.4721544839439938E-2</v>
      </c>
      <c r="L123">
        <f>L122*SQRT(1+k)+E123-O123</f>
        <v>0</v>
      </c>
      <c r="M123">
        <f t="shared" si="12"/>
        <v>0</v>
      </c>
      <c r="N123">
        <f t="shared" si="13"/>
        <v>0</v>
      </c>
      <c r="O123">
        <f>IF(Diákhitel!$D$4="Stratégia 2",IF(AND(D123="Nem",D122="Igen"),L122*SQRT(1+k),0),IF(C123=Évek_száma,L122*SQRT(1+k),MIN(IF(D123="Igen",0,6*Diákhitel!$H$4*(0.06)),L122*SQRT(1+k))))</f>
        <v>0</v>
      </c>
      <c r="P123">
        <f>IF(Diákhitel!$D$4="Stratégia 2",IF(AND(D123="Nem",D122="Igen"),M122,0),IF(C123=Évek_száma,M122,MIN(IF(D123="Igen",0,IF(M122=0,0,VLOOKUP(M122,Diákhitel!$R$30:$S$34,2)*Diákhitel!$H$4*6)),M122)))</f>
        <v>0</v>
      </c>
      <c r="Q123">
        <f t="shared" si="6"/>
        <v>0</v>
      </c>
      <c r="R123">
        <f>IF(Diákhitel!$D$4="Stratégia 1",H123-N123,IF(Diákhitel!$D$4="Stratégia 2",I123-N123,J123-N123))</f>
        <v>23316801.707061693</v>
      </c>
      <c r="S123">
        <f>IF(Diákhitel!$D$4="Stratégia 2",H123-I123,0)</f>
        <v>0</v>
      </c>
    </row>
    <row r="124" spans="2:19" x14ac:dyDescent="0.25">
      <c r="B124">
        <v>118</v>
      </c>
      <c r="C124">
        <f t="shared" si="14"/>
        <v>58.5</v>
      </c>
      <c r="D124" t="str">
        <f>IF(Diákhitel!$B$4&gt;=B124, "Igen", "Nem")</f>
        <v>Nem</v>
      </c>
      <c r="E124">
        <f>IF(D124="Igen",Diákhitel!$I$4,0)</f>
        <v>0</v>
      </c>
      <c r="F124">
        <f>IF(Diákhitel!$J$4="Igen", IF(D124="Igen",Diákhitel!$E$4,0), 0)</f>
        <v>0</v>
      </c>
      <c r="G124">
        <f t="shared" si="11"/>
        <v>0</v>
      </c>
      <c r="H124">
        <f>H123*SQRT(1+r_f)+G124-O124-P124</f>
        <v>23892611.911190391</v>
      </c>
      <c r="I124">
        <f>I123*SQRT(1+r_f)+E124*((1+k)/(1+r_f))^(Félévek_száma/2-C124)+F124/(1+r_f)^(Félévek_száma/2-C124)-O124-P124</f>
        <v>10798877.991977587</v>
      </c>
      <c r="J124">
        <f t="shared" ca="1" si="7"/>
        <v>1160196763.4828446</v>
      </c>
      <c r="K124">
        <f ca="1">_xlfn.NORM.INV(RAND(),Diákhitel!$L$4/2,Diákhitel!$M$4)</f>
        <v>6.0701461383795036E-2</v>
      </c>
      <c r="L124">
        <f>L123*SQRT(1+k)+E124-O124</f>
        <v>0</v>
      </c>
      <c r="M124">
        <f t="shared" si="12"/>
        <v>0</v>
      </c>
      <c r="N124">
        <f t="shared" si="13"/>
        <v>0</v>
      </c>
      <c r="O124">
        <f>IF(Diákhitel!$D$4="Stratégia 2",IF(AND(D124="Nem",D123="Igen"),L123*SQRT(1+k),0),IF(C124=Évek_száma,L123*SQRT(1+k),MIN(IF(D124="Igen",0,6*Diákhitel!$H$4*(0.06)),L123*SQRT(1+k))))</f>
        <v>0</v>
      </c>
      <c r="P124">
        <f>IF(Diákhitel!$D$4="Stratégia 2",IF(AND(D124="Nem",D123="Igen"),M123,0),IF(C124=Évek_száma,M123,MIN(IF(D124="Igen",0,IF(M123=0,0,VLOOKUP(M123,Diákhitel!$R$30:$S$34,2)*Diákhitel!$H$4*6)),M123)))</f>
        <v>0</v>
      </c>
      <c r="Q124">
        <f t="shared" si="6"/>
        <v>0</v>
      </c>
      <c r="R124">
        <f>IF(Diákhitel!$D$4="Stratégia 1",H124-N124,IF(Diákhitel!$D$4="Stratégia 2",I124-N124,J124-N124))</f>
        <v>23892611.911190391</v>
      </c>
      <c r="S124">
        <f>IF(Diákhitel!$D$4="Stratégia 2",H124-I124,0)</f>
        <v>0</v>
      </c>
    </row>
    <row r="125" spans="2:19" x14ac:dyDescent="0.25">
      <c r="B125">
        <v>119</v>
      </c>
      <c r="C125">
        <f t="shared" si="14"/>
        <v>59</v>
      </c>
      <c r="D125" t="str">
        <f>IF(Diákhitel!$B$4&gt;=B125, "Igen", "Nem")</f>
        <v>Nem</v>
      </c>
      <c r="E125">
        <f>IF(D125="Igen",Diákhitel!$I$4,0)</f>
        <v>0</v>
      </c>
      <c r="F125">
        <f>IF(Diákhitel!$J$4="Igen", IF(D125="Igen",Diákhitel!$E$4,0), 0)</f>
        <v>0</v>
      </c>
      <c r="G125">
        <f t="shared" si="11"/>
        <v>0</v>
      </c>
      <c r="H125">
        <f>H124*SQRT(1+r_f)+G125-O125-P125</f>
        <v>24482641.792414781</v>
      </c>
      <c r="I125">
        <f>I124*SQRT(1+r_f)+E125*((1+k)/(1+r_f))^(Félévek_száma/2-C125)+F125/(1+r_f)^(Félévek_száma/2-C125)-O125-P125</f>
        <v>11065557.111139899</v>
      </c>
      <c r="J125">
        <f t="shared" ca="1" si="7"/>
        <v>1230622402.5190024</v>
      </c>
      <c r="K125">
        <f ca="1">_xlfn.NORM.INV(RAND(),Diákhitel!$L$4/2,Diákhitel!$M$4)</f>
        <v>5.3984624864004113E-2</v>
      </c>
      <c r="L125">
        <f>L124*SQRT(1+k)+E125-O125</f>
        <v>0</v>
      </c>
      <c r="M125">
        <f t="shared" si="12"/>
        <v>0</v>
      </c>
      <c r="N125">
        <f t="shared" si="13"/>
        <v>0</v>
      </c>
      <c r="O125">
        <f>IF(Diákhitel!$D$4="Stratégia 2",IF(AND(D125="Nem",D124="Igen"),L124*SQRT(1+k),0),IF(C125=Évek_száma,L124*SQRT(1+k),MIN(IF(D125="Igen",0,6*Diákhitel!$H$4*(0.06)),L124*SQRT(1+k))))</f>
        <v>0</v>
      </c>
      <c r="P125">
        <f>IF(Diákhitel!$D$4="Stratégia 2",IF(AND(D125="Nem",D124="Igen"),M124,0),IF(C125=Évek_száma,M124,MIN(IF(D125="Igen",0,IF(M124=0,0,VLOOKUP(M124,Diákhitel!$R$30:$S$34,2)*Diákhitel!$H$4*6)),M124)))</f>
        <v>0</v>
      </c>
      <c r="Q125">
        <f t="shared" si="6"/>
        <v>0</v>
      </c>
      <c r="R125">
        <f>IF(Diákhitel!$D$4="Stratégia 1",H125-N125,IF(Diákhitel!$D$4="Stratégia 2",I125-N125,J125-N125))</f>
        <v>24482641.792414781</v>
      </c>
      <c r="S125">
        <f>IF(Diákhitel!$D$4="Stratégia 2",H125-I125,0)</f>
        <v>0</v>
      </c>
    </row>
    <row r="126" spans="2:19" x14ac:dyDescent="0.25">
      <c r="B126">
        <v>120</v>
      </c>
      <c r="C126">
        <f t="shared" si="14"/>
        <v>59.5</v>
      </c>
      <c r="D126" t="str">
        <f>IF(Diákhitel!$B$4&gt;=B126, "Igen", "Nem")</f>
        <v>Nem</v>
      </c>
      <c r="E126">
        <f>IF(D126="Igen",Diákhitel!$I$4,0)</f>
        <v>0</v>
      </c>
      <c r="F126">
        <f>IF(Diákhitel!$J$4="Igen", IF(D126="Igen",Diákhitel!$E$4,0), 0)</f>
        <v>0</v>
      </c>
      <c r="G126">
        <f t="shared" si="11"/>
        <v>0</v>
      </c>
      <c r="H126">
        <f>H125*SQRT(1+r_f)+G126-O126-P126</f>
        <v>25087242.506749913</v>
      </c>
      <c r="I126">
        <f>I125*SQRT(1+r_f)+E126*((1+k)/(1+r_f))^(Félévek_száma/2-C126)+F126/(1+r_f)^(Félévek_száma/2-C126)-O126-P126</f>
        <v>11338821.891576469</v>
      </c>
      <c r="J126">
        <f t="shared" ca="1" si="7"/>
        <v>1297057091.2682302</v>
      </c>
      <c r="K126">
        <f ca="1">_xlfn.NORM.INV(RAND(),Diákhitel!$L$4/2,Diákhitel!$M$4)</f>
        <v>5.8952580403084862E-2</v>
      </c>
      <c r="L126">
        <f>L125*SQRT(1+k)+E126-O126</f>
        <v>0</v>
      </c>
      <c r="M126">
        <f t="shared" si="12"/>
        <v>0</v>
      </c>
      <c r="N126">
        <f t="shared" si="13"/>
        <v>0</v>
      </c>
      <c r="O126">
        <f>IF(Diákhitel!$D$4="Stratégia 2",IF(AND(D126="Nem",D125="Igen"),L125*SQRT(1+k),0),IF(C126=Évek_száma,L125*SQRT(1+k),MIN(IF(D126="Igen",0,6*Diákhitel!$H$4*(0.06)),L125*SQRT(1+k))))</f>
        <v>0</v>
      </c>
      <c r="P126">
        <f>IF(Diákhitel!$D$4="Stratégia 2",IF(AND(D126="Nem",D125="Igen"),M125,0),IF(C126=Évek_száma,M125,MIN(IF(D126="Igen",0,IF(M125=0,0,VLOOKUP(M125,Diákhitel!$R$30:$S$34,2)*Diákhitel!$H$4*6)),M125)))</f>
        <v>0</v>
      </c>
      <c r="Q126">
        <f t="shared" si="6"/>
        <v>0</v>
      </c>
      <c r="R126">
        <f>IF(Diákhitel!$D$4="Stratégia 1",H126-N126,IF(Diákhitel!$D$4="Stratégia 2",I126-N126,J126-N126))</f>
        <v>25087242.506749913</v>
      </c>
      <c r="S126">
        <f>IF(Diákhitel!$D$4="Stratégia 2",H126-I126,0)</f>
        <v>0</v>
      </c>
    </row>
    <row r="127" spans="2:19" x14ac:dyDescent="0.25">
      <c r="B127">
        <v>121</v>
      </c>
      <c r="C127">
        <f t="shared" si="14"/>
        <v>60</v>
      </c>
      <c r="D127" t="str">
        <f>IF(Diákhitel!$B$4&gt;=B127, "Igen", "Nem")</f>
        <v>Nem</v>
      </c>
      <c r="E127">
        <f>IF(D127="Igen",Diákhitel!$I$4,0)</f>
        <v>0</v>
      </c>
      <c r="F127">
        <f>IF(Diákhitel!$J$4="Igen", IF(D127="Igen",Diákhitel!$E$4,0), 0)</f>
        <v>0</v>
      </c>
      <c r="G127">
        <f t="shared" si="11"/>
        <v>0</v>
      </c>
      <c r="H127">
        <f>H126*SQRT(1+r_f)+G127-O127-P127</f>
        <v>25706773.882035524</v>
      </c>
      <c r="I127">
        <f>I126*SQRT(1+r_f)+E127*((1+k)/(1+r_f))^(Félévek_száma/2-C127)+F127/(1+r_f)^(Félévek_száma/2-C127)-O127-P127</f>
        <v>11618834.966696898</v>
      </c>
      <c r="J127">
        <f t="shared" ca="1" si="7"/>
        <v>1373521953.7286119</v>
      </c>
      <c r="K127">
        <f ca="1">_xlfn.NORM.INV(RAND(),Diákhitel!$L$4/2,Diákhitel!$M$4)</f>
        <v>4.5779991968215257E-2</v>
      </c>
      <c r="L127">
        <f>L126*SQRT(1+k)+E127-O127</f>
        <v>0</v>
      </c>
      <c r="M127">
        <f t="shared" si="12"/>
        <v>0</v>
      </c>
      <c r="N127">
        <f t="shared" si="13"/>
        <v>0</v>
      </c>
      <c r="O127">
        <f>IF(Diákhitel!$D$4="Stratégia 2",IF(AND(D127="Nem",D126="Igen"),L126*SQRT(1+k),0),IF(C127=Évek_száma,L126*SQRT(1+k),MIN(IF(D127="Igen",0,6*Diákhitel!$H$4*(0.06)),L126*SQRT(1+k))))</f>
        <v>0</v>
      </c>
      <c r="P127">
        <f>IF(Diákhitel!$D$4="Stratégia 2",IF(AND(D127="Nem",D126="Igen"),M126,0),IF(C127=Évek_száma,M126,MIN(IF(D127="Igen",0,IF(M126=0,0,VLOOKUP(M126,Diákhitel!$R$30:$S$34,2)*Diákhitel!$H$4*6)),M126)))</f>
        <v>0</v>
      </c>
      <c r="Q127">
        <f t="shared" si="6"/>
        <v>0</v>
      </c>
      <c r="R127">
        <f>IF(Diákhitel!$D$4="Stratégia 1",H127-N127,IF(Diákhitel!$D$4="Stratégia 2",I127-N127,J127-N127))</f>
        <v>25706773.882035524</v>
      </c>
      <c r="S127">
        <f>IF(Diákhitel!$D$4="Stratégia 2",H127-I127,0)</f>
        <v>0</v>
      </c>
    </row>
    <row r="128" spans="2:19" x14ac:dyDescent="0.25">
      <c r="B128">
        <v>122</v>
      </c>
      <c r="C128">
        <f t="shared" si="14"/>
        <v>60.5</v>
      </c>
      <c r="D128" t="str">
        <f>IF(Diákhitel!$B$4&gt;=B128, "Igen", "Nem")</f>
        <v>Nem</v>
      </c>
      <c r="E128">
        <f>IF(D128="Igen",Diákhitel!$I$4,0)</f>
        <v>0</v>
      </c>
      <c r="F128">
        <f>IF(Diákhitel!$J$4="Igen", IF(D128="Igen",Diákhitel!$E$4,0), 0)</f>
        <v>0</v>
      </c>
      <c r="G128">
        <f t="shared" si="11"/>
        <v>0</v>
      </c>
      <c r="H128">
        <f>H127*SQRT(1+r_f)+G128-O128-P128</f>
        <v>26341604.632087413</v>
      </c>
      <c r="I128">
        <f>I127*SQRT(1+r_f)+E128*((1+k)/(1+r_f))^(Félévek_száma/2-C128)+F128/(1+r_f)^(Félévek_száma/2-C128)-O128-P128</f>
        <v>11905762.986155296</v>
      </c>
      <c r="J128">
        <f t="shared" ca="1" si="7"/>
        <v>1436401777.7384753</v>
      </c>
      <c r="K128">
        <f ca="1">_xlfn.NORM.INV(RAND(),Diákhitel!$L$4/2,Diákhitel!$M$4)</f>
        <v>4.6704300005119187E-2</v>
      </c>
      <c r="L128">
        <f>L127*SQRT(1+k)+E128-O128</f>
        <v>0</v>
      </c>
      <c r="M128">
        <f t="shared" si="12"/>
        <v>0</v>
      </c>
      <c r="N128">
        <f t="shared" si="13"/>
        <v>0</v>
      </c>
      <c r="O128">
        <f>IF(Diákhitel!$D$4="Stratégia 2",IF(AND(D128="Nem",D127="Igen"),L127*SQRT(1+k),0),IF(C128=Évek_száma,L127*SQRT(1+k),MIN(IF(D128="Igen",0,6*Diákhitel!$H$4*(0.06)),L127*SQRT(1+k))))</f>
        <v>0</v>
      </c>
      <c r="P128">
        <f>IF(Diákhitel!$D$4="Stratégia 2",IF(AND(D128="Nem",D127="Igen"),M127,0),IF(C128=Évek_száma,M127,MIN(IF(D128="Igen",0,IF(M127=0,0,VLOOKUP(M127,Diákhitel!$R$30:$S$34,2)*Diákhitel!$H$4*6)),M127)))</f>
        <v>0</v>
      </c>
      <c r="Q128">
        <f t="shared" si="6"/>
        <v>0</v>
      </c>
      <c r="R128">
        <f>IF(Diákhitel!$D$4="Stratégia 1",H128-N128,IF(Diákhitel!$D$4="Stratégia 2",I128-N128,J128-N128))</f>
        <v>26341604.632087413</v>
      </c>
      <c r="S128">
        <f>IF(Diákhitel!$D$4="Stratégia 2",H128-I128,0)</f>
        <v>0</v>
      </c>
    </row>
    <row r="129" spans="2:19" x14ac:dyDescent="0.25">
      <c r="B129">
        <v>123</v>
      </c>
      <c r="C129">
        <f t="shared" si="14"/>
        <v>61</v>
      </c>
      <c r="D129" t="str">
        <f>IF(Diákhitel!$B$4&gt;=B129, "Igen", "Nem")</f>
        <v>Nem</v>
      </c>
      <c r="E129">
        <f>IF(D129="Igen",Diákhitel!$I$4,0)</f>
        <v>0</v>
      </c>
      <c r="F129">
        <f>IF(Diákhitel!$J$4="Igen", IF(D129="Igen",Diákhitel!$E$4,0), 0)</f>
        <v>0</v>
      </c>
      <c r="G129">
        <f t="shared" si="11"/>
        <v>0</v>
      </c>
      <c r="H129">
        <f>H128*SQRT(1+r_f)+G129-O129-P129</f>
        <v>26992112.576137304</v>
      </c>
      <c r="I129">
        <f>I128*SQRT(1+r_f)+E129*((1+k)/(1+r_f))^(Félévek_száma/2-C129)+F129/(1+r_f)^(Félévek_száma/2-C129)-O129-P129</f>
        <v>12199776.715031745</v>
      </c>
      <c r="J129">
        <f t="shared" ca="1" si="7"/>
        <v>1503487917.2938597</v>
      </c>
      <c r="K129">
        <f ca="1">_xlfn.NORM.INV(RAND(),Diákhitel!$L$4/2,Diákhitel!$M$4)</f>
        <v>5.1525001094058664E-2</v>
      </c>
      <c r="L129">
        <f>L128*SQRT(1+k)+E129-O129</f>
        <v>0</v>
      </c>
      <c r="M129">
        <f t="shared" si="12"/>
        <v>0</v>
      </c>
      <c r="N129">
        <f t="shared" si="13"/>
        <v>0</v>
      </c>
      <c r="O129">
        <f>IF(Diákhitel!$D$4="Stratégia 2",IF(AND(D129="Nem",D128="Igen"),L128*SQRT(1+k),0),IF(C129=Évek_száma,L128*SQRT(1+k),MIN(IF(D129="Igen",0,6*Diákhitel!$H$4*(0.06)),L128*SQRT(1+k))))</f>
        <v>0</v>
      </c>
      <c r="P129">
        <f>IF(Diákhitel!$D$4="Stratégia 2",IF(AND(D129="Nem",D128="Igen"),M128,0),IF(C129=Évek_száma,M128,MIN(IF(D129="Igen",0,IF(M128=0,0,VLOOKUP(M128,Diákhitel!$R$30:$S$34,2)*Diákhitel!$H$4*6)),M128)))</f>
        <v>0</v>
      </c>
      <c r="Q129">
        <f t="shared" si="6"/>
        <v>0</v>
      </c>
      <c r="R129">
        <f>IF(Diákhitel!$D$4="Stratégia 1",H129-N129,IF(Diákhitel!$D$4="Stratégia 2",I129-N129,J129-N129))</f>
        <v>26992112.576137304</v>
      </c>
      <c r="S129">
        <f>IF(Diákhitel!$D$4="Stratégia 2",H129-I129,0)</f>
        <v>0</v>
      </c>
    </row>
    <row r="130" spans="2:19" x14ac:dyDescent="0.25">
      <c r="B130">
        <v>124</v>
      </c>
      <c r="C130">
        <f t="shared" si="14"/>
        <v>61.5</v>
      </c>
      <c r="D130" t="str">
        <f>IF(Diákhitel!$B$4&gt;=B130, "Igen", "Nem")</f>
        <v>Nem</v>
      </c>
      <c r="E130">
        <f>IF(D130="Igen",Diákhitel!$I$4,0)</f>
        <v>0</v>
      </c>
      <c r="F130">
        <f>IF(Diákhitel!$J$4="Igen", IF(D130="Igen",Diákhitel!$E$4,0), 0)</f>
        <v>0</v>
      </c>
      <c r="G130">
        <f t="shared" si="11"/>
        <v>0</v>
      </c>
      <c r="H130">
        <f>H129*SQRT(1+r_f)+G130-O130-P130</f>
        <v>27658684.863691788</v>
      </c>
      <c r="I130">
        <f>I129*SQRT(1+r_f)+E130*((1+k)/(1+r_f))^(Félévek_száma/2-C130)+F130/(1+r_f)^(Félévek_száma/2-C130)-O130-P130</f>
        <v>12501051.135463063</v>
      </c>
      <c r="J130">
        <f t="shared" ca="1" si="7"/>
        <v>1580955133.8773298</v>
      </c>
      <c r="K130">
        <f ca="1">_xlfn.NORM.INV(RAND(),Diákhitel!$L$4/2,Diákhitel!$M$4)</f>
        <v>6.2824439102266302E-2</v>
      </c>
      <c r="L130">
        <f>L129*SQRT(1+k)+E130-O130</f>
        <v>0</v>
      </c>
      <c r="M130">
        <f t="shared" si="12"/>
        <v>0</v>
      </c>
      <c r="N130">
        <f t="shared" si="13"/>
        <v>0</v>
      </c>
      <c r="O130">
        <f>IF(Diákhitel!$D$4="Stratégia 2",IF(AND(D130="Nem",D129="Igen"),L129*SQRT(1+k),0),IF(C130=Évek_száma,L129*SQRT(1+k),MIN(IF(D130="Igen",0,6*Diákhitel!$H$4*(0.06)),L129*SQRT(1+k))))</f>
        <v>0</v>
      </c>
      <c r="P130">
        <f>IF(Diákhitel!$D$4="Stratégia 2",IF(AND(D130="Nem",D129="Igen"),M129,0),IF(C130=Évek_száma,M129,MIN(IF(D130="Igen",0,IF(M129=0,0,VLOOKUP(M129,Diákhitel!$R$30:$S$34,2)*Diákhitel!$H$4*6)),M129)))</f>
        <v>0</v>
      </c>
      <c r="Q130">
        <f t="shared" si="6"/>
        <v>0</v>
      </c>
      <c r="R130">
        <f>IF(Diákhitel!$D$4="Stratégia 1",H130-N130,IF(Diákhitel!$D$4="Stratégia 2",I130-N130,J130-N130))</f>
        <v>27658684.863691788</v>
      </c>
      <c r="S130">
        <f>IF(Diákhitel!$D$4="Stratégia 2",H130-I130,0)</f>
        <v>0</v>
      </c>
    </row>
    <row r="131" spans="2:19" x14ac:dyDescent="0.25">
      <c r="B131">
        <v>125</v>
      </c>
      <c r="C131">
        <f t="shared" si="14"/>
        <v>62</v>
      </c>
      <c r="D131" t="str">
        <f>IF(Diákhitel!$B$4&gt;=B131, "Igen", "Nem")</f>
        <v>Nem</v>
      </c>
      <c r="E131">
        <f>IF(D131="Igen",Diákhitel!$I$4,0)</f>
        <v>0</v>
      </c>
      <c r="F131">
        <f>IF(Diákhitel!$J$4="Igen", IF(D131="Igen",Diákhitel!$E$4,0), 0)</f>
        <v>0</v>
      </c>
      <c r="G131">
        <f t="shared" si="11"/>
        <v>0</v>
      </c>
      <c r="H131">
        <f>H130*SQRT(1+r_f)+G131-O131-P131</f>
        <v>28341718.204944175</v>
      </c>
      <c r="I131">
        <f>I130*SQRT(1+r_f)+E131*((1+k)/(1+r_f))^(Félévek_száma/2-C131)+F131/(1+r_f)^(Félévek_száma/2-C131)-O131-P131</f>
        <v>12809765.550783334</v>
      </c>
      <c r="J131">
        <f t="shared" ca="1" si="7"/>
        <v>1680277753.4090214</v>
      </c>
      <c r="K131">
        <f ca="1">_xlfn.NORM.INV(RAND(),Diákhitel!$L$4/2,Diákhitel!$M$4)</f>
        <v>6.2754529411801957E-2</v>
      </c>
      <c r="L131">
        <f>L130*SQRT(1+k)+E131-O131</f>
        <v>0</v>
      </c>
      <c r="M131">
        <f t="shared" si="12"/>
        <v>0</v>
      </c>
      <c r="N131">
        <f t="shared" si="13"/>
        <v>0</v>
      </c>
      <c r="O131">
        <f>IF(Diákhitel!$D$4="Stratégia 2",IF(AND(D131="Nem",D130="Igen"),L130*SQRT(1+k),0),IF(C131=Évek_száma,L130*SQRT(1+k),MIN(IF(D131="Igen",0,6*Diákhitel!$H$4*(0.06)),L130*SQRT(1+k))))</f>
        <v>0</v>
      </c>
      <c r="P131">
        <f>IF(Diákhitel!$D$4="Stratégia 2",IF(AND(D131="Nem",D130="Igen"),M130,0),IF(C131=Évek_száma,M130,MIN(IF(D131="Igen",0,IF(M130=0,0,VLOOKUP(M130,Diákhitel!$R$30:$S$34,2)*Diákhitel!$H$4*6)),M130)))</f>
        <v>0</v>
      </c>
      <c r="Q131">
        <f t="shared" si="6"/>
        <v>0</v>
      </c>
      <c r="R131">
        <f>IF(Diákhitel!$D$4="Stratégia 1",H131-N131,IF(Diákhitel!$D$4="Stratégia 2",I131-N131,J131-N131))</f>
        <v>28341718.204944175</v>
      </c>
      <c r="S131">
        <f>IF(Diákhitel!$D$4="Stratégia 2",H131-I131,0)</f>
        <v>0</v>
      </c>
    </row>
    <row r="132" spans="2:19" x14ac:dyDescent="0.25">
      <c r="B132">
        <v>126</v>
      </c>
      <c r="C132">
        <f t="shared" si="14"/>
        <v>62.5</v>
      </c>
      <c r="D132" t="str">
        <f>IF(Diákhitel!$B$4&gt;=B132, "Igen", "Nem")</f>
        <v>Nem</v>
      </c>
      <c r="E132">
        <f>IF(D132="Igen",Diákhitel!$I$4,0)</f>
        <v>0</v>
      </c>
      <c r="F132">
        <f>IF(Diákhitel!$J$4="Igen", IF(D132="Igen",Diákhitel!$E$4,0), 0)</f>
        <v>0</v>
      </c>
      <c r="G132">
        <f t="shared" si="11"/>
        <v>0</v>
      </c>
      <c r="H132">
        <f>H131*SQRT(1+r_f)+G132-O132-P132</f>
        <v>29041619.106876384</v>
      </c>
      <c r="I132">
        <f>I131*SQRT(1+r_f)+E132*((1+k)/(1+r_f))^(Félévek_száma/2-C132)+F132/(1+r_f)^(Félévek_száma/2-C132)-O132-P132</f>
        <v>13126103.692236217</v>
      </c>
      <c r="J132">
        <f t="shared" ca="1" si="7"/>
        <v>1785722793.1053243</v>
      </c>
      <c r="K132">
        <f ca="1">_xlfn.NORM.INV(RAND(),Diákhitel!$L$4/2,Diákhitel!$M$4)</f>
        <v>5.4309113263639672E-2</v>
      </c>
      <c r="L132">
        <f>L131*SQRT(1+k)+E132-O132</f>
        <v>0</v>
      </c>
      <c r="M132">
        <f t="shared" si="12"/>
        <v>0</v>
      </c>
      <c r="N132">
        <f t="shared" si="13"/>
        <v>0</v>
      </c>
      <c r="O132">
        <f>IF(Diákhitel!$D$4="Stratégia 2",IF(AND(D132="Nem",D131="Igen"),L131*SQRT(1+k),0),IF(C132=Évek_száma,L131*SQRT(1+k),MIN(IF(D132="Igen",0,6*Diákhitel!$H$4*(0.06)),L131*SQRT(1+k))))</f>
        <v>0</v>
      </c>
      <c r="P132">
        <f>IF(Diákhitel!$D$4="Stratégia 2",IF(AND(D132="Nem",D131="Igen"),M131,0),IF(C132=Évek_száma,M131,MIN(IF(D132="Igen",0,IF(M131=0,0,VLOOKUP(M131,Diákhitel!$R$30:$S$34,2)*Diákhitel!$H$4*6)),M131)))</f>
        <v>0</v>
      </c>
      <c r="Q132">
        <f t="shared" si="6"/>
        <v>0</v>
      </c>
      <c r="R132">
        <f>IF(Diákhitel!$D$4="Stratégia 1",H132-N132,IF(Diákhitel!$D$4="Stratégia 2",I132-N132,J132-N132))</f>
        <v>29041619.106876384</v>
      </c>
      <c r="S132">
        <f>IF(Diákhitel!$D$4="Stratégia 2",H132-I132,0)</f>
        <v>0</v>
      </c>
    </row>
    <row r="133" spans="2:19" x14ac:dyDescent="0.25">
      <c r="B133">
        <v>127</v>
      </c>
      <c r="C133">
        <f t="shared" si="14"/>
        <v>63</v>
      </c>
      <c r="D133" t="str">
        <f>IF(Diákhitel!$B$4&gt;=B133, "Igen", "Nem")</f>
        <v>Nem</v>
      </c>
      <c r="E133">
        <f>IF(D133="Igen",Diákhitel!$I$4,0)</f>
        <v>0</v>
      </c>
      <c r="F133">
        <f>IF(Diákhitel!$J$4="Igen", IF(D133="Igen",Diákhitel!$E$4,0), 0)</f>
        <v>0</v>
      </c>
      <c r="G133">
        <f t="shared" si="11"/>
        <v>0</v>
      </c>
      <c r="H133">
        <f>H132*SQRT(1+r_f)+G133-O133-P133</f>
        <v>29758804.115191389</v>
      </c>
      <c r="I133">
        <f>I132*SQRT(1+r_f)+E133*((1+k)/(1+r_f))^(Félévek_száma/2-C133)+F133/(1+r_f)^(Félévek_száma/2-C133)-O133-P133</f>
        <v>13450253.828322502</v>
      </c>
      <c r="J133">
        <f t="shared" ca="1" si="7"/>
        <v>1882703814.5335445</v>
      </c>
      <c r="K133">
        <f ca="1">_xlfn.NORM.INV(RAND(),Diákhitel!$L$4/2,Diákhitel!$M$4)</f>
        <v>4.1897461370293758E-2</v>
      </c>
      <c r="L133">
        <f>L132*SQRT(1+k)+E133-O133</f>
        <v>0</v>
      </c>
      <c r="M133">
        <f t="shared" si="12"/>
        <v>0</v>
      </c>
      <c r="N133">
        <f t="shared" si="13"/>
        <v>0</v>
      </c>
      <c r="O133">
        <f>IF(Diákhitel!$D$4="Stratégia 2",IF(AND(D133="Nem",D132="Igen"),L132*SQRT(1+k),0),IF(C133=Évek_száma,L132*SQRT(1+k),MIN(IF(D133="Igen",0,6*Diákhitel!$H$4*(0.06)),L132*SQRT(1+k))))</f>
        <v>0</v>
      </c>
      <c r="P133">
        <f>IF(Diákhitel!$D$4="Stratégia 2",IF(AND(D133="Nem",D132="Igen"),M132,0),IF(C133=Évek_száma,M132,MIN(IF(D133="Igen",0,IF(M132=0,0,VLOOKUP(M132,Diákhitel!$R$30:$S$34,2)*Diákhitel!$H$4*6)),M132)))</f>
        <v>0</v>
      </c>
      <c r="Q133">
        <f t="shared" si="6"/>
        <v>0</v>
      </c>
      <c r="R133">
        <f>IF(Diákhitel!$D$4="Stratégia 1",H133-N133,IF(Diákhitel!$D$4="Stratégia 2",I133-N133,J133-N133))</f>
        <v>29758804.115191389</v>
      </c>
      <c r="S133">
        <f>IF(Diákhitel!$D$4="Stratégia 2",H133-I133,0)</f>
        <v>0</v>
      </c>
    </row>
    <row r="134" spans="2:19" x14ac:dyDescent="0.25">
      <c r="B134">
        <v>128</v>
      </c>
      <c r="C134">
        <f t="shared" si="14"/>
        <v>63.5</v>
      </c>
      <c r="D134" t="str">
        <f>IF(Diákhitel!$B$4&gt;=B134, "Igen", "Nem")</f>
        <v>Nem</v>
      </c>
      <c r="E134">
        <f>IF(D134="Igen",Diákhitel!$I$4,0)</f>
        <v>0</v>
      </c>
      <c r="F134">
        <f>IF(Diákhitel!$J$4="Igen", IF(D134="Igen",Diákhitel!$E$4,0), 0)</f>
        <v>0</v>
      </c>
      <c r="G134">
        <f t="shared" si="11"/>
        <v>0</v>
      </c>
      <c r="H134">
        <f>H133*SQRT(1+r_f)+G134-O134-P134</f>
        <v>30493700.062220208</v>
      </c>
      <c r="I134">
        <f>I133*SQRT(1+r_f)+E134*((1+k)/(1+r_f))^(Félévek_száma/2-C134)+F134/(1+r_f)^(Félévek_száma/2-C134)-O134-P134</f>
        <v>13782408.876848029</v>
      </c>
      <c r="J134">
        <f t="shared" ca="1" si="7"/>
        <v>1961584324.8746686</v>
      </c>
      <c r="K134">
        <f ca="1">_xlfn.NORM.INV(RAND(),Diákhitel!$L$4/2,Diákhitel!$M$4)</f>
        <v>6.2314179237305187E-2</v>
      </c>
      <c r="L134">
        <f>L133*SQRT(1+k)+E134-O134</f>
        <v>0</v>
      </c>
      <c r="M134">
        <f t="shared" si="12"/>
        <v>0</v>
      </c>
      <c r="N134">
        <f t="shared" si="13"/>
        <v>0</v>
      </c>
      <c r="O134">
        <f>IF(Diákhitel!$D$4="Stratégia 2",IF(AND(D134="Nem",D133="Igen"),L133*SQRT(1+k),0),IF(C134=Évek_száma,L133*SQRT(1+k),MIN(IF(D134="Igen",0,6*Diákhitel!$H$4*(0.06)),L133*SQRT(1+k))))</f>
        <v>0</v>
      </c>
      <c r="P134">
        <f>IF(Diákhitel!$D$4="Stratégia 2",IF(AND(D134="Nem",D133="Igen"),M133,0),IF(C134=Évek_száma,M133,MIN(IF(D134="Igen",0,IF(M133=0,0,VLOOKUP(M133,Diákhitel!$R$30:$S$34,2)*Diákhitel!$H$4*6)),M133)))</f>
        <v>0</v>
      </c>
      <c r="Q134">
        <f t="shared" si="6"/>
        <v>0</v>
      </c>
      <c r="R134">
        <f>IF(Diákhitel!$D$4="Stratégia 1",H134-N134,IF(Diákhitel!$D$4="Stratégia 2",I134-N134,J134-N134))</f>
        <v>30493700.062220208</v>
      </c>
      <c r="S134">
        <f>IF(Diákhitel!$D$4="Stratégia 2",H134-I134,0)</f>
        <v>0</v>
      </c>
    </row>
    <row r="135" spans="2:19" x14ac:dyDescent="0.25">
      <c r="B135">
        <v>129</v>
      </c>
      <c r="C135">
        <f t="shared" si="14"/>
        <v>64</v>
      </c>
      <c r="D135" t="str">
        <f>IF(Diákhitel!$B$4&gt;=B135, "Igen", "Nem")</f>
        <v>Nem</v>
      </c>
      <c r="E135">
        <f>IF(D135="Igen",Diákhitel!$I$4,0)</f>
        <v>0</v>
      </c>
      <c r="F135">
        <f>IF(Diákhitel!$J$4="Igen", IF(D135="Igen",Diákhitel!$E$4,0), 0)</f>
        <v>0</v>
      </c>
      <c r="G135">
        <f t="shared" si="11"/>
        <v>0</v>
      </c>
      <c r="H135">
        <f>H134*SQRT(1+r_f)+G135-O135-P135</f>
        <v>31246744.320950966</v>
      </c>
      <c r="I135">
        <f>I134*SQRT(1+r_f)+E135*((1+k)/(1+r_f))^(Félévek_száma/2-C135)+F135/(1+r_f)^(Félévek_száma/2-C135)-O135-P135</f>
        <v>14122766.519738629</v>
      </c>
      <c r="J135">
        <f t="shared" ca="1" si="7"/>
        <v>2083818842.083997</v>
      </c>
      <c r="K135">
        <f ca="1">_xlfn.NORM.INV(RAND(),Diákhitel!$L$4/2,Diákhitel!$M$4)</f>
        <v>4.1549693035542866E-2</v>
      </c>
      <c r="L135">
        <f>L134*SQRT(1+k)+E135-O135</f>
        <v>0</v>
      </c>
      <c r="M135">
        <f t="shared" si="12"/>
        <v>0</v>
      </c>
      <c r="N135">
        <f t="shared" si="13"/>
        <v>0</v>
      </c>
      <c r="O135">
        <f>IF(Diákhitel!$D$4="Stratégia 2",IF(AND(D135="Nem",D134="Igen"),L134*SQRT(1+k),0),IF(C135=Évek_száma,L134*SQRT(1+k),MIN(IF(D135="Igen",0,6*Diákhitel!$H$4*(0.06)),L134*SQRT(1+k))))</f>
        <v>0</v>
      </c>
      <c r="P135">
        <f>IF(Diákhitel!$D$4="Stratégia 2",IF(AND(D135="Nem",D134="Igen"),M134,0),IF(C135=Évek_száma,M134,MIN(IF(D135="Igen",0,IF(M134=0,0,VLOOKUP(M134,Diákhitel!$R$30:$S$34,2)*Diákhitel!$H$4*6)),M134)))</f>
        <v>0</v>
      </c>
      <c r="Q135">
        <f t="shared" si="6"/>
        <v>0</v>
      </c>
      <c r="R135">
        <f>IF(Diákhitel!$D$4="Stratégia 1",H135-N135,IF(Diákhitel!$D$4="Stratégia 2",I135-N135,J135-N135))</f>
        <v>31246744.320950966</v>
      </c>
      <c r="S135">
        <f>IF(Diákhitel!$D$4="Stratégia 2",H135-I135,0)</f>
        <v>0</v>
      </c>
    </row>
    <row r="136" spans="2:19" x14ac:dyDescent="0.25">
      <c r="B136">
        <v>130</v>
      </c>
      <c r="C136">
        <f t="shared" si="14"/>
        <v>64.5</v>
      </c>
      <c r="D136" t="str">
        <f>IF(Diákhitel!$B$4&gt;=B136, "Igen", "Nem")</f>
        <v>Nem</v>
      </c>
      <c r="E136">
        <f>IF(D136="Igen",Diákhitel!$I$4,0)</f>
        <v>0</v>
      </c>
      <c r="F136">
        <f>IF(Diákhitel!$J$4="Igen", IF(D136="Igen",Diákhitel!$E$4,0), 0)</f>
        <v>0</v>
      </c>
      <c r="G136">
        <f t="shared" si="11"/>
        <v>0</v>
      </c>
      <c r="H136">
        <f>H135*SQRT(1+r_f)+G136-O136-P136</f>
        <v>32018385.065331228</v>
      </c>
      <c r="I136">
        <f>I135*SQRT(1+r_f)+E136*((1+k)/(1+r_f))^(Félévek_száma/2-C136)+F136/(1+r_f)^(Félévek_száma/2-C136)-O136-P136</f>
        <v>14471529.320690433</v>
      </c>
      <c r="J136">
        <f t="shared" ca="1" si="7"/>
        <v>2170400875.3142672</v>
      </c>
      <c r="K136">
        <f ca="1">_xlfn.NORM.INV(RAND(),Diákhitel!$L$4/2,Diákhitel!$M$4)</f>
        <v>7.1619586357084583E-2</v>
      </c>
      <c r="L136">
        <f>L135*SQRT(1+k)+E136-O136</f>
        <v>0</v>
      </c>
      <c r="M136">
        <f t="shared" si="12"/>
        <v>0</v>
      </c>
      <c r="N136">
        <f t="shared" si="13"/>
        <v>0</v>
      </c>
      <c r="O136">
        <f>IF(Diákhitel!$D$4="Stratégia 2",IF(AND(D136="Nem",D135="Igen"),L135*SQRT(1+k),0),IF(C136=Évek_száma,L135*SQRT(1+k),MIN(IF(D136="Igen",0,6*Diákhitel!$H$4*(0.06)),L135*SQRT(1+k))))</f>
        <v>0</v>
      </c>
      <c r="P136">
        <f>IF(Diákhitel!$D$4="Stratégia 2",IF(AND(D136="Nem",D135="Igen"),M135,0),IF(C136=Évek_száma,M135,MIN(IF(D136="Igen",0,IF(M135=0,0,VLOOKUP(M135,Diákhitel!$R$30:$S$34,2)*Diákhitel!$H$4*6)),M135)))</f>
        <v>0</v>
      </c>
      <c r="Q136">
        <f t="shared" ref="Q136:Q199" si="15">O136+P136</f>
        <v>0</v>
      </c>
      <c r="R136">
        <f>IF(Diákhitel!$D$4="Stratégia 1",H136-N136,IF(Diákhitel!$D$4="Stratégia 2",I136-N136,J136-N136))</f>
        <v>32018385.065331228</v>
      </c>
      <c r="S136">
        <f>IF(Diákhitel!$D$4="Stratégia 2",H136-I136,0)</f>
        <v>0</v>
      </c>
    </row>
    <row r="137" spans="2:19" x14ac:dyDescent="0.25">
      <c r="B137">
        <v>131</v>
      </c>
      <c r="C137">
        <f t="shared" si="14"/>
        <v>65</v>
      </c>
      <c r="D137" t="str">
        <f>IF(Diákhitel!$B$4&gt;=B137, "Igen", "Nem")</f>
        <v>Nem</v>
      </c>
      <c r="E137">
        <f>IF(D137="Igen",Diákhitel!$I$4,0)</f>
        <v>0</v>
      </c>
      <c r="F137">
        <f>IF(Diákhitel!$J$4="Igen", IF(D137="Igen",Diákhitel!$E$4,0), 0)</f>
        <v>0</v>
      </c>
      <c r="G137">
        <f t="shared" si="11"/>
        <v>0</v>
      </c>
      <c r="H137">
        <f>H136*SQRT(1+r_f)+G137-O137-P137</f>
        <v>32809081.536998522</v>
      </c>
      <c r="I137">
        <f>I136*SQRT(1+r_f)+E137*((1+k)/(1+r_f))^(Félévek_száma/2-C137)+F137/(1+r_f)^(Félévek_száma/2-C137)-O137-P137</f>
        <v>14828904.845725562</v>
      </c>
      <c r="J137">
        <f t="shared" ref="J137:J200" ca="1" si="16">J136*(1+K136)+G137-O137-P137</f>
        <v>2325844088.2333293</v>
      </c>
      <c r="K137">
        <f ca="1">_xlfn.NORM.INV(RAND(),Diákhitel!$L$4/2,Diákhitel!$M$4)</f>
        <v>4.0625255946968267E-2</v>
      </c>
      <c r="L137">
        <f>L136*SQRT(1+k)+E137-O137</f>
        <v>0</v>
      </c>
      <c r="M137">
        <f t="shared" si="12"/>
        <v>0</v>
      </c>
      <c r="N137">
        <f t="shared" si="13"/>
        <v>0</v>
      </c>
      <c r="O137">
        <f>IF(Diákhitel!$D$4="Stratégia 2",IF(AND(D137="Nem",D136="Igen"),L136*SQRT(1+k),0),IF(C137=Évek_száma,L136*SQRT(1+k),MIN(IF(D137="Igen",0,6*Diákhitel!$H$4*(0.06)),L136*SQRT(1+k))))</f>
        <v>0</v>
      </c>
      <c r="P137">
        <f>IF(Diákhitel!$D$4="Stratégia 2",IF(AND(D137="Nem",D136="Igen"),M136,0),IF(C137=Évek_száma,M136,MIN(IF(D137="Igen",0,IF(M136=0,0,VLOOKUP(M136,Diákhitel!$R$30:$S$34,2)*Diákhitel!$H$4*6)),M136)))</f>
        <v>0</v>
      </c>
      <c r="Q137">
        <f t="shared" si="15"/>
        <v>0</v>
      </c>
      <c r="R137">
        <f>IF(Diákhitel!$D$4="Stratégia 1",H137-N137,IF(Diákhitel!$D$4="Stratégia 2",I137-N137,J137-N137))</f>
        <v>32809081.536998522</v>
      </c>
      <c r="S137">
        <f>IF(Diákhitel!$D$4="Stratégia 2",H137-I137,0)</f>
        <v>0</v>
      </c>
    </row>
    <row r="138" spans="2:19" x14ac:dyDescent="0.25">
      <c r="B138">
        <v>132</v>
      </c>
      <c r="C138">
        <f t="shared" si="14"/>
        <v>65.5</v>
      </c>
      <c r="D138" t="str">
        <f>IF(Diákhitel!$B$4&gt;=B138, "Igen", "Nem")</f>
        <v>Nem</v>
      </c>
      <c r="E138">
        <f>IF(D138="Igen",Diákhitel!$I$4,0)</f>
        <v>0</v>
      </c>
      <c r="F138">
        <f>IF(Diákhitel!$J$4="Igen", IF(D138="Igen",Diákhitel!$E$4,0), 0)</f>
        <v>0</v>
      </c>
      <c r="G138">
        <f t="shared" ref="G138:G196" si="17">E138+F138</f>
        <v>0</v>
      </c>
      <c r="H138">
        <f>H137*SQRT(1+r_f)+G138-O138-P138</f>
        <v>33619304.318597794</v>
      </c>
      <c r="I138">
        <f>I137*SQRT(1+r_f)+E138*((1+k)/(1+r_f))^(Félévek_száma/2-C138)+F138/(1+r_f)^(Félévek_száma/2-C138)-O138-P138</f>
        <v>15195105.786724957</v>
      </c>
      <c r="J138">
        <f t="shared" ca="1" si="16"/>
        <v>2420332099.6105514</v>
      </c>
      <c r="K138">
        <f ca="1">_xlfn.NORM.INV(RAND(),Diákhitel!$L$4/2,Diákhitel!$M$4)</f>
        <v>4.8942525172879434E-2</v>
      </c>
      <c r="L138">
        <f>L137*SQRT(1+k)+E138-O138</f>
        <v>0</v>
      </c>
      <c r="M138">
        <f t="shared" ref="M138:M196" si="18">MAX(M137+F138-P138,0)</f>
        <v>0</v>
      </c>
      <c r="N138">
        <f t="shared" ref="N138:N196" si="19">L138+M138</f>
        <v>0</v>
      </c>
      <c r="O138">
        <f>IF(Diákhitel!$D$4="Stratégia 2",IF(AND(D138="Nem",D137="Igen"),L137*SQRT(1+k),0),IF(C138=Évek_száma,L137*SQRT(1+k),MIN(IF(D138="Igen",0,6*Diákhitel!$H$4*(0.06)),L137*SQRT(1+k))))</f>
        <v>0</v>
      </c>
      <c r="P138">
        <f>IF(Diákhitel!$D$4="Stratégia 2",IF(AND(D138="Nem",D137="Igen"),M137,0),IF(C138=Évek_száma,M137,MIN(IF(D138="Igen",0,IF(M137=0,0,VLOOKUP(M137,Diákhitel!$R$30:$S$34,2)*Diákhitel!$H$4*6)),M137)))</f>
        <v>0</v>
      </c>
      <c r="Q138">
        <f t="shared" si="15"/>
        <v>0</v>
      </c>
      <c r="R138">
        <f>IF(Diákhitel!$D$4="Stratégia 1",H138-N138,IF(Diákhitel!$D$4="Stratégia 2",I138-N138,J138-N138))</f>
        <v>33619304.318597794</v>
      </c>
      <c r="S138">
        <f>IF(Diákhitel!$D$4="Stratégia 2",H138-I138,0)</f>
        <v>0</v>
      </c>
    </row>
    <row r="139" spans="2:19" x14ac:dyDescent="0.25">
      <c r="B139">
        <v>133</v>
      </c>
      <c r="C139">
        <f t="shared" si="14"/>
        <v>66</v>
      </c>
      <c r="D139" t="str">
        <f>IF(Diákhitel!$B$4&gt;=B139, "Igen", "Nem")</f>
        <v>Nem</v>
      </c>
      <c r="E139">
        <f>IF(D139="Igen",Diákhitel!$I$4,0)</f>
        <v>0</v>
      </c>
      <c r="F139">
        <f>IF(Diákhitel!$J$4="Igen", IF(D139="Igen",Diákhitel!$E$4,0), 0)</f>
        <v>0</v>
      </c>
      <c r="G139">
        <f t="shared" si="17"/>
        <v>0</v>
      </c>
      <c r="H139">
        <f>H138*SQRT(1+r_f)+G139-O139-P139</f>
        <v>34449535.613848455</v>
      </c>
      <c r="I139">
        <f>I138*SQRT(1+r_f)+E139*((1+k)/(1+r_f))^(Félévek_száma/2-C139)+F139/(1+r_f)^(Félévek_száma/2-C139)-O139-P139</f>
        <v>15570350.088011844</v>
      </c>
      <c r="J139">
        <f t="shared" ca="1" si="16"/>
        <v>2538789264.3224688</v>
      </c>
      <c r="K139">
        <f ca="1">_xlfn.NORM.INV(RAND(),Diákhitel!$L$4/2,Diákhitel!$M$4)</f>
        <v>4.4433925086316883E-2</v>
      </c>
      <c r="L139">
        <f>L138*SQRT(1+k)+E139-O139</f>
        <v>0</v>
      </c>
      <c r="M139">
        <f t="shared" si="18"/>
        <v>0</v>
      </c>
      <c r="N139">
        <f t="shared" si="19"/>
        <v>0</v>
      </c>
      <c r="O139">
        <f>IF(Diákhitel!$D$4="Stratégia 2",IF(AND(D139="Nem",D138="Igen"),L138*SQRT(1+k),0),IF(C139=Évek_száma,L138*SQRT(1+k),MIN(IF(D139="Igen",0,6*Diákhitel!$H$4*(0.06)),L138*SQRT(1+k))))</f>
        <v>0</v>
      </c>
      <c r="P139">
        <f>IF(Diákhitel!$D$4="Stratégia 2",IF(AND(D139="Nem",D138="Igen"),M138,0),IF(C139=Évek_száma,M138,MIN(IF(D139="Igen",0,IF(M138=0,0,VLOOKUP(M138,Diákhitel!$R$30:$S$34,2)*Diákhitel!$H$4*6)),M138)))</f>
        <v>0</v>
      </c>
      <c r="Q139">
        <f t="shared" si="15"/>
        <v>0</v>
      </c>
      <c r="R139">
        <f>IF(Diákhitel!$D$4="Stratégia 1",H139-N139,IF(Diákhitel!$D$4="Stratégia 2",I139-N139,J139-N139))</f>
        <v>34449535.613848455</v>
      </c>
      <c r="S139">
        <f>IF(Diákhitel!$D$4="Stratégia 2",H139-I139,0)</f>
        <v>0</v>
      </c>
    </row>
    <row r="140" spans="2:19" x14ac:dyDescent="0.25">
      <c r="B140">
        <v>134</v>
      </c>
      <c r="C140">
        <f t="shared" si="14"/>
        <v>66.5</v>
      </c>
      <c r="D140" t="str">
        <f>IF(Diákhitel!$B$4&gt;=B140, "Igen", "Nem")</f>
        <v>Nem</v>
      </c>
      <c r="E140">
        <f>IF(D140="Igen",Diákhitel!$I$4,0)</f>
        <v>0</v>
      </c>
      <c r="F140">
        <f>IF(Diákhitel!$J$4="Igen", IF(D140="Igen",Diákhitel!$E$4,0), 0)</f>
        <v>0</v>
      </c>
      <c r="G140">
        <f t="shared" si="17"/>
        <v>0</v>
      </c>
      <c r="H140">
        <f>H139*SQRT(1+r_f)+G140-O140-P140</f>
        <v>35300269.534527689</v>
      </c>
      <c r="I140">
        <f>I139*SQRT(1+r_f)+E140*((1+k)/(1+r_f))^(Félévek_száma/2-C140)+F140/(1+r_f)^(Félévek_száma/2-C140)-O140-P140</f>
        <v>15954861.076061208</v>
      </c>
      <c r="J140">
        <f t="shared" ca="1" si="16"/>
        <v>2651597636.303319</v>
      </c>
      <c r="K140">
        <f ca="1">_xlfn.NORM.INV(RAND(),Diákhitel!$L$4/2,Diákhitel!$M$4)</f>
        <v>3.7927902235572852E-2</v>
      </c>
      <c r="L140">
        <f>L139*SQRT(1+k)+E140-O140</f>
        <v>0</v>
      </c>
      <c r="M140">
        <f t="shared" si="18"/>
        <v>0</v>
      </c>
      <c r="N140">
        <f t="shared" si="19"/>
        <v>0</v>
      </c>
      <c r="O140">
        <f>IF(Diákhitel!$D$4="Stratégia 2",IF(AND(D140="Nem",D139="Igen"),L139*SQRT(1+k),0),IF(C140=Évek_száma,L139*SQRT(1+k),MIN(IF(D140="Igen",0,6*Diákhitel!$H$4*(0.06)),L139*SQRT(1+k))))</f>
        <v>0</v>
      </c>
      <c r="P140">
        <f>IF(Diákhitel!$D$4="Stratégia 2",IF(AND(D140="Nem",D139="Igen"),M139,0),IF(C140=Évek_száma,M139,MIN(IF(D140="Igen",0,IF(M139=0,0,VLOOKUP(M139,Diákhitel!$R$30:$S$34,2)*Diákhitel!$H$4*6)),M139)))</f>
        <v>0</v>
      </c>
      <c r="Q140">
        <f t="shared" si="15"/>
        <v>0</v>
      </c>
      <c r="R140">
        <f>IF(Diákhitel!$D$4="Stratégia 1",H140-N140,IF(Diákhitel!$D$4="Stratégia 2",I140-N140,J140-N140))</f>
        <v>35300269.534527689</v>
      </c>
      <c r="S140">
        <f>IF(Diákhitel!$D$4="Stratégia 2",H140-I140,0)</f>
        <v>0</v>
      </c>
    </row>
    <row r="141" spans="2:19" x14ac:dyDescent="0.25">
      <c r="B141">
        <v>135</v>
      </c>
      <c r="C141">
        <f t="shared" si="14"/>
        <v>67</v>
      </c>
      <c r="D141" t="str">
        <f>IF(Diákhitel!$B$4&gt;=B141, "Igen", "Nem")</f>
        <v>Nem</v>
      </c>
      <c r="E141">
        <f>IF(D141="Igen",Diákhitel!$I$4,0)</f>
        <v>0</v>
      </c>
      <c r="F141">
        <f>IF(Diákhitel!$J$4="Igen", IF(D141="Igen",Diákhitel!$E$4,0), 0)</f>
        <v>0</v>
      </c>
      <c r="G141">
        <f t="shared" si="17"/>
        <v>0</v>
      </c>
      <c r="H141">
        <f>H140*SQRT(1+r_f)+G141-O141-P141</f>
        <v>36172012.394540884</v>
      </c>
      <c r="I141">
        <f>I140*SQRT(1+r_f)+E141*((1+k)/(1+r_f))^(Félévek_száma/2-C141)+F141/(1+r_f)^(Félévek_száma/2-C141)-O141-P141</f>
        <v>16348867.592412438</v>
      </c>
      <c r="J141">
        <f t="shared" ca="1" si="16"/>
        <v>2752167172.221107</v>
      </c>
      <c r="K141">
        <f ca="1">_xlfn.NORM.INV(RAND(),Diákhitel!$L$4/2,Diákhitel!$M$4)</f>
        <v>6.2310205515412859E-2</v>
      </c>
      <c r="L141">
        <f>L140*SQRT(1+k)+E141-O141</f>
        <v>0</v>
      </c>
      <c r="M141">
        <f t="shared" si="18"/>
        <v>0</v>
      </c>
      <c r="N141">
        <f t="shared" si="19"/>
        <v>0</v>
      </c>
      <c r="O141">
        <f>IF(Diákhitel!$D$4="Stratégia 2",IF(AND(D141="Nem",D140="Igen"),L140*SQRT(1+k),0),IF(C141=Évek_száma,L140*SQRT(1+k),MIN(IF(D141="Igen",0,6*Diákhitel!$H$4*(0.06)),L140*SQRT(1+k))))</f>
        <v>0</v>
      </c>
      <c r="P141">
        <f>IF(Diákhitel!$D$4="Stratégia 2",IF(AND(D141="Nem",D140="Igen"),M140,0),IF(C141=Évek_száma,M140,MIN(IF(D141="Igen",0,IF(M140=0,0,VLOOKUP(M140,Diákhitel!$R$30:$S$34,2)*Diákhitel!$H$4*6)),M140)))</f>
        <v>0</v>
      </c>
      <c r="Q141">
        <f t="shared" si="15"/>
        <v>0</v>
      </c>
      <c r="R141">
        <f>IF(Diákhitel!$D$4="Stratégia 1",H141-N141,IF(Diákhitel!$D$4="Stratégia 2",I141-N141,J141-N141))</f>
        <v>36172012.394540884</v>
      </c>
      <c r="S141">
        <f>IF(Diákhitel!$D$4="Stratégia 2",H141-I141,0)</f>
        <v>0</v>
      </c>
    </row>
    <row r="142" spans="2:19" x14ac:dyDescent="0.25">
      <c r="B142">
        <v>136</v>
      </c>
      <c r="C142">
        <f t="shared" si="14"/>
        <v>67.5</v>
      </c>
      <c r="D142" t="str">
        <f>IF(Diákhitel!$B$4&gt;=B142, "Igen", "Nem")</f>
        <v>Nem</v>
      </c>
      <c r="E142">
        <f>IF(D142="Igen",Diákhitel!$I$4,0)</f>
        <v>0</v>
      </c>
      <c r="F142">
        <f>IF(Diákhitel!$J$4="Igen", IF(D142="Igen",Diákhitel!$E$4,0), 0)</f>
        <v>0</v>
      </c>
      <c r="G142">
        <f t="shared" si="17"/>
        <v>0</v>
      </c>
      <c r="H142">
        <f>H141*SQRT(1+r_f)+G142-O142-P142</f>
        <v>37065283.01125408</v>
      </c>
      <c r="I142">
        <f>I141*SQRT(1+r_f)+E142*((1+k)/(1+r_f))^(Félévek_száma/2-C142)+F142/(1+r_f)^(Félévek_száma/2-C142)-O142-P142</f>
        <v>16752604.12986427</v>
      </c>
      <c r="J142">
        <f t="shared" ca="1" si="16"/>
        <v>2923655274.3349767</v>
      </c>
      <c r="K142">
        <f ca="1">_xlfn.NORM.INV(RAND(),Diákhitel!$L$4/2,Diákhitel!$M$4)</f>
        <v>5.1290927991716237E-2</v>
      </c>
      <c r="L142">
        <f>L141*SQRT(1+k)+E142-O142</f>
        <v>0</v>
      </c>
      <c r="M142">
        <f t="shared" si="18"/>
        <v>0</v>
      </c>
      <c r="N142">
        <f t="shared" si="19"/>
        <v>0</v>
      </c>
      <c r="O142">
        <f>IF(Diákhitel!$D$4="Stratégia 2",IF(AND(D142="Nem",D141="Igen"),L141*SQRT(1+k),0),IF(C142=Évek_száma,L141*SQRT(1+k),MIN(IF(D142="Igen",0,6*Diákhitel!$H$4*(0.06)),L141*SQRT(1+k))))</f>
        <v>0</v>
      </c>
      <c r="P142">
        <f>IF(Diákhitel!$D$4="Stratégia 2",IF(AND(D142="Nem",D141="Igen"),M141,0),IF(C142=Évek_száma,M141,MIN(IF(D142="Igen",0,IF(M141=0,0,VLOOKUP(M141,Diákhitel!$R$30:$S$34,2)*Diákhitel!$H$4*6)),M141)))</f>
        <v>0</v>
      </c>
      <c r="Q142">
        <f t="shared" si="15"/>
        <v>0</v>
      </c>
      <c r="R142">
        <f>IF(Diákhitel!$D$4="Stratégia 1",H142-N142,IF(Diákhitel!$D$4="Stratégia 2",I142-N142,J142-N142))</f>
        <v>37065283.01125408</v>
      </c>
      <c r="S142">
        <f>IF(Diákhitel!$D$4="Stratégia 2",H142-I142,0)</f>
        <v>0</v>
      </c>
    </row>
    <row r="143" spans="2:19" x14ac:dyDescent="0.25">
      <c r="B143">
        <v>137</v>
      </c>
      <c r="C143">
        <f t="shared" si="14"/>
        <v>68</v>
      </c>
      <c r="D143" t="str">
        <f>IF(Diákhitel!$B$4&gt;=B143, "Igen", "Nem")</f>
        <v>Nem</v>
      </c>
      <c r="E143">
        <f>IF(D143="Igen",Diákhitel!$I$4,0)</f>
        <v>0</v>
      </c>
      <c r="F143">
        <f>IF(Diákhitel!$J$4="Igen", IF(D143="Igen",Diákhitel!$E$4,0), 0)</f>
        <v>0</v>
      </c>
      <c r="G143">
        <f t="shared" si="17"/>
        <v>0</v>
      </c>
      <c r="H143">
        <f>H142*SQRT(1+r_f)+G143-O143-P143</f>
        <v>37980613.014267929</v>
      </c>
      <c r="I143">
        <f>I142*SQRT(1+r_f)+E143*((1+k)/(1+r_f))^(Félévek_száma/2-C143)+F143/(1+r_f)^(Félévek_száma/2-C143)-O143-P143</f>
        <v>17166310.972033061</v>
      </c>
      <c r="J143">
        <f t="shared" ca="1" si="16"/>
        <v>3073612266.4834933</v>
      </c>
      <c r="K143">
        <f ca="1">_xlfn.NORM.INV(RAND(),Diákhitel!$L$4/2,Diákhitel!$M$4)</f>
        <v>7.9420397769700293E-2</v>
      </c>
      <c r="L143">
        <f>L142*SQRT(1+k)+E143-O143</f>
        <v>0</v>
      </c>
      <c r="M143">
        <f t="shared" si="18"/>
        <v>0</v>
      </c>
      <c r="N143">
        <f t="shared" si="19"/>
        <v>0</v>
      </c>
      <c r="O143">
        <f>IF(Diákhitel!$D$4="Stratégia 2",IF(AND(D143="Nem",D142="Igen"),L142*SQRT(1+k),0),IF(C143=Évek_száma,L142*SQRT(1+k),MIN(IF(D143="Igen",0,6*Diákhitel!$H$4*(0.06)),L142*SQRT(1+k))))</f>
        <v>0</v>
      </c>
      <c r="P143">
        <f>IF(Diákhitel!$D$4="Stratégia 2",IF(AND(D143="Nem",D142="Igen"),M142,0),IF(C143=Évek_száma,M142,MIN(IF(D143="Igen",0,IF(M142=0,0,VLOOKUP(M142,Diákhitel!$R$30:$S$34,2)*Diákhitel!$H$4*6)),M142)))</f>
        <v>0</v>
      </c>
      <c r="Q143">
        <f t="shared" si="15"/>
        <v>0</v>
      </c>
      <c r="R143">
        <f>IF(Diákhitel!$D$4="Stratégia 1",H143-N143,IF(Diákhitel!$D$4="Stratégia 2",I143-N143,J143-N143))</f>
        <v>37980613.014267929</v>
      </c>
      <c r="S143">
        <f>IF(Diákhitel!$D$4="Stratégia 2",H143-I143,0)</f>
        <v>0</v>
      </c>
    </row>
    <row r="144" spans="2:19" x14ac:dyDescent="0.25">
      <c r="B144">
        <v>138</v>
      </c>
      <c r="C144">
        <f t="shared" si="14"/>
        <v>68.5</v>
      </c>
      <c r="D144" t="str">
        <f>IF(Diákhitel!$B$4&gt;=B144, "Igen", "Nem")</f>
        <v>Nem</v>
      </c>
      <c r="E144">
        <f>IF(D144="Igen",Diákhitel!$I$4,0)</f>
        <v>0</v>
      </c>
      <c r="F144">
        <f>IF(Diákhitel!$J$4="Igen", IF(D144="Igen",Diákhitel!$E$4,0), 0)</f>
        <v>0</v>
      </c>
      <c r="G144">
        <f t="shared" si="17"/>
        <v>0</v>
      </c>
      <c r="H144">
        <f>H143*SQRT(1+r_f)+G144-O144-P144</f>
        <v>38918547.161816791</v>
      </c>
      <c r="I144">
        <f>I143*SQRT(1+r_f)+E144*((1+k)/(1+r_f))^(Félévek_száma/2-C144)+F144/(1+r_f)^(Félévek_száma/2-C144)-O144-P144</f>
        <v>17590234.336357486</v>
      </c>
      <c r="J144">
        <f t="shared" ca="1" si="16"/>
        <v>3317719775.2774425</v>
      </c>
      <c r="K144">
        <f ca="1">_xlfn.NORM.INV(RAND(),Diákhitel!$L$4/2,Diákhitel!$M$4)</f>
        <v>6.3564980110740868E-2</v>
      </c>
      <c r="L144">
        <f>L143*SQRT(1+k)+E144-O144</f>
        <v>0</v>
      </c>
      <c r="M144">
        <f t="shared" si="18"/>
        <v>0</v>
      </c>
      <c r="N144">
        <f t="shared" si="19"/>
        <v>0</v>
      </c>
      <c r="O144">
        <f>IF(Diákhitel!$D$4="Stratégia 2",IF(AND(D144="Nem",D143="Igen"),L143*SQRT(1+k),0),IF(C144=Évek_száma,L143*SQRT(1+k),MIN(IF(D144="Igen",0,6*Diákhitel!$H$4*(0.06)),L143*SQRT(1+k))))</f>
        <v>0</v>
      </c>
      <c r="P144">
        <f>IF(Diákhitel!$D$4="Stratégia 2",IF(AND(D144="Nem",D143="Igen"),M143,0),IF(C144=Évek_száma,M143,MIN(IF(D144="Igen",0,IF(M143=0,0,VLOOKUP(M143,Diákhitel!$R$30:$S$34,2)*Diákhitel!$H$4*6)),M143)))</f>
        <v>0</v>
      </c>
      <c r="Q144">
        <f t="shared" si="15"/>
        <v>0</v>
      </c>
      <c r="R144">
        <f>IF(Diákhitel!$D$4="Stratégia 1",H144-N144,IF(Diákhitel!$D$4="Stratégia 2",I144-N144,J144-N144))</f>
        <v>38918547.161816791</v>
      </c>
      <c r="S144">
        <f>IF(Diákhitel!$D$4="Stratégia 2",H144-I144,0)</f>
        <v>0</v>
      </c>
    </row>
    <row r="145" spans="2:19" x14ac:dyDescent="0.25">
      <c r="B145">
        <v>139</v>
      </c>
      <c r="C145">
        <f t="shared" si="14"/>
        <v>69</v>
      </c>
      <c r="D145" t="str">
        <f>IF(Diákhitel!$B$4&gt;=B145, "Igen", "Nem")</f>
        <v>Nem</v>
      </c>
      <c r="E145">
        <f>IF(D145="Igen",Diákhitel!$I$4,0)</f>
        <v>0</v>
      </c>
      <c r="F145">
        <f>IF(Diákhitel!$J$4="Igen", IF(D145="Igen",Diákhitel!$E$4,0), 0)</f>
        <v>0</v>
      </c>
      <c r="G145">
        <f t="shared" si="17"/>
        <v>0</v>
      </c>
      <c r="H145">
        <f>H144*SQRT(1+r_f)+G145-O145-P145</f>
        <v>39879643.664981335</v>
      </c>
      <c r="I145">
        <f>I144*SQRT(1+r_f)+E145*((1+k)/(1+r_f))^(Félévek_száma/2-C145)+F145/(1+r_f)^(Félévek_száma/2-C145)-O145-P145</f>
        <v>18024626.520634718</v>
      </c>
      <c r="J145">
        <f t="shared" ca="1" si="16"/>
        <v>3528610566.8059649</v>
      </c>
      <c r="K145">
        <f ca="1">_xlfn.NORM.INV(RAND(),Diákhitel!$L$4/2,Diákhitel!$M$4)</f>
        <v>5.928892482032673E-2</v>
      </c>
      <c r="L145">
        <f>L144*SQRT(1+k)+E145-O145</f>
        <v>0</v>
      </c>
      <c r="M145">
        <f t="shared" si="18"/>
        <v>0</v>
      </c>
      <c r="N145">
        <f t="shared" si="19"/>
        <v>0</v>
      </c>
      <c r="O145">
        <f>IF(Diákhitel!$D$4="Stratégia 2",IF(AND(D145="Nem",D144="Igen"),L144*SQRT(1+k),0),IF(C145=Évek_száma,L144*SQRT(1+k),MIN(IF(D145="Igen",0,6*Diákhitel!$H$4*(0.06)),L144*SQRT(1+k))))</f>
        <v>0</v>
      </c>
      <c r="P145">
        <f>IF(Diákhitel!$D$4="Stratégia 2",IF(AND(D145="Nem",D144="Igen"),M144,0),IF(C145=Évek_száma,M144,MIN(IF(D145="Igen",0,IF(M144=0,0,VLOOKUP(M144,Diákhitel!$R$30:$S$34,2)*Diákhitel!$H$4*6)),M144)))</f>
        <v>0</v>
      </c>
      <c r="Q145">
        <f t="shared" si="15"/>
        <v>0</v>
      </c>
      <c r="R145">
        <f>IF(Diákhitel!$D$4="Stratégia 1",H145-N145,IF(Diákhitel!$D$4="Stratégia 2",I145-N145,J145-N145))</f>
        <v>39879643.664981335</v>
      </c>
      <c r="S145">
        <f>IF(Diákhitel!$D$4="Stratégia 2",H145-I145,0)</f>
        <v>0</v>
      </c>
    </row>
    <row r="146" spans="2:19" x14ac:dyDescent="0.25">
      <c r="B146">
        <v>140</v>
      </c>
      <c r="C146">
        <f t="shared" si="14"/>
        <v>69.5</v>
      </c>
      <c r="D146" t="str">
        <f>IF(Diákhitel!$B$4&gt;=B146, "Igen", "Nem")</f>
        <v>Nem</v>
      </c>
      <c r="E146">
        <f>IF(D146="Igen",Diákhitel!$I$4,0)</f>
        <v>0</v>
      </c>
      <c r="F146">
        <f>IF(Diákhitel!$J$4="Igen", IF(D146="Igen",Diákhitel!$E$4,0), 0)</f>
        <v>0</v>
      </c>
      <c r="G146">
        <f t="shared" si="17"/>
        <v>0</v>
      </c>
      <c r="H146">
        <f>H145*SQRT(1+r_f)+G146-O146-P146</f>
        <v>40864474.519907638</v>
      </c>
      <c r="I146">
        <f>I145*SQRT(1+r_f)+E146*((1+k)/(1+r_f))^(Félévek_száma/2-C146)+F146/(1+r_f)^(Félévek_száma/2-C146)-O146-P146</f>
        <v>18469746.053175364</v>
      </c>
      <c r="J146">
        <f t="shared" ca="1" si="16"/>
        <v>3737818093.4215345</v>
      </c>
      <c r="K146">
        <f ca="1">_xlfn.NORM.INV(RAND(),Diákhitel!$L$4/2,Diákhitel!$M$4)</f>
        <v>4.9823824029453428E-2</v>
      </c>
      <c r="L146">
        <f>L145*SQRT(1+k)+E146-O146</f>
        <v>0</v>
      </c>
      <c r="M146">
        <f t="shared" si="18"/>
        <v>0</v>
      </c>
      <c r="N146">
        <f t="shared" si="19"/>
        <v>0</v>
      </c>
      <c r="O146">
        <f>IF(Diákhitel!$D$4="Stratégia 2",IF(AND(D146="Nem",D145="Igen"),L145*SQRT(1+k),0),IF(C146=Évek_száma,L145*SQRT(1+k),MIN(IF(D146="Igen",0,6*Diákhitel!$H$4*(0.06)),L145*SQRT(1+k))))</f>
        <v>0</v>
      </c>
      <c r="P146">
        <f>IF(Diákhitel!$D$4="Stratégia 2",IF(AND(D146="Nem",D145="Igen"),M145,0),IF(C146=Évek_száma,M145,MIN(IF(D146="Igen",0,IF(M145=0,0,VLOOKUP(M145,Diákhitel!$R$30:$S$34,2)*Diákhitel!$H$4*6)),M145)))</f>
        <v>0</v>
      </c>
      <c r="Q146">
        <f t="shared" si="15"/>
        <v>0</v>
      </c>
      <c r="R146">
        <f>IF(Diákhitel!$D$4="Stratégia 1",H146-N146,IF(Diákhitel!$D$4="Stratégia 2",I146-N146,J146-N146))</f>
        <v>40864474.519907638</v>
      </c>
      <c r="S146">
        <f>IF(Diákhitel!$D$4="Stratégia 2",H146-I146,0)</f>
        <v>0</v>
      </c>
    </row>
    <row r="147" spans="2:19" x14ac:dyDescent="0.25">
      <c r="B147">
        <v>141</v>
      </c>
      <c r="C147">
        <f t="shared" si="14"/>
        <v>70</v>
      </c>
      <c r="D147" t="str">
        <f>IF(Diákhitel!$B$4&gt;=B147, "Igen", "Nem")</f>
        <v>Nem</v>
      </c>
      <c r="E147">
        <f>IF(D147="Igen",Diákhitel!$I$4,0)</f>
        <v>0</v>
      </c>
      <c r="F147">
        <f>IF(Diákhitel!$J$4="Igen", IF(D147="Igen",Diákhitel!$E$4,0), 0)</f>
        <v>0</v>
      </c>
      <c r="G147">
        <f t="shared" si="17"/>
        <v>0</v>
      </c>
      <c r="H147">
        <f>H146*SQRT(1+r_f)+G147-O147-P147</f>
        <v>41873625.848230414</v>
      </c>
      <c r="I147">
        <f>I146*SQRT(1+r_f)+E147*((1+k)/(1+r_f))^(Félévek_száma/2-C147)+F147/(1+r_f)^(Félévek_száma/2-C147)-O147-P147</f>
        <v>18925857.846666459</v>
      </c>
      <c r="J147">
        <f t="shared" ca="1" si="16"/>
        <v>3924050484.3622766</v>
      </c>
      <c r="K147">
        <f ca="1">_xlfn.NORM.INV(RAND(),Diákhitel!$L$4/2,Diákhitel!$M$4)</f>
        <v>5.5719811391718117E-2</v>
      </c>
      <c r="L147">
        <f>L146*SQRT(1+k)+E147-O147</f>
        <v>0</v>
      </c>
      <c r="M147">
        <f t="shared" si="18"/>
        <v>0</v>
      </c>
      <c r="N147">
        <f t="shared" si="19"/>
        <v>0</v>
      </c>
      <c r="O147">
        <f>IF(Diákhitel!$D$4="Stratégia 2",IF(AND(D147="Nem",D146="Igen"),L146*SQRT(1+k),0),IF(C147=Évek_száma,L146*SQRT(1+k),MIN(IF(D147="Igen",0,6*Diákhitel!$H$4*(0.06)),L146*SQRT(1+k))))</f>
        <v>0</v>
      </c>
      <c r="P147">
        <f>IF(Diákhitel!$D$4="Stratégia 2",IF(AND(D147="Nem",D146="Igen"),M146,0),IF(C147=Évek_száma,M146,MIN(IF(D147="Igen",0,IF(M146=0,0,VLOOKUP(M146,Diákhitel!$R$30:$S$34,2)*Diákhitel!$H$4*6)),M146)))</f>
        <v>0</v>
      </c>
      <c r="Q147">
        <f t="shared" si="15"/>
        <v>0</v>
      </c>
      <c r="R147">
        <f>IF(Diákhitel!$D$4="Stratégia 1",H147-N147,IF(Diákhitel!$D$4="Stratégia 2",I147-N147,J147-N147))</f>
        <v>41873625.848230414</v>
      </c>
      <c r="S147">
        <f>IF(Diákhitel!$D$4="Stratégia 2",H147-I147,0)</f>
        <v>0</v>
      </c>
    </row>
    <row r="148" spans="2:19" x14ac:dyDescent="0.25">
      <c r="B148">
        <v>142</v>
      </c>
      <c r="C148">
        <f t="shared" si="14"/>
        <v>70.5</v>
      </c>
      <c r="D148" t="str">
        <f>IF(Diákhitel!$B$4&gt;=B148, "Igen", "Nem")</f>
        <v>Nem</v>
      </c>
      <c r="E148">
        <f>IF(D148="Igen",Diákhitel!$I$4,0)</f>
        <v>0</v>
      </c>
      <c r="F148">
        <f>IF(Diákhitel!$J$4="Igen", IF(D148="Igen",Diákhitel!$E$4,0), 0)</f>
        <v>0</v>
      </c>
      <c r="G148">
        <f t="shared" si="17"/>
        <v>0</v>
      </c>
      <c r="H148">
        <f>H147*SQRT(1+r_f)+G148-O148-P148</f>
        <v>42907698.24590303</v>
      </c>
      <c r="I148">
        <f>I147*SQRT(1+r_f)+E148*((1+k)/(1+r_f))^(Félévek_száma/2-C148)+F148/(1+r_f)^(Félévek_száma/2-C148)-O148-P148</f>
        <v>19393233.355834138</v>
      </c>
      <c r="J148">
        <f t="shared" ca="1" si="16"/>
        <v>4142697837.2425227</v>
      </c>
      <c r="K148">
        <f ca="1">_xlfn.NORM.INV(RAND(),Diákhitel!$L$4/2,Diákhitel!$M$4)</f>
        <v>4.9310611684592776E-2</v>
      </c>
      <c r="L148">
        <f>L147*SQRT(1+k)+E148-O148</f>
        <v>0</v>
      </c>
      <c r="M148">
        <f t="shared" si="18"/>
        <v>0</v>
      </c>
      <c r="N148">
        <f t="shared" si="19"/>
        <v>0</v>
      </c>
      <c r="O148">
        <f>IF(Diákhitel!$D$4="Stratégia 2",IF(AND(D148="Nem",D147="Igen"),L147*SQRT(1+k),0),IF(C148=Évek_száma,L147*SQRT(1+k),MIN(IF(D148="Igen",0,6*Diákhitel!$H$4*(0.06)),L147*SQRT(1+k))))</f>
        <v>0</v>
      </c>
      <c r="P148">
        <f>IF(Diákhitel!$D$4="Stratégia 2",IF(AND(D148="Nem",D147="Igen"),M147,0),IF(C148=Évek_száma,M147,MIN(IF(D148="Igen",0,IF(M147=0,0,VLOOKUP(M147,Diákhitel!$R$30:$S$34,2)*Diákhitel!$H$4*6)),M147)))</f>
        <v>0</v>
      </c>
      <c r="Q148">
        <f t="shared" si="15"/>
        <v>0</v>
      </c>
      <c r="R148">
        <f>IF(Diákhitel!$D$4="Stratégia 1",H148-N148,IF(Diákhitel!$D$4="Stratégia 2",I148-N148,J148-N148))</f>
        <v>42907698.24590303</v>
      </c>
      <c r="S148">
        <f>IF(Diákhitel!$D$4="Stratégia 2",H148-I148,0)</f>
        <v>0</v>
      </c>
    </row>
    <row r="149" spans="2:19" x14ac:dyDescent="0.25">
      <c r="B149">
        <v>143</v>
      </c>
      <c r="C149">
        <f t="shared" si="14"/>
        <v>71</v>
      </c>
      <c r="D149" t="str">
        <f>IF(Diákhitel!$B$4&gt;=B149, "Igen", "Nem")</f>
        <v>Nem</v>
      </c>
      <c r="E149">
        <f>IF(D149="Igen",Diákhitel!$I$4,0)</f>
        <v>0</v>
      </c>
      <c r="F149">
        <f>IF(Diákhitel!$J$4="Igen", IF(D149="Igen",Diákhitel!$E$4,0), 0)</f>
        <v>0</v>
      </c>
      <c r="G149">
        <f t="shared" si="17"/>
        <v>0</v>
      </c>
      <c r="H149">
        <f>H148*SQRT(1+r_f)+G149-O149-P149</f>
        <v>43967307.140641943</v>
      </c>
      <c r="I149">
        <f>I148*SQRT(1+r_f)+E149*((1+k)/(1+r_f))^(Félévek_száma/2-C149)+F149/(1+r_f)^(Félévek_száma/2-C149)-O149-P149</f>
        <v>19872150.738999788</v>
      </c>
      <c r="J149">
        <f t="shared" ca="1" si="16"/>
        <v>4346976801.6213913</v>
      </c>
      <c r="K149">
        <f ca="1">_xlfn.NORM.INV(RAND(),Diákhitel!$L$4/2,Diákhitel!$M$4)</f>
        <v>4.1436634989912152E-2</v>
      </c>
      <c r="L149">
        <f>L148*SQRT(1+k)+E149-O149</f>
        <v>0</v>
      </c>
      <c r="M149">
        <f t="shared" si="18"/>
        <v>0</v>
      </c>
      <c r="N149">
        <f t="shared" si="19"/>
        <v>0</v>
      </c>
      <c r="O149">
        <f>IF(Diákhitel!$D$4="Stratégia 2",IF(AND(D149="Nem",D148="Igen"),L148*SQRT(1+k),0),IF(C149=Évek_száma,L148*SQRT(1+k),MIN(IF(D149="Igen",0,6*Diákhitel!$H$4*(0.06)),L148*SQRT(1+k))))</f>
        <v>0</v>
      </c>
      <c r="P149">
        <f>IF(Diákhitel!$D$4="Stratégia 2",IF(AND(D149="Nem",D148="Igen"),M148,0),IF(C149=Évek_száma,M148,MIN(IF(D149="Igen",0,IF(M148=0,0,VLOOKUP(M148,Diákhitel!$R$30:$S$34,2)*Diákhitel!$H$4*6)),M148)))</f>
        <v>0</v>
      </c>
      <c r="Q149">
        <f t="shared" si="15"/>
        <v>0</v>
      </c>
      <c r="R149">
        <f>IF(Diákhitel!$D$4="Stratégia 1",H149-N149,IF(Diákhitel!$D$4="Stratégia 2",I149-N149,J149-N149))</f>
        <v>43967307.140641943</v>
      </c>
      <c r="S149">
        <f>IF(Diákhitel!$D$4="Stratégia 2",H149-I149,0)</f>
        <v>0</v>
      </c>
    </row>
    <row r="150" spans="2:19" x14ac:dyDescent="0.25">
      <c r="B150">
        <v>144</v>
      </c>
      <c r="C150">
        <f t="shared" si="14"/>
        <v>71.5</v>
      </c>
      <c r="D150" t="str">
        <f>IF(Diákhitel!$B$4&gt;=B150, "Igen", "Nem")</f>
        <v>Nem</v>
      </c>
      <c r="E150">
        <f>IF(D150="Igen",Diákhitel!$I$4,0)</f>
        <v>0</v>
      </c>
      <c r="F150">
        <f>IF(Diákhitel!$J$4="Igen", IF(D150="Igen",Diákhitel!$E$4,0), 0)</f>
        <v>0</v>
      </c>
      <c r="G150">
        <f t="shared" si="17"/>
        <v>0</v>
      </c>
      <c r="H150">
        <f>H149*SQRT(1+r_f)+G150-O150-P150</f>
        <v>45053083.158198193</v>
      </c>
      <c r="I150">
        <f>I149*SQRT(1+r_f)+E150*((1+k)/(1+r_f))^(Félévek_száma/2-C150)+F150/(1+r_f)^(Félévek_száma/2-C150)-O150-P150</f>
        <v>20362895.023625851</v>
      </c>
      <c r="J150">
        <f t="shared" ca="1" si="16"/>
        <v>4527100892.6597929</v>
      </c>
      <c r="K150">
        <f ca="1">_xlfn.NORM.INV(RAND(),Diákhitel!$L$4/2,Diákhitel!$M$4)</f>
        <v>4.9790715604555176E-2</v>
      </c>
      <c r="L150">
        <f>L149*SQRT(1+k)+E150-O150</f>
        <v>0</v>
      </c>
      <c r="M150">
        <f t="shared" si="18"/>
        <v>0</v>
      </c>
      <c r="N150">
        <f t="shared" si="19"/>
        <v>0</v>
      </c>
      <c r="O150">
        <f>IF(Diákhitel!$D$4="Stratégia 2",IF(AND(D150="Nem",D149="Igen"),L149*SQRT(1+k),0),IF(C150=Évek_száma,L149*SQRT(1+k),MIN(IF(D150="Igen",0,6*Diákhitel!$H$4*(0.06)),L149*SQRT(1+k))))</f>
        <v>0</v>
      </c>
      <c r="P150">
        <f>IF(Diákhitel!$D$4="Stratégia 2",IF(AND(D150="Nem",D149="Igen"),M149,0),IF(C150=Évek_száma,M149,MIN(IF(D150="Igen",0,IF(M149=0,0,VLOOKUP(M149,Diákhitel!$R$30:$S$34,2)*Diákhitel!$H$4*6)),M149)))</f>
        <v>0</v>
      </c>
      <c r="Q150">
        <f t="shared" si="15"/>
        <v>0</v>
      </c>
      <c r="R150">
        <f>IF(Diákhitel!$D$4="Stratégia 1",H150-N150,IF(Diákhitel!$D$4="Stratégia 2",I150-N150,J150-N150))</f>
        <v>45053083.158198193</v>
      </c>
      <c r="S150">
        <f>IF(Diákhitel!$D$4="Stratégia 2",H150-I150,0)</f>
        <v>0</v>
      </c>
    </row>
    <row r="151" spans="2:19" x14ac:dyDescent="0.25">
      <c r="B151">
        <v>145</v>
      </c>
      <c r="C151">
        <f t="shared" si="14"/>
        <v>72</v>
      </c>
      <c r="D151" t="str">
        <f>IF(Diákhitel!$B$4&gt;=B151, "Igen", "Nem")</f>
        <v>Nem</v>
      </c>
      <c r="E151">
        <f>IF(D151="Igen",Diákhitel!$I$4,0)</f>
        <v>0</v>
      </c>
      <c r="F151">
        <f>IF(Diákhitel!$J$4="Igen", IF(D151="Igen",Diákhitel!$E$4,0), 0)</f>
        <v>0</v>
      </c>
      <c r="G151">
        <f t="shared" si="17"/>
        <v>0</v>
      </c>
      <c r="H151">
        <f>H150*SQRT(1+r_f)+G151-O151-P151</f>
        <v>46165672.497674048</v>
      </c>
      <c r="I151">
        <f>I150*SQRT(1+r_f)+E151*((1+k)/(1+r_f))^(Félévek_száma/2-C151)+F151/(1+r_f)^(Félévek_száma/2-C151)-O151-P151</f>
        <v>20865758.275949784</v>
      </c>
      <c r="J151">
        <f t="shared" ca="1" si="16"/>
        <v>4752508485.7193441</v>
      </c>
      <c r="K151">
        <f ca="1">_xlfn.NORM.INV(RAND(),Diákhitel!$L$4/2,Diákhitel!$M$4)</f>
        <v>5.6552834034930402E-2</v>
      </c>
      <c r="L151">
        <f>L150*SQRT(1+k)+E151-O151</f>
        <v>0</v>
      </c>
      <c r="M151">
        <f t="shared" si="18"/>
        <v>0</v>
      </c>
      <c r="N151">
        <f t="shared" si="19"/>
        <v>0</v>
      </c>
      <c r="O151">
        <f>IF(Diákhitel!$D$4="Stratégia 2",IF(AND(D151="Nem",D150="Igen"),L150*SQRT(1+k),0),IF(C151=Évek_száma,L150*SQRT(1+k),MIN(IF(D151="Igen",0,6*Diákhitel!$H$4*(0.06)),L150*SQRT(1+k))))</f>
        <v>0</v>
      </c>
      <c r="P151">
        <f>IF(Diákhitel!$D$4="Stratégia 2",IF(AND(D151="Nem",D150="Igen"),M150,0),IF(C151=Évek_száma,M150,MIN(IF(D151="Igen",0,IF(M150=0,0,VLOOKUP(M150,Diákhitel!$R$30:$S$34,2)*Diákhitel!$H$4*6)),M150)))</f>
        <v>0</v>
      </c>
      <c r="Q151">
        <f t="shared" si="15"/>
        <v>0</v>
      </c>
      <c r="R151">
        <f>IF(Diákhitel!$D$4="Stratégia 1",H151-N151,IF(Diákhitel!$D$4="Stratégia 2",I151-N151,J151-N151))</f>
        <v>46165672.497674048</v>
      </c>
      <c r="S151">
        <f>IF(Diákhitel!$D$4="Stratégia 2",H151-I151,0)</f>
        <v>0</v>
      </c>
    </row>
    <row r="152" spans="2:19" x14ac:dyDescent="0.25">
      <c r="B152">
        <v>146</v>
      </c>
      <c r="C152">
        <f t="shared" si="14"/>
        <v>72.5</v>
      </c>
      <c r="D152" t="str">
        <f>IF(Diákhitel!$B$4&gt;=B152, "Igen", "Nem")</f>
        <v>Nem</v>
      </c>
      <c r="E152">
        <f>IF(D152="Igen",Diákhitel!$I$4,0)</f>
        <v>0</v>
      </c>
      <c r="F152">
        <f>IF(Diákhitel!$J$4="Igen", IF(D152="Igen",Diákhitel!$E$4,0), 0)</f>
        <v>0</v>
      </c>
      <c r="G152">
        <f t="shared" si="17"/>
        <v>0</v>
      </c>
      <c r="H152">
        <f>H151*SQRT(1+r_f)+G152-O152-P152</f>
        <v>47305737.316108108</v>
      </c>
      <c r="I152">
        <f>I151*SQRT(1+r_f)+E152*((1+k)/(1+r_f))^(Félévek_száma/2-C152)+F152/(1+r_f)^(Félévek_száma/2-C152)-O152-P152</f>
        <v>21381039.774807148</v>
      </c>
      <c r="J152">
        <f t="shared" ca="1" si="16"/>
        <v>5021276309.3618288</v>
      </c>
      <c r="K152">
        <f ca="1">_xlfn.NORM.INV(RAND(),Diákhitel!$L$4/2,Diákhitel!$M$4)</f>
        <v>3.8928890194637661E-2</v>
      </c>
      <c r="L152">
        <f>L151*SQRT(1+k)+E152-O152</f>
        <v>0</v>
      </c>
      <c r="M152">
        <f t="shared" si="18"/>
        <v>0</v>
      </c>
      <c r="N152">
        <f t="shared" si="19"/>
        <v>0</v>
      </c>
      <c r="O152">
        <f>IF(Diákhitel!$D$4="Stratégia 2",IF(AND(D152="Nem",D151="Igen"),L151*SQRT(1+k),0),IF(C152=Évek_száma,L151*SQRT(1+k),MIN(IF(D152="Igen",0,6*Diákhitel!$H$4*(0.06)),L151*SQRT(1+k))))</f>
        <v>0</v>
      </c>
      <c r="P152">
        <f>IF(Diákhitel!$D$4="Stratégia 2",IF(AND(D152="Nem",D151="Igen"),M151,0),IF(C152=Évek_száma,M151,MIN(IF(D152="Igen",0,IF(M151=0,0,VLOOKUP(M151,Diákhitel!$R$30:$S$34,2)*Diákhitel!$H$4*6)),M151)))</f>
        <v>0</v>
      </c>
      <c r="Q152">
        <f t="shared" si="15"/>
        <v>0</v>
      </c>
      <c r="R152">
        <f>IF(Diákhitel!$D$4="Stratégia 1",H152-N152,IF(Diákhitel!$D$4="Stratégia 2",I152-N152,J152-N152))</f>
        <v>47305737.316108108</v>
      </c>
      <c r="S152">
        <f>IF(Diákhitel!$D$4="Stratégia 2",H152-I152,0)</f>
        <v>0</v>
      </c>
    </row>
    <row r="153" spans="2:19" x14ac:dyDescent="0.25">
      <c r="B153">
        <v>147</v>
      </c>
      <c r="C153">
        <f t="shared" si="14"/>
        <v>73</v>
      </c>
      <c r="D153" t="str">
        <f>IF(Diákhitel!$B$4&gt;=B153, "Igen", "Nem")</f>
        <v>Nem</v>
      </c>
      <c r="E153">
        <f>IF(D153="Igen",Diákhitel!$I$4,0)</f>
        <v>0</v>
      </c>
      <c r="F153">
        <f>IF(Diákhitel!$J$4="Igen", IF(D153="Igen",Diákhitel!$E$4,0), 0)</f>
        <v>0</v>
      </c>
      <c r="G153">
        <f t="shared" si="17"/>
        <v>0</v>
      </c>
      <c r="H153">
        <f>H152*SQRT(1+r_f)+G153-O153-P153</f>
        <v>48473956.122557759</v>
      </c>
      <c r="I153">
        <f>I152*SQRT(1+r_f)+E153*((1+k)/(1+r_f))^(Félévek_száma/2-C153)+F153/(1+r_f)^(Félévek_száma/2-C153)-O153-P153</f>
        <v>21909046.189747278</v>
      </c>
      <c r="J153">
        <f t="shared" ca="1" si="16"/>
        <v>5216749023.4459105</v>
      </c>
      <c r="K153">
        <f ca="1">_xlfn.NORM.INV(RAND(),Diákhitel!$L$4/2,Diákhitel!$M$4)</f>
        <v>4.8775310634118565E-2</v>
      </c>
      <c r="L153">
        <f>L152*SQRT(1+k)+E153-O153</f>
        <v>0</v>
      </c>
      <c r="M153">
        <f t="shared" si="18"/>
        <v>0</v>
      </c>
      <c r="N153">
        <f t="shared" si="19"/>
        <v>0</v>
      </c>
      <c r="O153">
        <f>IF(Diákhitel!$D$4="Stratégia 2",IF(AND(D153="Nem",D152="Igen"),L152*SQRT(1+k),0),IF(C153=Évek_száma,L152*SQRT(1+k),MIN(IF(D153="Igen",0,6*Diákhitel!$H$4*(0.06)),L152*SQRT(1+k))))</f>
        <v>0</v>
      </c>
      <c r="P153">
        <f>IF(Diákhitel!$D$4="Stratégia 2",IF(AND(D153="Nem",D152="Igen"),M152,0),IF(C153=Évek_száma,M152,MIN(IF(D153="Igen",0,IF(M152=0,0,VLOOKUP(M152,Diákhitel!$R$30:$S$34,2)*Diákhitel!$H$4*6)),M152)))</f>
        <v>0</v>
      </c>
      <c r="Q153">
        <f t="shared" si="15"/>
        <v>0</v>
      </c>
      <c r="R153">
        <f>IF(Diákhitel!$D$4="Stratégia 1",H153-N153,IF(Diákhitel!$D$4="Stratégia 2",I153-N153,J153-N153))</f>
        <v>48473956.122557759</v>
      </c>
      <c r="S153">
        <f>IF(Diákhitel!$D$4="Stratégia 2",H153-I153,0)</f>
        <v>0</v>
      </c>
    </row>
    <row r="154" spans="2:19" x14ac:dyDescent="0.25">
      <c r="B154">
        <v>148</v>
      </c>
      <c r="C154">
        <f t="shared" si="14"/>
        <v>73.5</v>
      </c>
      <c r="D154" t="str">
        <f>IF(Diákhitel!$B$4&gt;=B154, "Igen", "Nem")</f>
        <v>Nem</v>
      </c>
      <c r="E154">
        <f>IF(D154="Igen",Diákhitel!$I$4,0)</f>
        <v>0</v>
      </c>
      <c r="F154">
        <f>IF(Diákhitel!$J$4="Igen", IF(D154="Igen",Diákhitel!$E$4,0), 0)</f>
        <v>0</v>
      </c>
      <c r="G154">
        <f t="shared" si="17"/>
        <v>0</v>
      </c>
      <c r="H154">
        <f>H153*SQRT(1+r_f)+G154-O154-P154</f>
        <v>49671024.181913525</v>
      </c>
      <c r="I154">
        <f>I153*SQRT(1+r_f)+E154*((1+k)/(1+r_f))^(Félévek_száma/2-C154)+F154/(1+r_f)^(Félévek_száma/2-C154)-O154-P154</f>
        <v>22450091.76354751</v>
      </c>
      <c r="J154">
        <f t="shared" ca="1" si="16"/>
        <v>5471197577.5647202</v>
      </c>
      <c r="K154">
        <f ca="1">_xlfn.NORM.INV(RAND(),Diákhitel!$L$4/2,Diákhitel!$M$4)</f>
        <v>5.1988977086219294E-2</v>
      </c>
      <c r="L154">
        <f>L153*SQRT(1+k)+E154-O154</f>
        <v>0</v>
      </c>
      <c r="M154">
        <f t="shared" si="18"/>
        <v>0</v>
      </c>
      <c r="N154">
        <f t="shared" si="19"/>
        <v>0</v>
      </c>
      <c r="O154">
        <f>IF(Diákhitel!$D$4="Stratégia 2",IF(AND(D154="Nem",D153="Igen"),L153*SQRT(1+k),0),IF(C154=Évek_száma,L153*SQRT(1+k),MIN(IF(D154="Igen",0,6*Diákhitel!$H$4*(0.06)),L153*SQRT(1+k))))</f>
        <v>0</v>
      </c>
      <c r="P154">
        <f>IF(Diákhitel!$D$4="Stratégia 2",IF(AND(D154="Nem",D153="Igen"),M153,0),IF(C154=Évek_száma,M153,MIN(IF(D154="Igen",0,IF(M153=0,0,VLOOKUP(M153,Diákhitel!$R$30:$S$34,2)*Diákhitel!$H$4*6)),M153)))</f>
        <v>0</v>
      </c>
      <c r="Q154">
        <f t="shared" si="15"/>
        <v>0</v>
      </c>
      <c r="R154">
        <f>IF(Diákhitel!$D$4="Stratégia 1",H154-N154,IF(Diákhitel!$D$4="Stratégia 2",I154-N154,J154-N154))</f>
        <v>49671024.181913525</v>
      </c>
      <c r="S154">
        <f>IF(Diákhitel!$D$4="Stratégia 2",H154-I154,0)</f>
        <v>0</v>
      </c>
    </row>
    <row r="155" spans="2:19" x14ac:dyDescent="0.25">
      <c r="B155">
        <v>149</v>
      </c>
      <c r="C155">
        <f t="shared" si="14"/>
        <v>74</v>
      </c>
      <c r="D155" t="str">
        <f>IF(Diákhitel!$B$4&gt;=B155, "Igen", "Nem")</f>
        <v>Nem</v>
      </c>
      <c r="E155">
        <f>IF(D155="Igen",Diákhitel!$I$4,0)</f>
        <v>0</v>
      </c>
      <c r="F155">
        <f>IF(Diákhitel!$J$4="Igen", IF(D155="Igen",Diákhitel!$E$4,0), 0)</f>
        <v>0</v>
      </c>
      <c r="G155">
        <f t="shared" si="17"/>
        <v>0</v>
      </c>
      <c r="H155">
        <f>H154*SQRT(1+r_f)+G155-O155-P155</f>
        <v>50897653.928685658</v>
      </c>
      <c r="I155">
        <f>I154*SQRT(1+r_f)+E155*((1+k)/(1+r_f))^(Félévek_száma/2-C155)+F155/(1+r_f)^(Félévek_száma/2-C155)-O155-P155</f>
        <v>23004498.499234647</v>
      </c>
      <c r="J155">
        <f t="shared" ca="1" si="16"/>
        <v>5755639543.0589104</v>
      </c>
      <c r="K155">
        <f ca="1">_xlfn.NORM.INV(RAND(),Diákhitel!$L$4/2,Diákhitel!$M$4)</f>
        <v>3.1615144081200613E-2</v>
      </c>
      <c r="L155">
        <f>L154*SQRT(1+k)+E155-O155</f>
        <v>0</v>
      </c>
      <c r="M155">
        <f t="shared" si="18"/>
        <v>0</v>
      </c>
      <c r="N155">
        <f t="shared" si="19"/>
        <v>0</v>
      </c>
      <c r="O155">
        <f>IF(Diákhitel!$D$4="Stratégia 2",IF(AND(D155="Nem",D154="Igen"),L154*SQRT(1+k),0),IF(C155=Évek_száma,L154*SQRT(1+k),MIN(IF(D155="Igen",0,6*Diákhitel!$H$4*(0.06)),L154*SQRT(1+k))))</f>
        <v>0</v>
      </c>
      <c r="P155">
        <f>IF(Diákhitel!$D$4="Stratégia 2",IF(AND(D155="Nem",D154="Igen"),M154,0),IF(C155=Évek_száma,M154,MIN(IF(D155="Igen",0,IF(M154=0,0,VLOOKUP(M154,Diákhitel!$R$30:$S$34,2)*Diákhitel!$H$4*6)),M154)))</f>
        <v>0</v>
      </c>
      <c r="Q155">
        <f t="shared" si="15"/>
        <v>0</v>
      </c>
      <c r="R155">
        <f>IF(Diákhitel!$D$4="Stratégia 1",H155-N155,IF(Diákhitel!$D$4="Stratégia 2",I155-N155,J155-N155))</f>
        <v>50897653.928685658</v>
      </c>
      <c r="S155">
        <f>IF(Diákhitel!$D$4="Stratégia 2",H155-I155,0)</f>
        <v>0</v>
      </c>
    </row>
    <row r="156" spans="2:19" x14ac:dyDescent="0.25">
      <c r="B156">
        <v>150</v>
      </c>
      <c r="C156">
        <f t="shared" si="14"/>
        <v>74.5</v>
      </c>
      <c r="D156" t="str">
        <f>IF(Diákhitel!$B$4&gt;=B156, "Igen", "Nem")</f>
        <v>Nem</v>
      </c>
      <c r="E156">
        <f>IF(D156="Igen",Diákhitel!$I$4,0)</f>
        <v>0</v>
      </c>
      <c r="F156">
        <f>IF(Diákhitel!$J$4="Igen", IF(D156="Igen",Diákhitel!$E$4,0), 0)</f>
        <v>0</v>
      </c>
      <c r="G156">
        <f t="shared" si="17"/>
        <v>0</v>
      </c>
      <c r="H156">
        <f>H155*SQRT(1+r_f)+G156-O156-P156</f>
        <v>52154575.391009212</v>
      </c>
      <c r="I156">
        <f>I155*SQRT(1+r_f)+E156*((1+k)/(1+r_f))^(Félévek_száma/2-C156)+F156/(1+r_f)^(Félévek_száma/2-C156)-O156-P156</f>
        <v>23572596.351724893</v>
      </c>
      <c r="J156">
        <f t="shared" ca="1" si="16"/>
        <v>5937604916.4921741</v>
      </c>
      <c r="K156">
        <f ca="1">_xlfn.NORM.INV(RAND(),Diákhitel!$L$4/2,Diákhitel!$M$4)</f>
        <v>5.8689713524401887E-2</v>
      </c>
      <c r="L156">
        <f>L155*SQRT(1+k)+E156-O156</f>
        <v>0</v>
      </c>
      <c r="M156">
        <f t="shared" si="18"/>
        <v>0</v>
      </c>
      <c r="N156">
        <f t="shared" si="19"/>
        <v>0</v>
      </c>
      <c r="O156">
        <f>IF(Diákhitel!$D$4="Stratégia 2",IF(AND(D156="Nem",D155="Igen"),L155*SQRT(1+k),0),IF(C156=Évek_száma,L155*SQRT(1+k),MIN(IF(D156="Igen",0,6*Diákhitel!$H$4*(0.06)),L155*SQRT(1+k))))</f>
        <v>0</v>
      </c>
      <c r="P156">
        <f>IF(Diákhitel!$D$4="Stratégia 2",IF(AND(D156="Nem",D155="Igen"),M155,0),IF(C156=Évek_száma,M155,MIN(IF(D156="Igen",0,IF(M155=0,0,VLOOKUP(M155,Diákhitel!$R$30:$S$34,2)*Diákhitel!$H$4*6)),M155)))</f>
        <v>0</v>
      </c>
      <c r="Q156">
        <f t="shared" si="15"/>
        <v>0</v>
      </c>
      <c r="R156">
        <f>IF(Diákhitel!$D$4="Stratégia 1",H156-N156,IF(Diákhitel!$D$4="Stratégia 2",I156-N156,J156-N156))</f>
        <v>52154575.391009212</v>
      </c>
      <c r="S156">
        <f>IF(Diákhitel!$D$4="Stratégia 2",H156-I156,0)</f>
        <v>0</v>
      </c>
    </row>
    <row r="157" spans="2:19" x14ac:dyDescent="0.25">
      <c r="B157">
        <v>151</v>
      </c>
      <c r="C157">
        <f t="shared" si="14"/>
        <v>75</v>
      </c>
      <c r="D157" t="str">
        <f>IF(Diákhitel!$B$4&gt;=B157, "Igen", "Nem")</f>
        <v>Nem</v>
      </c>
      <c r="E157">
        <f>IF(D157="Igen",Diákhitel!$I$4,0)</f>
        <v>0</v>
      </c>
      <c r="F157">
        <f>IF(Diákhitel!$J$4="Igen", IF(D157="Igen",Diákhitel!$E$4,0), 0)</f>
        <v>0</v>
      </c>
      <c r="G157">
        <f t="shared" si="17"/>
        <v>0</v>
      </c>
      <c r="H157">
        <f>H156*SQRT(1+r_f)+G157-O157-P157</f>
        <v>53442536.625119954</v>
      </c>
      <c r="I157">
        <f>I156*SQRT(1+r_f)+E157*((1+k)/(1+r_f))^(Félévek_száma/2-C157)+F157/(1+r_f)^(Félévek_száma/2-C157)-O157-P157</f>
        <v>24154723.424196385</v>
      </c>
      <c r="J157">
        <f t="shared" ca="1" si="16"/>
        <v>6286081248.0621805</v>
      </c>
      <c r="K157">
        <f ca="1">_xlfn.NORM.INV(RAND(),Diákhitel!$L$4/2,Diákhitel!$M$4)</f>
        <v>4.2814767579759071E-2</v>
      </c>
      <c r="L157">
        <f>L156*SQRT(1+k)+E157-O157</f>
        <v>0</v>
      </c>
      <c r="M157">
        <f t="shared" si="18"/>
        <v>0</v>
      </c>
      <c r="N157">
        <f t="shared" si="19"/>
        <v>0</v>
      </c>
      <c r="O157">
        <f>IF(Diákhitel!$D$4="Stratégia 2",IF(AND(D157="Nem",D156="Igen"),L156*SQRT(1+k),0),IF(C157=Évek_száma,L156*SQRT(1+k),MIN(IF(D157="Igen",0,6*Diákhitel!$H$4*(0.06)),L156*SQRT(1+k))))</f>
        <v>0</v>
      </c>
      <c r="P157">
        <f>IF(Diákhitel!$D$4="Stratégia 2",IF(AND(D157="Nem",D156="Igen"),M156,0),IF(C157=Évek_száma,M156,MIN(IF(D157="Igen",0,IF(M156=0,0,VLOOKUP(M156,Diákhitel!$R$30:$S$34,2)*Diákhitel!$H$4*6)),M156)))</f>
        <v>0</v>
      </c>
      <c r="Q157">
        <f t="shared" si="15"/>
        <v>0</v>
      </c>
      <c r="R157">
        <f>IF(Diákhitel!$D$4="Stratégia 1",H157-N157,IF(Diákhitel!$D$4="Stratégia 2",I157-N157,J157-N157))</f>
        <v>53442536.625119954</v>
      </c>
      <c r="S157">
        <f>IF(Diákhitel!$D$4="Stratégia 2",H157-I157,0)</f>
        <v>0</v>
      </c>
    </row>
    <row r="158" spans="2:19" x14ac:dyDescent="0.25">
      <c r="B158">
        <v>152</v>
      </c>
      <c r="C158">
        <f t="shared" si="14"/>
        <v>75.5</v>
      </c>
      <c r="D158" t="str">
        <f>IF(Diákhitel!$B$4&gt;=B158, "Igen", "Nem")</f>
        <v>Nem</v>
      </c>
      <c r="E158">
        <f>IF(D158="Igen",Diákhitel!$I$4,0)</f>
        <v>0</v>
      </c>
      <c r="F158">
        <f>IF(Diákhitel!$J$4="Igen", IF(D158="Igen",Diákhitel!$E$4,0), 0)</f>
        <v>0</v>
      </c>
      <c r="G158">
        <f t="shared" si="17"/>
        <v>0</v>
      </c>
      <c r="H158">
        <f>H157*SQRT(1+r_f)+G158-O158-P158</f>
        <v>54762304.160559684</v>
      </c>
      <c r="I158">
        <f>I157*SQRT(1+r_f)+E158*((1+k)/(1+r_f))^(Félévek_száma/2-C158)+F158/(1+r_f)^(Félévek_száma/2-C158)-O158-P158</f>
        <v>24751226.169311143</v>
      </c>
      <c r="J158">
        <f t="shared" ca="1" si="16"/>
        <v>6555218355.6854439</v>
      </c>
      <c r="K158">
        <f ca="1">_xlfn.NORM.INV(RAND(),Diákhitel!$L$4/2,Diákhitel!$M$4)</f>
        <v>5.7988760936333275E-2</v>
      </c>
      <c r="L158">
        <f>L157*SQRT(1+k)+E158-O158</f>
        <v>0</v>
      </c>
      <c r="M158">
        <f t="shared" si="18"/>
        <v>0</v>
      </c>
      <c r="N158">
        <f t="shared" si="19"/>
        <v>0</v>
      </c>
      <c r="O158">
        <f>IF(Diákhitel!$D$4="Stratégia 2",IF(AND(D158="Nem",D157="Igen"),L157*SQRT(1+k),0),IF(C158=Évek_száma,L157*SQRT(1+k),MIN(IF(D158="Igen",0,6*Diákhitel!$H$4*(0.06)),L157*SQRT(1+k))))</f>
        <v>0</v>
      </c>
      <c r="P158">
        <f>IF(Diákhitel!$D$4="Stratégia 2",IF(AND(D158="Nem",D157="Igen"),M157,0),IF(C158=Évek_száma,M157,MIN(IF(D158="Igen",0,IF(M157=0,0,VLOOKUP(M157,Diákhitel!$R$30:$S$34,2)*Diákhitel!$H$4*6)),M157)))</f>
        <v>0</v>
      </c>
      <c r="Q158">
        <f t="shared" si="15"/>
        <v>0</v>
      </c>
      <c r="R158">
        <f>IF(Diákhitel!$D$4="Stratégia 1",H158-N158,IF(Diákhitel!$D$4="Stratégia 2",I158-N158,J158-N158))</f>
        <v>54762304.160559684</v>
      </c>
      <c r="S158">
        <f>IF(Diákhitel!$D$4="Stratégia 2",H158-I158,0)</f>
        <v>0</v>
      </c>
    </row>
    <row r="159" spans="2:19" x14ac:dyDescent="0.25">
      <c r="B159">
        <v>153</v>
      </c>
      <c r="C159">
        <f t="shared" si="14"/>
        <v>76</v>
      </c>
      <c r="D159" t="str">
        <f>IF(Diákhitel!$B$4&gt;=B159, "Igen", "Nem")</f>
        <v>Nem</v>
      </c>
      <c r="E159">
        <f>IF(D159="Igen",Diákhitel!$I$4,0)</f>
        <v>0</v>
      </c>
      <c r="F159">
        <f>IF(Diákhitel!$J$4="Igen", IF(D159="Igen",Diákhitel!$E$4,0), 0)</f>
        <v>0</v>
      </c>
      <c r="G159">
        <f t="shared" si="17"/>
        <v>0</v>
      </c>
      <c r="H159">
        <f>H158*SQRT(1+r_f)+G159-O159-P159</f>
        <v>56114663.456375964</v>
      </c>
      <c r="I159">
        <f>I158*SQRT(1+r_f)+E159*((1+k)/(1+r_f))^(Félévek_száma/2-C159)+F159/(1+r_f)^(Félévek_száma/2-C159)-O159-P159</f>
        <v>25362459.595406208</v>
      </c>
      <c r="J159">
        <f t="shared" ca="1" si="16"/>
        <v>6935347345.7987499</v>
      </c>
      <c r="K159">
        <f ca="1">_xlfn.NORM.INV(RAND(),Diákhitel!$L$4/2,Diákhitel!$M$4)</f>
        <v>3.9402784734716603E-2</v>
      </c>
      <c r="L159">
        <f>L158*SQRT(1+k)+E159-O159</f>
        <v>0</v>
      </c>
      <c r="M159">
        <f t="shared" si="18"/>
        <v>0</v>
      </c>
      <c r="N159">
        <f t="shared" si="19"/>
        <v>0</v>
      </c>
      <c r="O159">
        <f>IF(Diákhitel!$D$4="Stratégia 2",IF(AND(D159="Nem",D158="Igen"),L158*SQRT(1+k),0),IF(C159=Évek_száma,L158*SQRT(1+k),MIN(IF(D159="Igen",0,6*Diákhitel!$H$4*(0.06)),L158*SQRT(1+k))))</f>
        <v>0</v>
      </c>
      <c r="P159">
        <f>IF(Diákhitel!$D$4="Stratégia 2",IF(AND(D159="Nem",D158="Igen"),M158,0),IF(C159=Évek_száma,M158,MIN(IF(D159="Igen",0,IF(M158=0,0,VLOOKUP(M158,Diákhitel!$R$30:$S$34,2)*Diákhitel!$H$4*6)),M158)))</f>
        <v>0</v>
      </c>
      <c r="Q159">
        <f t="shared" si="15"/>
        <v>0</v>
      </c>
      <c r="R159">
        <f>IF(Diákhitel!$D$4="Stratégia 1",H159-N159,IF(Diákhitel!$D$4="Stratégia 2",I159-N159,J159-N159))</f>
        <v>56114663.456375964</v>
      </c>
      <c r="S159">
        <f>IF(Diákhitel!$D$4="Stratégia 2",H159-I159,0)</f>
        <v>0</v>
      </c>
    </row>
    <row r="160" spans="2:19" x14ac:dyDescent="0.25">
      <c r="B160">
        <v>154</v>
      </c>
      <c r="C160">
        <f t="shared" si="14"/>
        <v>76.5</v>
      </c>
      <c r="D160" t="str">
        <f>IF(Diákhitel!$B$4&gt;=B160, "Igen", "Nem")</f>
        <v>Nem</v>
      </c>
      <c r="E160">
        <f>IF(D160="Igen",Diákhitel!$I$4,0)</f>
        <v>0</v>
      </c>
      <c r="F160">
        <f>IF(Diákhitel!$J$4="Igen", IF(D160="Igen",Diákhitel!$E$4,0), 0)</f>
        <v>0</v>
      </c>
      <c r="G160">
        <f t="shared" si="17"/>
        <v>0</v>
      </c>
      <c r="H160">
        <f>H159*SQRT(1+r_f)+G160-O160-P160</f>
        <v>57500419.36858768</v>
      </c>
      <c r="I160">
        <f>I159*SQRT(1+r_f)+E160*((1+k)/(1+r_f))^(Félévek_száma/2-C160)+F160/(1+r_f)^(Félévek_száma/2-C160)-O160-P160</f>
        <v>25988787.477776702</v>
      </c>
      <c r="J160">
        <f t="shared" ca="1" si="16"/>
        <v>7208619344.3257465</v>
      </c>
      <c r="K160">
        <f ca="1">_xlfn.NORM.INV(RAND(),Diákhitel!$L$4/2,Diákhitel!$M$4)</f>
        <v>4.9251333620640478E-2</v>
      </c>
      <c r="L160">
        <f>L159*SQRT(1+k)+E160-O160</f>
        <v>0</v>
      </c>
      <c r="M160">
        <f t="shared" si="18"/>
        <v>0</v>
      </c>
      <c r="N160">
        <f t="shared" si="19"/>
        <v>0</v>
      </c>
      <c r="O160">
        <f>IF(Diákhitel!$D$4="Stratégia 2",IF(AND(D160="Nem",D159="Igen"),L159*SQRT(1+k),0),IF(C160=Évek_száma,L159*SQRT(1+k),MIN(IF(D160="Igen",0,6*Diákhitel!$H$4*(0.06)),L159*SQRT(1+k))))</f>
        <v>0</v>
      </c>
      <c r="P160">
        <f>IF(Diákhitel!$D$4="Stratégia 2",IF(AND(D160="Nem",D159="Igen"),M159,0),IF(C160=Évek_száma,M159,MIN(IF(D160="Igen",0,IF(M159=0,0,VLOOKUP(M159,Diákhitel!$R$30:$S$34,2)*Diákhitel!$H$4*6)),M159)))</f>
        <v>0</v>
      </c>
      <c r="Q160">
        <f t="shared" si="15"/>
        <v>0</v>
      </c>
      <c r="R160">
        <f>IF(Diákhitel!$D$4="Stratégia 1",H160-N160,IF(Diákhitel!$D$4="Stratégia 2",I160-N160,J160-N160))</f>
        <v>57500419.36858768</v>
      </c>
      <c r="S160">
        <f>IF(Diákhitel!$D$4="Stratégia 2",H160-I160,0)</f>
        <v>0</v>
      </c>
    </row>
    <row r="161" spans="2:19" x14ac:dyDescent="0.25">
      <c r="B161">
        <v>155</v>
      </c>
      <c r="C161">
        <f t="shared" si="14"/>
        <v>77</v>
      </c>
      <c r="D161" t="str">
        <f>IF(Diákhitel!$B$4&gt;=B161, "Igen", "Nem")</f>
        <v>Nem</v>
      </c>
      <c r="E161">
        <f>IF(D161="Igen",Diákhitel!$I$4,0)</f>
        <v>0</v>
      </c>
      <c r="F161">
        <f>IF(Diákhitel!$J$4="Igen", IF(D161="Igen",Diákhitel!$E$4,0), 0)</f>
        <v>0</v>
      </c>
      <c r="G161">
        <f t="shared" si="17"/>
        <v>0</v>
      </c>
      <c r="H161">
        <f>H160*SQRT(1+r_f)+G161-O161-P161</f>
        <v>58920396.629194774</v>
      </c>
      <c r="I161">
        <f>I160*SQRT(1+r_f)+E161*((1+k)/(1+r_f))^(Félévek_száma/2-C161)+F161/(1+r_f)^(Félévek_száma/2-C161)-O161-P161</f>
        <v>26630582.575176522</v>
      </c>
      <c r="J161">
        <f t="shared" ca="1" si="16"/>
        <v>7563653460.5973358</v>
      </c>
      <c r="K161">
        <f ca="1">_xlfn.NORM.INV(RAND(),Diákhitel!$L$4/2,Diákhitel!$M$4)</f>
        <v>4.336758765583771E-2</v>
      </c>
      <c r="L161">
        <f>L160*SQRT(1+k)+E161-O161</f>
        <v>0</v>
      </c>
      <c r="M161">
        <f t="shared" si="18"/>
        <v>0</v>
      </c>
      <c r="N161">
        <f t="shared" si="19"/>
        <v>0</v>
      </c>
      <c r="O161">
        <f>IF(Diákhitel!$D$4="Stratégia 2",IF(AND(D161="Nem",D160="Igen"),L160*SQRT(1+k),0),IF(C161=Évek_száma,L160*SQRT(1+k),MIN(IF(D161="Igen",0,6*Diákhitel!$H$4*(0.06)),L160*SQRT(1+k))))</f>
        <v>0</v>
      </c>
      <c r="P161">
        <f>IF(Diákhitel!$D$4="Stratégia 2",IF(AND(D161="Nem",D160="Igen"),M160,0),IF(C161=Évek_száma,M160,MIN(IF(D161="Igen",0,IF(M160=0,0,VLOOKUP(M160,Diákhitel!$R$30:$S$34,2)*Diákhitel!$H$4*6)),M160)))</f>
        <v>0</v>
      </c>
      <c r="Q161">
        <f t="shared" si="15"/>
        <v>0</v>
      </c>
      <c r="R161">
        <f>IF(Diákhitel!$D$4="Stratégia 1",H161-N161,IF(Diákhitel!$D$4="Stratégia 2",I161-N161,J161-N161))</f>
        <v>58920396.629194774</v>
      </c>
      <c r="S161">
        <f>IF(Diákhitel!$D$4="Stratégia 2",H161-I161,0)</f>
        <v>0</v>
      </c>
    </row>
    <row r="162" spans="2:19" x14ac:dyDescent="0.25">
      <c r="B162">
        <v>156</v>
      </c>
      <c r="C162">
        <f t="shared" si="14"/>
        <v>77.5</v>
      </c>
      <c r="D162" t="str">
        <f>IF(Diákhitel!$B$4&gt;=B162, "Igen", "Nem")</f>
        <v>Nem</v>
      </c>
      <c r="E162">
        <f>IF(D162="Igen",Diákhitel!$I$4,0)</f>
        <v>0</v>
      </c>
      <c r="F162">
        <f>IF(Diákhitel!$J$4="Igen", IF(D162="Igen",Diákhitel!$E$4,0), 0)</f>
        <v>0</v>
      </c>
      <c r="G162">
        <f t="shared" si="17"/>
        <v>0</v>
      </c>
      <c r="H162">
        <f>H161*SQRT(1+r_f)+G162-O162-P162</f>
        <v>60375440.337017082</v>
      </c>
      <c r="I162">
        <f>I161*SQRT(1+r_f)+E162*((1+k)/(1+r_f))^(Félévek_száma/2-C162)+F162/(1+r_f)^(Félévek_száma/2-C162)-O162-P162</f>
        <v>27288226.851665542</v>
      </c>
      <c r="J162">
        <f t="shared" ca="1" si="16"/>
        <v>7891670865.048171</v>
      </c>
      <c r="K162">
        <f ca="1">_xlfn.NORM.INV(RAND(),Diákhitel!$L$4/2,Diákhitel!$M$4)</f>
        <v>5.9831483797853094E-2</v>
      </c>
      <c r="L162">
        <f>L161*SQRT(1+k)+E162-O162</f>
        <v>0</v>
      </c>
      <c r="M162">
        <f t="shared" si="18"/>
        <v>0</v>
      </c>
      <c r="N162">
        <f t="shared" si="19"/>
        <v>0</v>
      </c>
      <c r="O162">
        <f>IF(Diákhitel!$D$4="Stratégia 2",IF(AND(D162="Nem",D161="Igen"),L161*SQRT(1+k),0),IF(C162=Évek_száma,L161*SQRT(1+k),MIN(IF(D162="Igen",0,6*Diákhitel!$H$4*(0.06)),L161*SQRT(1+k))))</f>
        <v>0</v>
      </c>
      <c r="P162">
        <f>IF(Diákhitel!$D$4="Stratégia 2",IF(AND(D162="Nem",D161="Igen"),M161,0),IF(C162=Évek_száma,M161,MIN(IF(D162="Igen",0,IF(M161=0,0,VLOOKUP(M161,Diákhitel!$R$30:$S$34,2)*Diákhitel!$H$4*6)),M161)))</f>
        <v>0</v>
      </c>
      <c r="Q162">
        <f t="shared" si="15"/>
        <v>0</v>
      </c>
      <c r="R162">
        <f>IF(Diákhitel!$D$4="Stratégia 1",H162-N162,IF(Diákhitel!$D$4="Stratégia 2",I162-N162,J162-N162))</f>
        <v>60375440.337017082</v>
      </c>
      <c r="S162">
        <f>IF(Diákhitel!$D$4="Stratégia 2",H162-I162,0)</f>
        <v>0</v>
      </c>
    </row>
    <row r="163" spans="2:19" x14ac:dyDescent="0.25">
      <c r="B163">
        <v>157</v>
      </c>
      <c r="C163">
        <f t="shared" si="14"/>
        <v>78</v>
      </c>
      <c r="D163" t="str">
        <f>IF(Diákhitel!$B$4&gt;=B163, "Igen", "Nem")</f>
        <v>Nem</v>
      </c>
      <c r="E163">
        <f>IF(D163="Igen",Diákhitel!$I$4,0)</f>
        <v>0</v>
      </c>
      <c r="F163">
        <f>IF(Diákhitel!$J$4="Igen", IF(D163="Igen",Diákhitel!$E$4,0), 0)</f>
        <v>0</v>
      </c>
      <c r="G163">
        <f t="shared" si="17"/>
        <v>0</v>
      </c>
      <c r="H163">
        <f>H162*SQRT(1+r_f)+G163-O163-P163</f>
        <v>61866416.460654527</v>
      </c>
      <c r="I163">
        <f>I162*SQRT(1+r_f)+E163*((1+k)/(1+r_f))^(Félévek_száma/2-C163)+F163/(1+r_f)^(Félévek_száma/2-C163)-O163-P163</f>
        <v>27962111.703935351</v>
      </c>
      <c r="J163">
        <f t="shared" ca="1" si="16"/>
        <v>8363841242.5482903</v>
      </c>
      <c r="K163">
        <f ca="1">_xlfn.NORM.INV(RAND(),Diákhitel!$L$4/2,Diákhitel!$M$4)</f>
        <v>4.1345090925892253E-2</v>
      </c>
      <c r="L163">
        <f>L162*SQRT(1+k)+E163-O163</f>
        <v>0</v>
      </c>
      <c r="M163">
        <f t="shared" si="18"/>
        <v>0</v>
      </c>
      <c r="N163">
        <f t="shared" si="19"/>
        <v>0</v>
      </c>
      <c r="O163">
        <f>IF(Diákhitel!$D$4="Stratégia 2",IF(AND(D163="Nem",D162="Igen"),L162*SQRT(1+k),0),IF(C163=Évek_száma,L162*SQRT(1+k),MIN(IF(D163="Igen",0,6*Diákhitel!$H$4*(0.06)),L162*SQRT(1+k))))</f>
        <v>0</v>
      </c>
      <c r="P163">
        <f>IF(Diákhitel!$D$4="Stratégia 2",IF(AND(D163="Nem",D162="Igen"),M162,0),IF(C163=Évek_száma,M162,MIN(IF(D163="Igen",0,IF(M162=0,0,VLOOKUP(M162,Diákhitel!$R$30:$S$34,2)*Diákhitel!$H$4*6)),M162)))</f>
        <v>0</v>
      </c>
      <c r="Q163">
        <f t="shared" si="15"/>
        <v>0</v>
      </c>
      <c r="R163">
        <f>IF(Diákhitel!$D$4="Stratégia 1",H163-N163,IF(Diákhitel!$D$4="Stratégia 2",I163-N163,J163-N163))</f>
        <v>61866416.460654527</v>
      </c>
      <c r="S163">
        <f>IF(Diákhitel!$D$4="Stratégia 2",H163-I163,0)</f>
        <v>0</v>
      </c>
    </row>
    <row r="164" spans="2:19" x14ac:dyDescent="0.25">
      <c r="B164">
        <v>158</v>
      </c>
      <c r="C164">
        <f t="shared" si="14"/>
        <v>78.5</v>
      </c>
      <c r="D164" t="str">
        <f>IF(Diákhitel!$B$4&gt;=B164, "Igen", "Nem")</f>
        <v>Nem</v>
      </c>
      <c r="E164">
        <f>IF(D164="Igen",Diákhitel!$I$4,0)</f>
        <v>0</v>
      </c>
      <c r="F164">
        <f>IF(Diákhitel!$J$4="Igen", IF(D164="Igen",Diákhitel!$E$4,0), 0)</f>
        <v>0</v>
      </c>
      <c r="G164">
        <f t="shared" si="17"/>
        <v>0</v>
      </c>
      <c r="H164">
        <f>H163*SQRT(1+r_f)+G164-O164-P164</f>
        <v>63394212.353867948</v>
      </c>
      <c r="I164">
        <f>I163*SQRT(1+r_f)+E164*((1+k)/(1+r_f))^(Félévek_száma/2-C164)+F164/(1+r_f)^(Félévek_száma/2-C164)-O164-P164</f>
        <v>28652638.194248822</v>
      </c>
      <c r="J164">
        <f t="shared" ca="1" si="16"/>
        <v>8709645019.2111778</v>
      </c>
      <c r="K164">
        <f ca="1">_xlfn.NORM.INV(RAND(),Diákhitel!$L$4/2,Diákhitel!$M$4)</f>
        <v>4.611554124142947E-2</v>
      </c>
      <c r="L164">
        <f>L163*SQRT(1+k)+E164-O164</f>
        <v>0</v>
      </c>
      <c r="M164">
        <f t="shared" si="18"/>
        <v>0</v>
      </c>
      <c r="N164">
        <f t="shared" si="19"/>
        <v>0</v>
      </c>
      <c r="O164">
        <f>IF(Diákhitel!$D$4="Stratégia 2",IF(AND(D164="Nem",D163="Igen"),L163*SQRT(1+k),0),IF(C164=Évek_száma,L163*SQRT(1+k),MIN(IF(D164="Igen",0,6*Diákhitel!$H$4*(0.06)),L163*SQRT(1+k))))</f>
        <v>0</v>
      </c>
      <c r="P164">
        <f>IF(Diákhitel!$D$4="Stratégia 2",IF(AND(D164="Nem",D163="Igen"),M163,0),IF(C164=Évek_száma,M163,MIN(IF(D164="Igen",0,IF(M163=0,0,VLOOKUP(M163,Diákhitel!$R$30:$S$34,2)*Diákhitel!$H$4*6)),M163)))</f>
        <v>0</v>
      </c>
      <c r="Q164">
        <f t="shared" si="15"/>
        <v>0</v>
      </c>
      <c r="R164">
        <f>IF(Diákhitel!$D$4="Stratégia 1",H164-N164,IF(Diákhitel!$D$4="Stratégia 2",I164-N164,J164-N164))</f>
        <v>63394212.353867948</v>
      </c>
      <c r="S164">
        <f>IF(Diákhitel!$D$4="Stratégia 2",H164-I164,0)</f>
        <v>0</v>
      </c>
    </row>
    <row r="165" spans="2:19" x14ac:dyDescent="0.25">
      <c r="B165">
        <v>159</v>
      </c>
      <c r="C165">
        <f t="shared" si="14"/>
        <v>79</v>
      </c>
      <c r="D165" t="str">
        <f>IF(Diákhitel!$B$4&gt;=B165, "Igen", "Nem")</f>
        <v>Nem</v>
      </c>
      <c r="E165">
        <f>IF(D165="Igen",Diákhitel!$I$4,0)</f>
        <v>0</v>
      </c>
      <c r="F165">
        <f>IF(Diákhitel!$J$4="Igen", IF(D165="Igen",Diákhitel!$E$4,0), 0)</f>
        <v>0</v>
      </c>
      <c r="G165">
        <f t="shared" si="17"/>
        <v>0</v>
      </c>
      <c r="H165">
        <f>H164*SQRT(1+r_f)+G165-O165-P165</f>
        <v>64959737.283687264</v>
      </c>
      <c r="I165">
        <f>I164*SQRT(1+r_f)+E165*((1+k)/(1+r_f))^(Félévek_száma/2-C165)+F165/(1+r_f)^(Félévek_száma/2-C165)-O165-P165</f>
        <v>29360217.289132122</v>
      </c>
      <c r="J165">
        <f t="shared" ca="1" si="16"/>
        <v>9111295013.29282</v>
      </c>
      <c r="K165">
        <f ca="1">_xlfn.NORM.INV(RAND(),Diákhitel!$L$4/2,Diákhitel!$M$4)</f>
        <v>5.0995646275369823E-2</v>
      </c>
      <c r="L165">
        <f>L164*SQRT(1+k)+E165-O165</f>
        <v>0</v>
      </c>
      <c r="M165">
        <f t="shared" si="18"/>
        <v>0</v>
      </c>
      <c r="N165">
        <f t="shared" si="19"/>
        <v>0</v>
      </c>
      <c r="O165">
        <f>IF(Diákhitel!$D$4="Stratégia 2",IF(AND(D165="Nem",D164="Igen"),L164*SQRT(1+k),0),IF(C165=Évek_száma,L164*SQRT(1+k),MIN(IF(D165="Igen",0,6*Diákhitel!$H$4*(0.06)),L164*SQRT(1+k))))</f>
        <v>0</v>
      </c>
      <c r="P165">
        <f>IF(Diákhitel!$D$4="Stratégia 2",IF(AND(D165="Nem",D164="Igen"),M164,0),IF(C165=Évek_száma,M164,MIN(IF(D165="Igen",0,IF(M164=0,0,VLOOKUP(M164,Diákhitel!$R$30:$S$34,2)*Diákhitel!$H$4*6)),M164)))</f>
        <v>0</v>
      </c>
      <c r="Q165">
        <f t="shared" si="15"/>
        <v>0</v>
      </c>
      <c r="R165">
        <f>IF(Diákhitel!$D$4="Stratégia 1",H165-N165,IF(Diákhitel!$D$4="Stratégia 2",I165-N165,J165-N165))</f>
        <v>64959737.283687264</v>
      </c>
      <c r="S165">
        <f>IF(Diákhitel!$D$4="Stratégia 2",H165-I165,0)</f>
        <v>0</v>
      </c>
    </row>
    <row r="166" spans="2:19" x14ac:dyDescent="0.25">
      <c r="B166">
        <v>160</v>
      </c>
      <c r="C166">
        <f t="shared" si="14"/>
        <v>79.5</v>
      </c>
      <c r="D166" t="str">
        <f>IF(Diákhitel!$B$4&gt;=B166, "Igen", "Nem")</f>
        <v>Nem</v>
      </c>
      <c r="E166">
        <f>IF(D166="Igen",Diákhitel!$I$4,0)</f>
        <v>0</v>
      </c>
      <c r="F166">
        <f>IF(Diákhitel!$J$4="Igen", IF(D166="Igen",Diákhitel!$E$4,0), 0)</f>
        <v>0</v>
      </c>
      <c r="G166">
        <f t="shared" si="17"/>
        <v>0</v>
      </c>
      <c r="H166">
        <f>H165*SQRT(1+r_f)+G166-O166-P166</f>
        <v>66563922.971561357</v>
      </c>
      <c r="I166">
        <f>I165*SQRT(1+r_f)+E166*((1+k)/(1+r_f))^(Félévek_száma/2-C166)+F166/(1+r_f)^(Félévek_száma/2-C166)-O166-P166</f>
        <v>30085270.103961267</v>
      </c>
      <c r="J166">
        <f t="shared" ca="1" si="16"/>
        <v>9575931390.9012413</v>
      </c>
      <c r="K166">
        <f ca="1">_xlfn.NORM.INV(RAND(),Diákhitel!$L$4/2,Diákhitel!$M$4)</f>
        <v>4.2578911143046905E-2</v>
      </c>
      <c r="L166">
        <f>L165*SQRT(1+k)+E166-O166</f>
        <v>0</v>
      </c>
      <c r="M166">
        <f t="shared" si="18"/>
        <v>0</v>
      </c>
      <c r="N166">
        <f t="shared" si="19"/>
        <v>0</v>
      </c>
      <c r="O166">
        <f>IF(Diákhitel!$D$4="Stratégia 2",IF(AND(D166="Nem",D165="Igen"),L165*SQRT(1+k),0),IF(C166=Évek_száma,L165*SQRT(1+k),MIN(IF(D166="Igen",0,6*Diákhitel!$H$4*(0.06)),L165*SQRT(1+k))))</f>
        <v>0</v>
      </c>
      <c r="P166">
        <f>IF(Diákhitel!$D$4="Stratégia 2",IF(AND(D166="Nem",D165="Igen"),M165,0),IF(C166=Évek_száma,M165,MIN(IF(D166="Igen",0,IF(M165=0,0,VLOOKUP(M165,Diákhitel!$R$30:$S$34,2)*Diákhitel!$H$4*6)),M165)))</f>
        <v>0</v>
      </c>
      <c r="Q166">
        <f t="shared" si="15"/>
        <v>0</v>
      </c>
      <c r="R166">
        <f>IF(Diákhitel!$D$4="Stratégia 1",H166-N166,IF(Diákhitel!$D$4="Stratégia 2",I166-N166,J166-N166))</f>
        <v>66563922.971561357</v>
      </c>
      <c r="S166">
        <f>IF(Diákhitel!$D$4="Stratégia 2",H166-I166,0)</f>
        <v>0</v>
      </c>
    </row>
    <row r="167" spans="2:19" x14ac:dyDescent="0.25">
      <c r="B167">
        <v>161</v>
      </c>
      <c r="C167">
        <f t="shared" si="14"/>
        <v>80</v>
      </c>
      <c r="D167" t="str">
        <f>IF(Diákhitel!$B$4&gt;=B167, "Igen", "Nem")</f>
        <v>Nem</v>
      </c>
      <c r="E167">
        <f>IF(D167="Igen",Diákhitel!$I$4,0)</f>
        <v>0</v>
      </c>
      <c r="F167">
        <f>IF(Diákhitel!$J$4="Igen", IF(D167="Igen",Diákhitel!$E$4,0), 0)</f>
        <v>0</v>
      </c>
      <c r="G167">
        <f t="shared" si="17"/>
        <v>0</v>
      </c>
      <c r="H167">
        <f>H166*SQRT(1+r_f)+G167-O167-P167</f>
        <v>68207724.147871643</v>
      </c>
      <c r="I167">
        <f>I166*SQRT(1+r_f)+E167*((1+k)/(1+r_f))^(Félévek_száma/2-C167)+F167/(1+r_f)^(Félévek_száma/2-C167)-O167-P167</f>
        <v>30828228.153588735</v>
      </c>
      <c r="J167">
        <f t="shared" ca="1" si="16"/>
        <v>9983664122.7063408</v>
      </c>
      <c r="K167">
        <f ca="1">_xlfn.NORM.INV(RAND(),Diákhitel!$L$4/2,Diákhitel!$M$4)</f>
        <v>3.808039132590748E-2</v>
      </c>
      <c r="L167">
        <f>L166*SQRT(1+k)+E167-O167</f>
        <v>0</v>
      </c>
      <c r="M167">
        <f t="shared" si="18"/>
        <v>0</v>
      </c>
      <c r="N167">
        <f t="shared" si="19"/>
        <v>0</v>
      </c>
      <c r="O167">
        <f>IF(Diákhitel!$D$4="Stratégia 2",IF(AND(D167="Nem",D166="Igen"),L166*SQRT(1+k),0),IF(C167=Évek_száma,L166*SQRT(1+k),MIN(IF(D167="Igen",0,6*Diákhitel!$H$4*(0.06)),L166*SQRT(1+k))))</f>
        <v>0</v>
      </c>
      <c r="P167">
        <f>IF(Diákhitel!$D$4="Stratégia 2",IF(AND(D167="Nem",D166="Igen"),M166,0),IF(C167=Évek_száma,M166,MIN(IF(D167="Igen",0,IF(M166=0,0,VLOOKUP(M166,Diákhitel!$R$30:$S$34,2)*Diákhitel!$H$4*6)),M166)))</f>
        <v>0</v>
      </c>
      <c r="Q167">
        <f t="shared" si="15"/>
        <v>0</v>
      </c>
      <c r="R167">
        <f>IF(Diákhitel!$D$4="Stratégia 1",H167-N167,IF(Diákhitel!$D$4="Stratégia 2",I167-N167,J167-N167))</f>
        <v>68207724.147871643</v>
      </c>
      <c r="S167">
        <f>IF(Diákhitel!$D$4="Stratégia 2",H167-I167,0)</f>
        <v>0</v>
      </c>
    </row>
    <row r="168" spans="2:19" x14ac:dyDescent="0.25">
      <c r="B168">
        <v>162</v>
      </c>
      <c r="C168">
        <f t="shared" si="14"/>
        <v>80.5</v>
      </c>
      <c r="D168" t="str">
        <f>IF(Diákhitel!$B$4&gt;=B168, "Igen", "Nem")</f>
        <v>Nem</v>
      </c>
      <c r="E168">
        <f>IF(D168="Igen",Diákhitel!$I$4,0)</f>
        <v>0</v>
      </c>
      <c r="F168">
        <f>IF(Diákhitel!$J$4="Igen", IF(D168="Igen",Diákhitel!$E$4,0), 0)</f>
        <v>0</v>
      </c>
      <c r="G168">
        <f t="shared" si="17"/>
        <v>0</v>
      </c>
      <c r="H168">
        <f>H167*SQRT(1+r_f)+G168-O168-P168</f>
        <v>69892119.120139435</v>
      </c>
      <c r="I168">
        <f>I167*SQRT(1+r_f)+E168*((1+k)/(1+r_f))^(Félévek_száma/2-C168)+F168/(1+r_f)^(Félévek_száma/2-C168)-O168-P168</f>
        <v>31589533.609159335</v>
      </c>
      <c r="J168">
        <f t="shared" ca="1" si="16"/>
        <v>10363845959.365421</v>
      </c>
      <c r="K168">
        <f ca="1">_xlfn.NORM.INV(RAND(),Diákhitel!$L$4/2,Diákhitel!$M$4)</f>
        <v>3.7677597657565225E-2</v>
      </c>
      <c r="L168">
        <f>L167*SQRT(1+k)+E168-O168</f>
        <v>0</v>
      </c>
      <c r="M168">
        <f t="shared" si="18"/>
        <v>0</v>
      </c>
      <c r="N168">
        <f t="shared" si="19"/>
        <v>0</v>
      </c>
      <c r="O168">
        <f>IF(Diákhitel!$D$4="Stratégia 2",IF(AND(D168="Nem",D167="Igen"),L167*SQRT(1+k),0),IF(C168=Évek_száma,L167*SQRT(1+k),MIN(IF(D168="Igen",0,6*Diákhitel!$H$4*(0.06)),L167*SQRT(1+k))))</f>
        <v>0</v>
      </c>
      <c r="P168">
        <f>IF(Diákhitel!$D$4="Stratégia 2",IF(AND(D168="Nem",D167="Igen"),M167,0),IF(C168=Évek_száma,M167,MIN(IF(D168="Igen",0,IF(M167=0,0,VLOOKUP(M167,Diákhitel!$R$30:$S$34,2)*Diákhitel!$H$4*6)),M167)))</f>
        <v>0</v>
      </c>
      <c r="Q168">
        <f t="shared" si="15"/>
        <v>0</v>
      </c>
      <c r="R168">
        <f>IF(Diákhitel!$D$4="Stratégia 1",H168-N168,IF(Diákhitel!$D$4="Stratégia 2",I168-N168,J168-N168))</f>
        <v>69892119.120139435</v>
      </c>
      <c r="S168">
        <f>IF(Diákhitel!$D$4="Stratégia 2",H168-I168,0)</f>
        <v>0</v>
      </c>
    </row>
    <row r="169" spans="2:19" x14ac:dyDescent="0.25">
      <c r="B169">
        <v>163</v>
      </c>
      <c r="C169">
        <f t="shared" si="14"/>
        <v>81</v>
      </c>
      <c r="D169" t="str">
        <f>IF(Diákhitel!$B$4&gt;=B169, "Igen", "Nem")</f>
        <v>Nem</v>
      </c>
      <c r="E169">
        <f>IF(D169="Igen",Diákhitel!$I$4,0)</f>
        <v>0</v>
      </c>
      <c r="F169">
        <f>IF(Diákhitel!$J$4="Igen", IF(D169="Igen",Diákhitel!$E$4,0), 0)</f>
        <v>0</v>
      </c>
      <c r="G169">
        <f t="shared" si="17"/>
        <v>0</v>
      </c>
      <c r="H169">
        <f>H168*SQRT(1+r_f)+G169-O169-P169</f>
        <v>71618110.35526523</v>
      </c>
      <c r="I169">
        <f>I168*SQRT(1+r_f)+E169*((1+k)/(1+r_f))^(Félévek_száma/2-C169)+F169/(1+r_f)^(Félévek_száma/2-C169)-O169-P169</f>
        <v>32369639.561268177</v>
      </c>
      <c r="J169">
        <f t="shared" ca="1" si="16"/>
        <v>10754330777.607374</v>
      </c>
      <c r="K169">
        <f ca="1">_xlfn.NORM.INV(RAND(),Diákhitel!$L$4/2,Diákhitel!$M$4)</f>
        <v>4.1696530925786811E-2</v>
      </c>
      <c r="L169">
        <f>L168*SQRT(1+k)+E169-O169</f>
        <v>0</v>
      </c>
      <c r="M169">
        <f t="shared" si="18"/>
        <v>0</v>
      </c>
      <c r="N169">
        <f t="shared" si="19"/>
        <v>0</v>
      </c>
      <c r="O169">
        <f>IF(Diákhitel!$D$4="Stratégia 2",IF(AND(D169="Nem",D168="Igen"),L168*SQRT(1+k),0),IF(C169=Évek_száma,L168*SQRT(1+k),MIN(IF(D169="Igen",0,6*Diákhitel!$H$4*(0.06)),L168*SQRT(1+k))))</f>
        <v>0</v>
      </c>
      <c r="P169">
        <f>IF(Diákhitel!$D$4="Stratégia 2",IF(AND(D169="Nem",D168="Igen"),M168,0),IF(C169=Évek_száma,M168,MIN(IF(D169="Igen",0,IF(M168=0,0,VLOOKUP(M168,Diákhitel!$R$30:$S$34,2)*Diákhitel!$H$4*6)),M168)))</f>
        <v>0</v>
      </c>
      <c r="Q169">
        <f t="shared" si="15"/>
        <v>0</v>
      </c>
      <c r="R169">
        <f>IF(Diákhitel!$D$4="Stratégia 1",H169-N169,IF(Diákhitel!$D$4="Stratégia 2",I169-N169,J169-N169))</f>
        <v>71618110.35526523</v>
      </c>
      <c r="S169">
        <f>IF(Diákhitel!$D$4="Stratégia 2",H169-I169,0)</f>
        <v>0</v>
      </c>
    </row>
    <row r="170" spans="2:19" x14ac:dyDescent="0.25">
      <c r="B170">
        <v>164</v>
      </c>
      <c r="C170">
        <f t="shared" si="14"/>
        <v>81.5</v>
      </c>
      <c r="D170" t="str">
        <f>IF(Diákhitel!$B$4&gt;=B170, "Igen", "Nem")</f>
        <v>Nem</v>
      </c>
      <c r="E170">
        <f>IF(D170="Igen",Diákhitel!$I$4,0)</f>
        <v>0</v>
      </c>
      <c r="F170">
        <f>IF(Diákhitel!$J$4="Igen", IF(D170="Igen",Diákhitel!$E$4,0), 0)</f>
        <v>0</v>
      </c>
      <c r="G170">
        <f t="shared" si="17"/>
        <v>0</v>
      </c>
      <c r="H170">
        <f>H169*SQRT(1+r_f)+G170-O170-P170</f>
        <v>73386725.076146409</v>
      </c>
      <c r="I170">
        <f>I169*SQRT(1+r_f)+E170*((1+k)/(1+r_f))^(Félévek_száma/2-C170)+F170/(1+r_f)^(Félévek_száma/2-C170)-O170-P170</f>
        <v>33169010.289617307</v>
      </c>
      <c r="J170">
        <f t="shared" ca="1" si="16"/>
        <v>11202749063.462021</v>
      </c>
      <c r="K170">
        <f ca="1">_xlfn.NORM.INV(RAND(),Diákhitel!$L$4/2,Diákhitel!$M$4)</f>
        <v>4.1661881042442755E-2</v>
      </c>
      <c r="L170">
        <f>L169*SQRT(1+k)+E170-O170</f>
        <v>0</v>
      </c>
      <c r="M170">
        <f t="shared" si="18"/>
        <v>0</v>
      </c>
      <c r="N170">
        <f t="shared" si="19"/>
        <v>0</v>
      </c>
      <c r="O170">
        <f>IF(Diákhitel!$D$4="Stratégia 2",IF(AND(D170="Nem",D169="Igen"),L169*SQRT(1+k),0),IF(C170=Évek_száma,L169*SQRT(1+k),MIN(IF(D170="Igen",0,6*Diákhitel!$H$4*(0.06)),L169*SQRT(1+k))))</f>
        <v>0</v>
      </c>
      <c r="P170">
        <f>IF(Diákhitel!$D$4="Stratégia 2",IF(AND(D170="Nem",D169="Igen"),M169,0),IF(C170=Évek_száma,M169,MIN(IF(D170="Igen",0,IF(M169=0,0,VLOOKUP(M169,Diákhitel!$R$30:$S$34,2)*Diákhitel!$H$4*6)),M169)))</f>
        <v>0</v>
      </c>
      <c r="Q170">
        <f t="shared" si="15"/>
        <v>0</v>
      </c>
      <c r="R170">
        <f>IF(Diákhitel!$D$4="Stratégia 1",H170-N170,IF(Diákhitel!$D$4="Stratégia 2",I170-N170,J170-N170))</f>
        <v>73386725.076146409</v>
      </c>
      <c r="S170">
        <f>IF(Diákhitel!$D$4="Stratégia 2",H170-I170,0)</f>
        <v>0</v>
      </c>
    </row>
    <row r="171" spans="2:19" x14ac:dyDescent="0.25">
      <c r="B171">
        <v>165</v>
      </c>
      <c r="C171">
        <f t="shared" si="14"/>
        <v>82</v>
      </c>
      <c r="D171" t="str">
        <f>IF(Diákhitel!$B$4&gt;=B171, "Igen", "Nem")</f>
        <v>Nem</v>
      </c>
      <c r="E171">
        <f>IF(D171="Igen",Diákhitel!$I$4,0)</f>
        <v>0</v>
      </c>
      <c r="F171">
        <f>IF(Diákhitel!$J$4="Igen", IF(D171="Igen",Diákhitel!$E$4,0), 0)</f>
        <v>0</v>
      </c>
      <c r="G171">
        <f t="shared" si="17"/>
        <v>0</v>
      </c>
      <c r="H171">
        <f>H170*SQRT(1+r_f)+G171-O171-P171</f>
        <v>75199015.873028502</v>
      </c>
      <c r="I171">
        <f>I170*SQRT(1+r_f)+E171*((1+k)/(1+r_f))^(Félévek_száma/2-C171)+F171/(1+r_f)^(Félévek_száma/2-C171)-O171-P171</f>
        <v>33988121.539331593</v>
      </c>
      <c r="J171">
        <f t="shared" ca="1" si="16"/>
        <v>11669476662.292313</v>
      </c>
      <c r="K171">
        <f ca="1">_xlfn.NORM.INV(RAND(),Diákhitel!$L$4/2,Diákhitel!$M$4)</f>
        <v>6.0282411621688049E-2</v>
      </c>
      <c r="L171">
        <f>L170*SQRT(1+k)+E171-O171</f>
        <v>0</v>
      </c>
      <c r="M171">
        <f t="shared" si="18"/>
        <v>0</v>
      </c>
      <c r="N171">
        <f t="shared" si="19"/>
        <v>0</v>
      </c>
      <c r="O171">
        <f>IF(Diákhitel!$D$4="Stratégia 2",IF(AND(D171="Nem",D170="Igen"),L170*SQRT(1+k),0),IF(C171=Évek_száma,L170*SQRT(1+k),MIN(IF(D171="Igen",0,6*Diákhitel!$H$4*(0.06)),L170*SQRT(1+k))))</f>
        <v>0</v>
      </c>
      <c r="P171">
        <f>IF(Diákhitel!$D$4="Stratégia 2",IF(AND(D171="Nem",D170="Igen"),M170,0),IF(C171=Évek_száma,M170,MIN(IF(D171="Igen",0,IF(M170=0,0,VLOOKUP(M170,Diákhitel!$R$30:$S$34,2)*Diákhitel!$H$4*6)),M170)))</f>
        <v>0</v>
      </c>
      <c r="Q171">
        <f t="shared" si="15"/>
        <v>0</v>
      </c>
      <c r="R171">
        <f>IF(Diákhitel!$D$4="Stratégia 1",H171-N171,IF(Diákhitel!$D$4="Stratégia 2",I171-N171,J171-N171))</f>
        <v>75199015.873028502</v>
      </c>
      <c r="S171">
        <f>IF(Diákhitel!$D$4="Stratégia 2",H171-I171,0)</f>
        <v>0</v>
      </c>
    </row>
    <row r="172" spans="2:19" x14ac:dyDescent="0.25">
      <c r="B172">
        <v>166</v>
      </c>
      <c r="C172">
        <f t="shared" si="14"/>
        <v>82.5</v>
      </c>
      <c r="D172" t="str">
        <f>IF(Diákhitel!$B$4&gt;=B172, "Igen", "Nem")</f>
        <v>Nem</v>
      </c>
      <c r="E172">
        <f>IF(D172="Igen",Diákhitel!$I$4,0)</f>
        <v>0</v>
      </c>
      <c r="F172">
        <f>IF(Diákhitel!$J$4="Igen", IF(D172="Igen",Diákhitel!$E$4,0), 0)</f>
        <v>0</v>
      </c>
      <c r="G172">
        <f t="shared" si="17"/>
        <v>0</v>
      </c>
      <c r="H172">
        <f>H171*SQRT(1+r_f)+G172-O172-P172</f>
        <v>77056061.329953745</v>
      </c>
      <c r="I172">
        <f>I171*SQRT(1+r_f)+E172*((1+k)/(1+r_f))^(Félévek_száma/2-C172)+F172/(1+r_f)^(Félévek_száma/2-C172)-O172-P172</f>
        <v>34827460.804098181</v>
      </c>
      <c r="J172">
        <f t="shared" ca="1" si="16"/>
        <v>12372940857.858299</v>
      </c>
      <c r="K172">
        <f ca="1">_xlfn.NORM.INV(RAND(),Diákhitel!$L$4/2,Diákhitel!$M$4)</f>
        <v>4.7790610126143877E-2</v>
      </c>
      <c r="L172">
        <f>L171*SQRT(1+k)+E172-O172</f>
        <v>0</v>
      </c>
      <c r="M172">
        <f t="shared" si="18"/>
        <v>0</v>
      </c>
      <c r="N172">
        <f t="shared" si="19"/>
        <v>0</v>
      </c>
      <c r="O172">
        <f>IF(Diákhitel!$D$4="Stratégia 2",IF(AND(D172="Nem",D171="Igen"),L171*SQRT(1+k),0),IF(C172=Évek_száma,L171*SQRT(1+k),MIN(IF(D172="Igen",0,6*Diákhitel!$H$4*(0.06)),L171*SQRT(1+k))))</f>
        <v>0</v>
      </c>
      <c r="P172">
        <f>IF(Diákhitel!$D$4="Stratégia 2",IF(AND(D172="Nem",D171="Igen"),M171,0),IF(C172=Évek_száma,M171,MIN(IF(D172="Igen",0,IF(M171=0,0,VLOOKUP(M171,Diákhitel!$R$30:$S$34,2)*Diákhitel!$H$4*6)),M171)))</f>
        <v>0</v>
      </c>
      <c r="Q172">
        <f t="shared" si="15"/>
        <v>0</v>
      </c>
      <c r="R172">
        <f>IF(Diákhitel!$D$4="Stratégia 1",H172-N172,IF(Diákhitel!$D$4="Stratégia 2",I172-N172,J172-N172))</f>
        <v>77056061.329953745</v>
      </c>
      <c r="S172">
        <f>IF(Diákhitel!$D$4="Stratégia 2",H172-I172,0)</f>
        <v>0</v>
      </c>
    </row>
    <row r="173" spans="2:19" x14ac:dyDescent="0.25">
      <c r="B173">
        <v>167</v>
      </c>
      <c r="C173">
        <f t="shared" si="14"/>
        <v>83</v>
      </c>
      <c r="D173" t="str">
        <f>IF(Diákhitel!$B$4&gt;=B173, "Igen", "Nem")</f>
        <v>Nem</v>
      </c>
      <c r="E173">
        <f>IF(D173="Igen",Diákhitel!$I$4,0)</f>
        <v>0</v>
      </c>
      <c r="F173">
        <f>IF(Diákhitel!$J$4="Igen", IF(D173="Igen",Diákhitel!$E$4,0), 0)</f>
        <v>0</v>
      </c>
      <c r="G173">
        <f t="shared" si="17"/>
        <v>0</v>
      </c>
      <c r="H173">
        <f>H172*SQRT(1+r_f)+G173-O173-P173</f>
        <v>78958966.666679934</v>
      </c>
      <c r="I173">
        <f>I172*SQRT(1+r_f)+E173*((1+k)/(1+r_f))^(Félévek_száma/2-C173)+F173/(1+r_f)^(Félévek_száma/2-C173)-O173-P173</f>
        <v>35687527.616298176</v>
      </c>
      <c r="J173">
        <f t="shared" ca="1" si="16"/>
        <v>12964251250.51004</v>
      </c>
      <c r="K173">
        <f ca="1">_xlfn.NORM.INV(RAND(),Diákhitel!$L$4/2,Diákhitel!$M$4)</f>
        <v>3.7207639274698438E-2</v>
      </c>
      <c r="L173">
        <f>L172*SQRT(1+k)+E173-O173</f>
        <v>0</v>
      </c>
      <c r="M173">
        <f t="shared" si="18"/>
        <v>0</v>
      </c>
      <c r="N173">
        <f t="shared" si="19"/>
        <v>0</v>
      </c>
      <c r="O173">
        <f>IF(Diákhitel!$D$4="Stratégia 2",IF(AND(D173="Nem",D172="Igen"),L172*SQRT(1+k),0),IF(C173=Évek_száma,L172*SQRT(1+k),MIN(IF(D173="Igen",0,6*Diákhitel!$H$4*(0.06)),L172*SQRT(1+k))))</f>
        <v>0</v>
      </c>
      <c r="P173">
        <f>IF(Diákhitel!$D$4="Stratégia 2",IF(AND(D173="Nem",D172="Igen"),M172,0),IF(C173=Évek_száma,M172,MIN(IF(D173="Igen",0,IF(M172=0,0,VLOOKUP(M172,Diákhitel!$R$30:$S$34,2)*Diákhitel!$H$4*6)),M172)))</f>
        <v>0</v>
      </c>
      <c r="Q173">
        <f t="shared" si="15"/>
        <v>0</v>
      </c>
      <c r="R173">
        <f>IF(Diákhitel!$D$4="Stratégia 1",H173-N173,IF(Diákhitel!$D$4="Stratégia 2",I173-N173,J173-N173))</f>
        <v>78958966.666679934</v>
      </c>
      <c r="S173">
        <f>IF(Diákhitel!$D$4="Stratégia 2",H173-I173,0)</f>
        <v>0</v>
      </c>
    </row>
    <row r="174" spans="2:19" x14ac:dyDescent="0.25">
      <c r="B174">
        <v>168</v>
      </c>
      <c r="C174">
        <f t="shared" si="14"/>
        <v>83.5</v>
      </c>
      <c r="D174" t="str">
        <f>IF(Diákhitel!$B$4&gt;=B174, "Igen", "Nem")</f>
        <v>Nem</v>
      </c>
      <c r="E174">
        <f>IF(D174="Igen",Diákhitel!$I$4,0)</f>
        <v>0</v>
      </c>
      <c r="F174">
        <f>IF(Diákhitel!$J$4="Igen", IF(D174="Igen",Diákhitel!$E$4,0), 0)</f>
        <v>0</v>
      </c>
      <c r="G174">
        <f t="shared" si="17"/>
        <v>0</v>
      </c>
      <c r="H174">
        <f>H173*SQRT(1+r_f)+G174-O174-P174</f>
        <v>80908864.396451443</v>
      </c>
      <c r="I174">
        <f>I173*SQRT(1+r_f)+E174*((1+k)/(1+r_f))^(Félévek_száma/2-C174)+F174/(1+r_f)^(Félévek_száma/2-C174)-O174-P174</f>
        <v>36568833.844303094</v>
      </c>
      <c r="J174">
        <f t="shared" ca="1" si="16"/>
        <v>13446620434.505577</v>
      </c>
      <c r="K174">
        <f ca="1">_xlfn.NORM.INV(RAND(),Diákhitel!$L$4/2,Diákhitel!$M$4)</f>
        <v>4.4495932974680685E-2</v>
      </c>
      <c r="L174">
        <f>L173*SQRT(1+k)+E174-O174</f>
        <v>0</v>
      </c>
      <c r="M174">
        <f t="shared" si="18"/>
        <v>0</v>
      </c>
      <c r="N174">
        <f t="shared" si="19"/>
        <v>0</v>
      </c>
      <c r="O174">
        <f>IF(Diákhitel!$D$4="Stratégia 2",IF(AND(D174="Nem",D173="Igen"),L173*SQRT(1+k),0),IF(C174=Évek_száma,L173*SQRT(1+k),MIN(IF(D174="Igen",0,6*Diákhitel!$H$4*(0.06)),L173*SQRT(1+k))))</f>
        <v>0</v>
      </c>
      <c r="P174">
        <f>IF(Diákhitel!$D$4="Stratégia 2",IF(AND(D174="Nem",D173="Igen"),M173,0),IF(C174=Évek_száma,M173,MIN(IF(D174="Igen",0,IF(M173=0,0,VLOOKUP(M173,Diákhitel!$R$30:$S$34,2)*Diákhitel!$H$4*6)),M173)))</f>
        <v>0</v>
      </c>
      <c r="Q174">
        <f t="shared" si="15"/>
        <v>0</v>
      </c>
      <c r="R174">
        <f>IF(Diákhitel!$D$4="Stratégia 1",H174-N174,IF(Diákhitel!$D$4="Stratégia 2",I174-N174,J174-N174))</f>
        <v>80908864.396451443</v>
      </c>
      <c r="S174">
        <f>IF(Diákhitel!$D$4="Stratégia 2",H174-I174,0)</f>
        <v>0</v>
      </c>
    </row>
    <row r="175" spans="2:19" x14ac:dyDescent="0.25">
      <c r="B175">
        <v>169</v>
      </c>
      <c r="C175">
        <f t="shared" ref="C175:C207" si="20">B175/2-0.5</f>
        <v>84</v>
      </c>
      <c r="D175" t="str">
        <f>IF(Diákhitel!$B$4&gt;=B175, "Igen", "Nem")</f>
        <v>Nem</v>
      </c>
      <c r="E175">
        <f>IF(D175="Igen",Diákhitel!$I$4,0)</f>
        <v>0</v>
      </c>
      <c r="F175">
        <f>IF(Diákhitel!$J$4="Igen", IF(D175="Igen",Diákhitel!$E$4,0), 0)</f>
        <v>0</v>
      </c>
      <c r="G175">
        <f t="shared" si="17"/>
        <v>0</v>
      </c>
      <c r="H175">
        <f>H174*SQRT(1+r_f)+G175-O175-P175</f>
        <v>82906915.000013947</v>
      </c>
      <c r="I175">
        <f>I174*SQRT(1+r_f)+E175*((1+k)/(1+r_f))^(Félévek_száma/2-C175)+F175/(1+r_f)^(Félévek_száma/2-C175)-O175-P175</f>
        <v>37471903.997113094</v>
      </c>
      <c r="J175">
        <f t="shared" ca="1" si="16"/>
        <v>14044940356.095308</v>
      </c>
      <c r="K175">
        <f ca="1">_xlfn.NORM.INV(RAND(),Diákhitel!$L$4/2,Diákhitel!$M$4)</f>
        <v>3.9491198174941636E-2</v>
      </c>
      <c r="L175">
        <f>L174*SQRT(1+k)+E175-O175</f>
        <v>0</v>
      </c>
      <c r="M175">
        <f t="shared" si="18"/>
        <v>0</v>
      </c>
      <c r="N175">
        <f t="shared" si="19"/>
        <v>0</v>
      </c>
      <c r="O175">
        <f>IF(Diákhitel!$D$4="Stratégia 2",IF(AND(D175="Nem",D174="Igen"),L174*SQRT(1+k),0),IF(C175=Évek_száma,L174*SQRT(1+k),MIN(IF(D175="Igen",0,6*Diákhitel!$H$4*(0.06)),L174*SQRT(1+k))))</f>
        <v>0</v>
      </c>
      <c r="P175">
        <f>IF(Diákhitel!$D$4="Stratégia 2",IF(AND(D175="Nem",D174="Igen"),M174,0),IF(C175=Évek_száma,M174,MIN(IF(D175="Igen",0,IF(M174=0,0,VLOOKUP(M174,Diákhitel!$R$30:$S$34,2)*Diákhitel!$H$4*6)),M174)))</f>
        <v>0</v>
      </c>
      <c r="Q175">
        <f t="shared" si="15"/>
        <v>0</v>
      </c>
      <c r="R175">
        <f>IF(Diákhitel!$D$4="Stratégia 1",H175-N175,IF(Diákhitel!$D$4="Stratégia 2",I175-N175,J175-N175))</f>
        <v>82906915.000013947</v>
      </c>
      <c r="S175">
        <f>IF(Diákhitel!$D$4="Stratégia 2",H175-I175,0)</f>
        <v>0</v>
      </c>
    </row>
    <row r="176" spans="2:19" x14ac:dyDescent="0.25">
      <c r="B176">
        <v>170</v>
      </c>
      <c r="C176">
        <f t="shared" si="20"/>
        <v>84.5</v>
      </c>
      <c r="D176" t="str">
        <f>IF(Diákhitel!$B$4&gt;=B176, "Igen", "Nem")</f>
        <v>Nem</v>
      </c>
      <c r="E176">
        <f>IF(D176="Igen",Diákhitel!$I$4,0)</f>
        <v>0</v>
      </c>
      <c r="F176">
        <f>IF(Diákhitel!$J$4="Igen", IF(D176="Igen",Diákhitel!$E$4,0), 0)</f>
        <v>0</v>
      </c>
      <c r="G176">
        <f t="shared" si="17"/>
        <v>0</v>
      </c>
      <c r="H176">
        <f>H175*SQRT(1+r_f)+G176-O176-P176</f>
        <v>84954307.616274029</v>
      </c>
      <c r="I176">
        <f>I175*SQRT(1+r_f)+E176*((1+k)/(1+r_f))^(Félévek_száma/2-C176)+F176/(1+r_f)^(Félévek_száma/2-C176)-O176-P176</f>
        <v>38397275.536518261</v>
      </c>
      <c r="J176">
        <f t="shared" ca="1" si="16"/>
        <v>14599591879.053104</v>
      </c>
      <c r="K176">
        <f ca="1">_xlfn.NORM.INV(RAND(),Diákhitel!$L$4/2,Diákhitel!$M$4)</f>
        <v>4.7383909072761632E-2</v>
      </c>
      <c r="L176">
        <f>L175*SQRT(1+k)+E176-O176</f>
        <v>0</v>
      </c>
      <c r="M176">
        <f t="shared" si="18"/>
        <v>0</v>
      </c>
      <c r="N176">
        <f t="shared" si="19"/>
        <v>0</v>
      </c>
      <c r="O176">
        <f>IF(Diákhitel!$D$4="Stratégia 2",IF(AND(D176="Nem",D175="Igen"),L175*SQRT(1+k),0),IF(C176=Évek_száma,L175*SQRT(1+k),MIN(IF(D176="Igen",0,6*Diákhitel!$H$4*(0.06)),L175*SQRT(1+k))))</f>
        <v>0</v>
      </c>
      <c r="P176">
        <f>IF(Diákhitel!$D$4="Stratégia 2",IF(AND(D176="Nem",D175="Igen"),M175,0),IF(C176=Évek_száma,M175,MIN(IF(D176="Igen",0,IF(M175=0,0,VLOOKUP(M175,Diákhitel!$R$30:$S$34,2)*Diákhitel!$H$4*6)),M175)))</f>
        <v>0</v>
      </c>
      <c r="Q176">
        <f t="shared" si="15"/>
        <v>0</v>
      </c>
      <c r="R176">
        <f>IF(Diákhitel!$D$4="Stratégia 1",H176-N176,IF(Diákhitel!$D$4="Stratégia 2",I176-N176,J176-N176))</f>
        <v>84954307.616274029</v>
      </c>
      <c r="S176">
        <f>IF(Diákhitel!$D$4="Stratégia 2",H176-I176,0)</f>
        <v>0</v>
      </c>
    </row>
    <row r="177" spans="2:19" x14ac:dyDescent="0.25">
      <c r="B177">
        <v>171</v>
      </c>
      <c r="C177">
        <f t="shared" si="20"/>
        <v>85</v>
      </c>
      <c r="D177" t="str">
        <f>IF(Diákhitel!$B$4&gt;=B177, "Igen", "Nem")</f>
        <v>Nem</v>
      </c>
      <c r="E177">
        <f>IF(D177="Igen",Diákhitel!$I$4,0)</f>
        <v>0</v>
      </c>
      <c r="F177">
        <f>IF(Diákhitel!$J$4="Igen", IF(D177="Igen",Diákhitel!$E$4,0), 0)</f>
        <v>0</v>
      </c>
      <c r="G177">
        <f t="shared" si="17"/>
        <v>0</v>
      </c>
      <c r="H177">
        <f>H176*SQRT(1+r_f)+G177-O177-P177</f>
        <v>87052260.750014663</v>
      </c>
      <c r="I177">
        <f>I176*SQRT(1+r_f)+E177*((1+k)/(1+r_f))^(Félévek_száma/2-C177)+F177/(1+r_f)^(Félévek_száma/2-C177)-O177-P177</f>
        <v>39345499.196968757</v>
      </c>
      <c r="J177">
        <f t="shared" ca="1" si="16"/>
        <v>15291377613.149586</v>
      </c>
      <c r="K177">
        <f ca="1">_xlfn.NORM.INV(RAND(),Diákhitel!$L$4/2,Diákhitel!$M$4)</f>
        <v>4.4422750659214486E-2</v>
      </c>
      <c r="L177">
        <f>L176*SQRT(1+k)+E177-O177</f>
        <v>0</v>
      </c>
      <c r="M177">
        <f t="shared" si="18"/>
        <v>0</v>
      </c>
      <c r="N177">
        <f t="shared" si="19"/>
        <v>0</v>
      </c>
      <c r="O177">
        <f>IF(Diákhitel!$D$4="Stratégia 2",IF(AND(D177="Nem",D176="Igen"),L176*SQRT(1+k),0),IF(C177=Évek_száma,L176*SQRT(1+k),MIN(IF(D177="Igen",0,6*Diákhitel!$H$4*(0.06)),L176*SQRT(1+k))))</f>
        <v>0</v>
      </c>
      <c r="P177">
        <f>IF(Diákhitel!$D$4="Stratégia 2",IF(AND(D177="Nem",D176="Igen"),M176,0),IF(C177=Évek_száma,M176,MIN(IF(D177="Igen",0,IF(M176=0,0,VLOOKUP(M176,Diákhitel!$R$30:$S$34,2)*Diákhitel!$H$4*6)),M176)))</f>
        <v>0</v>
      </c>
      <c r="Q177">
        <f t="shared" si="15"/>
        <v>0</v>
      </c>
      <c r="R177">
        <f>IF(Diákhitel!$D$4="Stratégia 1",H177-N177,IF(Diákhitel!$D$4="Stratégia 2",I177-N177,J177-N177))</f>
        <v>87052260.750014663</v>
      </c>
      <c r="S177">
        <f>IF(Diákhitel!$D$4="Stratégia 2",H177-I177,0)</f>
        <v>0</v>
      </c>
    </row>
    <row r="178" spans="2:19" x14ac:dyDescent="0.25">
      <c r="B178">
        <v>172</v>
      </c>
      <c r="C178">
        <f t="shared" si="20"/>
        <v>85.5</v>
      </c>
      <c r="D178" t="str">
        <f>IF(Diákhitel!$B$4&gt;=B178, "Igen", "Nem")</f>
        <v>Nem</v>
      </c>
      <c r="E178">
        <f>IF(D178="Igen",Diákhitel!$I$4,0)</f>
        <v>0</v>
      </c>
      <c r="F178">
        <f>IF(Diákhitel!$J$4="Igen", IF(D178="Igen",Diákhitel!$E$4,0), 0)</f>
        <v>0</v>
      </c>
      <c r="G178">
        <f t="shared" si="17"/>
        <v>0</v>
      </c>
      <c r="H178">
        <f>H177*SQRT(1+r_f)+G178-O178-P178</f>
        <v>89202022.997087747</v>
      </c>
      <c r="I178">
        <f>I177*SQRT(1+r_f)+E178*((1+k)/(1+r_f))^(Félévek_száma/2-C178)+F178/(1+r_f)^(Félévek_száma/2-C178)-O178-P178</f>
        <v>40317139.313344181</v>
      </c>
      <c r="J178">
        <f t="shared" ca="1" si="16"/>
        <v>15970662668.094425</v>
      </c>
      <c r="K178">
        <f ca="1">_xlfn.NORM.INV(RAND(),Diákhitel!$L$4/2,Diákhitel!$M$4)</f>
        <v>5.3006350425186553E-2</v>
      </c>
      <c r="L178">
        <f>L177*SQRT(1+k)+E178-O178</f>
        <v>0</v>
      </c>
      <c r="M178">
        <f t="shared" si="18"/>
        <v>0</v>
      </c>
      <c r="N178">
        <f t="shared" si="19"/>
        <v>0</v>
      </c>
      <c r="O178">
        <f>IF(Diákhitel!$D$4="Stratégia 2",IF(AND(D178="Nem",D177="Igen"),L177*SQRT(1+k),0),IF(C178=Évek_száma,L177*SQRT(1+k),MIN(IF(D178="Igen",0,6*Diákhitel!$H$4*(0.06)),L177*SQRT(1+k))))</f>
        <v>0</v>
      </c>
      <c r="P178">
        <f>IF(Diákhitel!$D$4="Stratégia 2",IF(AND(D178="Nem",D177="Igen"),M177,0),IF(C178=Évek_száma,M177,MIN(IF(D178="Igen",0,IF(M177=0,0,VLOOKUP(M177,Diákhitel!$R$30:$S$34,2)*Diákhitel!$H$4*6)),M177)))</f>
        <v>0</v>
      </c>
      <c r="Q178">
        <f t="shared" si="15"/>
        <v>0</v>
      </c>
      <c r="R178">
        <f>IF(Diákhitel!$D$4="Stratégia 1",H178-N178,IF(Diákhitel!$D$4="Stratégia 2",I178-N178,J178-N178))</f>
        <v>89202022.997087747</v>
      </c>
      <c r="S178">
        <f>IF(Diákhitel!$D$4="Stratégia 2",H178-I178,0)</f>
        <v>0</v>
      </c>
    </row>
    <row r="179" spans="2:19" x14ac:dyDescent="0.25">
      <c r="B179">
        <v>173</v>
      </c>
      <c r="C179">
        <f t="shared" si="20"/>
        <v>86</v>
      </c>
      <c r="D179" t="str">
        <f>IF(Diákhitel!$B$4&gt;=B179, "Igen", "Nem")</f>
        <v>Nem</v>
      </c>
      <c r="E179">
        <f>IF(D179="Igen",Diákhitel!$I$4,0)</f>
        <v>0</v>
      </c>
      <c r="F179">
        <f>IF(Diákhitel!$J$4="Igen", IF(D179="Igen",Diákhitel!$E$4,0), 0)</f>
        <v>0</v>
      </c>
      <c r="G179">
        <f t="shared" si="17"/>
        <v>0</v>
      </c>
      <c r="H179">
        <f>H178*SQRT(1+r_f)+G179-O179-P179</f>
        <v>91404873.787515402</v>
      </c>
      <c r="I179">
        <f>I178*SQRT(1+r_f)+E179*((1+k)/(1+r_f))^(Félévek_száma/2-C179)+F179/(1+r_f)^(Félévek_száma/2-C179)-O179-P179</f>
        <v>41312774.156817205</v>
      </c>
      <c r="J179">
        <f t="shared" ca="1" si="16"/>
        <v>16817209210.001883</v>
      </c>
      <c r="K179">
        <f ca="1">_xlfn.NORM.INV(RAND(),Diákhitel!$L$4/2,Diákhitel!$M$4)</f>
        <v>7.1141346828131294E-2</v>
      </c>
      <c r="L179">
        <f>L178*SQRT(1+k)+E179-O179</f>
        <v>0</v>
      </c>
      <c r="M179">
        <f t="shared" si="18"/>
        <v>0</v>
      </c>
      <c r="N179">
        <f t="shared" si="19"/>
        <v>0</v>
      </c>
      <c r="O179">
        <f>IF(Diákhitel!$D$4="Stratégia 2",IF(AND(D179="Nem",D178="Igen"),L178*SQRT(1+k),0),IF(C179=Évek_száma,L178*SQRT(1+k),MIN(IF(D179="Igen",0,6*Diákhitel!$H$4*(0.06)),L178*SQRT(1+k))))</f>
        <v>0</v>
      </c>
      <c r="P179">
        <f>IF(Diákhitel!$D$4="Stratégia 2",IF(AND(D179="Nem",D178="Igen"),M178,0),IF(C179=Évek_száma,M178,MIN(IF(D179="Igen",0,IF(M178=0,0,VLOOKUP(M178,Diákhitel!$R$30:$S$34,2)*Diákhitel!$H$4*6)),M178)))</f>
        <v>0</v>
      </c>
      <c r="Q179">
        <f t="shared" si="15"/>
        <v>0</v>
      </c>
      <c r="R179">
        <f>IF(Diákhitel!$D$4="Stratégia 1",H179-N179,IF(Diákhitel!$D$4="Stratégia 2",I179-N179,J179-N179))</f>
        <v>91404873.787515402</v>
      </c>
      <c r="S179">
        <f>IF(Diákhitel!$D$4="Stratégia 2",H179-I179,0)</f>
        <v>0</v>
      </c>
    </row>
    <row r="180" spans="2:19" x14ac:dyDescent="0.25">
      <c r="B180">
        <v>174</v>
      </c>
      <c r="C180">
        <f t="shared" si="20"/>
        <v>86.5</v>
      </c>
      <c r="D180" t="str">
        <f>IF(Diákhitel!$B$4&gt;=B180, "Igen", "Nem")</f>
        <v>Nem</v>
      </c>
      <c r="E180">
        <f>IF(D180="Igen",Diákhitel!$I$4,0)</f>
        <v>0</v>
      </c>
      <c r="F180">
        <f>IF(Diákhitel!$J$4="Igen", IF(D180="Igen",Diákhitel!$E$4,0), 0)</f>
        <v>0</v>
      </c>
      <c r="G180">
        <f t="shared" si="17"/>
        <v>0</v>
      </c>
      <c r="H180">
        <f>H179*SQRT(1+r_f)+G180-O180-P180</f>
        <v>93662124.146942139</v>
      </c>
      <c r="I180">
        <f>I179*SQRT(1+r_f)+E180*((1+k)/(1+r_f))^(Félévek_száma/2-C180)+F180/(1+r_f)^(Félévek_száma/2-C180)-O180-P180</f>
        <v>42332996.279011399</v>
      </c>
      <c r="J180">
        <f t="shared" ca="1" si="16"/>
        <v>18013608123.091869</v>
      </c>
      <c r="K180">
        <f ca="1">_xlfn.NORM.INV(RAND(),Diákhitel!$L$4/2,Diákhitel!$M$4)</f>
        <v>4.6245458389951102E-2</v>
      </c>
      <c r="L180">
        <f>L179*SQRT(1+k)+E180-O180</f>
        <v>0</v>
      </c>
      <c r="M180">
        <f t="shared" si="18"/>
        <v>0</v>
      </c>
      <c r="N180">
        <f t="shared" si="19"/>
        <v>0</v>
      </c>
      <c r="O180">
        <f>IF(Diákhitel!$D$4="Stratégia 2",IF(AND(D180="Nem",D179="Igen"),L179*SQRT(1+k),0),IF(C180=Évek_száma,L179*SQRT(1+k),MIN(IF(D180="Igen",0,6*Diákhitel!$H$4*(0.06)),L179*SQRT(1+k))))</f>
        <v>0</v>
      </c>
      <c r="P180">
        <f>IF(Diákhitel!$D$4="Stratégia 2",IF(AND(D180="Nem",D179="Igen"),M179,0),IF(C180=Évek_száma,M179,MIN(IF(D180="Igen",0,IF(M179=0,0,VLOOKUP(M179,Diákhitel!$R$30:$S$34,2)*Diákhitel!$H$4*6)),M179)))</f>
        <v>0</v>
      </c>
      <c r="Q180">
        <f t="shared" si="15"/>
        <v>0</v>
      </c>
      <c r="R180">
        <f>IF(Diákhitel!$D$4="Stratégia 1",H180-N180,IF(Diákhitel!$D$4="Stratégia 2",I180-N180,J180-N180))</f>
        <v>93662124.146942139</v>
      </c>
      <c r="S180">
        <f>IF(Diákhitel!$D$4="Stratégia 2",H180-I180,0)</f>
        <v>0</v>
      </c>
    </row>
    <row r="181" spans="2:19" x14ac:dyDescent="0.25">
      <c r="B181">
        <v>175</v>
      </c>
      <c r="C181">
        <f t="shared" si="20"/>
        <v>87</v>
      </c>
      <c r="D181" t="str">
        <f>IF(Diákhitel!$B$4&gt;=B181, "Igen", "Nem")</f>
        <v>Nem</v>
      </c>
      <c r="E181">
        <f>IF(D181="Igen",Diákhitel!$I$4,0)</f>
        <v>0</v>
      </c>
      <c r="F181">
        <f>IF(Diákhitel!$J$4="Igen", IF(D181="Igen",Diákhitel!$E$4,0), 0)</f>
        <v>0</v>
      </c>
      <c r="G181">
        <f t="shared" si="17"/>
        <v>0</v>
      </c>
      <c r="H181">
        <f>H180*SQRT(1+r_f)+G181-O181-P181</f>
        <v>95975117.47689119</v>
      </c>
      <c r="I181">
        <f>I180*SQRT(1+r_f)+E181*((1+k)/(1+r_f))^(Félévek_száma/2-C181)+F181/(1+r_f)^(Félévek_száma/2-C181)-O181-P181</f>
        <v>43378412.864658073</v>
      </c>
      <c r="J181">
        <f t="shared" ca="1" si="16"/>
        <v>18846655688.001202</v>
      </c>
      <c r="K181">
        <f ca="1">_xlfn.NORM.INV(RAND(),Diákhitel!$L$4/2,Diákhitel!$M$4)</f>
        <v>5.6180252970245856E-2</v>
      </c>
      <c r="L181">
        <f>L180*SQRT(1+k)+E181-O181</f>
        <v>0</v>
      </c>
      <c r="M181">
        <f t="shared" si="18"/>
        <v>0</v>
      </c>
      <c r="N181">
        <f t="shared" si="19"/>
        <v>0</v>
      </c>
      <c r="O181">
        <f>IF(Diákhitel!$D$4="Stratégia 2",IF(AND(D181="Nem",D180="Igen"),L180*SQRT(1+k),0),IF(C181=Évek_száma,L180*SQRT(1+k),MIN(IF(D181="Igen",0,6*Diákhitel!$H$4*(0.06)),L180*SQRT(1+k))))</f>
        <v>0</v>
      </c>
      <c r="P181">
        <f>IF(Diákhitel!$D$4="Stratégia 2",IF(AND(D181="Nem",D180="Igen"),M180,0),IF(C181=Évek_száma,M180,MIN(IF(D181="Igen",0,IF(M180=0,0,VLOOKUP(M180,Diákhitel!$R$30:$S$34,2)*Diákhitel!$H$4*6)),M180)))</f>
        <v>0</v>
      </c>
      <c r="Q181">
        <f t="shared" si="15"/>
        <v>0</v>
      </c>
      <c r="R181">
        <f>IF(Diákhitel!$D$4="Stratégia 1",H181-N181,IF(Diákhitel!$D$4="Stratégia 2",I181-N181,J181-N181))</f>
        <v>95975117.47689119</v>
      </c>
      <c r="S181">
        <f>IF(Diákhitel!$D$4="Stratégia 2",H181-I181,0)</f>
        <v>0</v>
      </c>
    </row>
    <row r="182" spans="2:19" x14ac:dyDescent="0.25">
      <c r="B182">
        <v>176</v>
      </c>
      <c r="C182">
        <f t="shared" si="20"/>
        <v>87.5</v>
      </c>
      <c r="D182" t="str">
        <f>IF(Diákhitel!$B$4&gt;=B182, "Igen", "Nem")</f>
        <v>Nem</v>
      </c>
      <c r="E182">
        <f>IF(D182="Igen",Diákhitel!$I$4,0)</f>
        <v>0</v>
      </c>
      <c r="F182">
        <f>IF(Diákhitel!$J$4="Igen", IF(D182="Igen",Diákhitel!$E$4,0), 0)</f>
        <v>0</v>
      </c>
      <c r="G182">
        <f t="shared" si="17"/>
        <v>0</v>
      </c>
      <c r="H182">
        <f>H181*SQRT(1+r_f)+G182-O182-P182</f>
        <v>98345230.354289263</v>
      </c>
      <c r="I182">
        <f>I181*SQRT(1+r_f)+E182*((1+k)/(1+r_f))^(Félévek_száma/2-C182)+F182/(1+r_f)^(Félévek_száma/2-C182)-O182-P182</f>
        <v>44449646.092961974</v>
      </c>
      <c r="J182">
        <f t="shared" ca="1" si="16"/>
        <v>19905465572.196232</v>
      </c>
      <c r="K182">
        <f ca="1">_xlfn.NORM.INV(RAND(),Diákhitel!$L$4/2,Diákhitel!$M$4)</f>
        <v>4.6565019780125547E-2</v>
      </c>
      <c r="L182">
        <f>L181*SQRT(1+k)+E182-O182</f>
        <v>0</v>
      </c>
      <c r="M182">
        <f t="shared" si="18"/>
        <v>0</v>
      </c>
      <c r="N182">
        <f t="shared" si="19"/>
        <v>0</v>
      </c>
      <c r="O182">
        <f>IF(Diákhitel!$D$4="Stratégia 2",IF(AND(D182="Nem",D181="Igen"),L181*SQRT(1+k),0),IF(C182=Évek_száma,L181*SQRT(1+k),MIN(IF(D182="Igen",0,6*Diákhitel!$H$4*(0.06)),L181*SQRT(1+k))))</f>
        <v>0</v>
      </c>
      <c r="P182">
        <f>IF(Diákhitel!$D$4="Stratégia 2",IF(AND(D182="Nem",D181="Igen"),M181,0),IF(C182=Évek_száma,M181,MIN(IF(D182="Igen",0,IF(M181=0,0,VLOOKUP(M181,Diákhitel!$R$30:$S$34,2)*Diákhitel!$H$4*6)),M181)))</f>
        <v>0</v>
      </c>
      <c r="Q182">
        <f t="shared" si="15"/>
        <v>0</v>
      </c>
      <c r="R182">
        <f>IF(Diákhitel!$D$4="Stratégia 1",H182-N182,IF(Diákhitel!$D$4="Stratégia 2",I182-N182,J182-N182))</f>
        <v>98345230.354289263</v>
      </c>
      <c r="S182">
        <f>IF(Diákhitel!$D$4="Stratégia 2",H182-I182,0)</f>
        <v>0</v>
      </c>
    </row>
    <row r="183" spans="2:19" x14ac:dyDescent="0.25">
      <c r="B183">
        <v>177</v>
      </c>
      <c r="C183">
        <f t="shared" si="20"/>
        <v>88</v>
      </c>
      <c r="D183" t="str">
        <f>IF(Diákhitel!$B$4&gt;=B183, "Igen", "Nem")</f>
        <v>Nem</v>
      </c>
      <c r="E183">
        <f>IF(D183="Igen",Diákhitel!$I$4,0)</f>
        <v>0</v>
      </c>
      <c r="F183">
        <f>IF(Diákhitel!$J$4="Igen", IF(D183="Igen",Diákhitel!$E$4,0), 0)</f>
        <v>0</v>
      </c>
      <c r="G183">
        <f t="shared" si="17"/>
        <v>0</v>
      </c>
      <c r="H183">
        <f>H182*SQRT(1+r_f)+G183-O183-P183</f>
        <v>100773873.35073575</v>
      </c>
      <c r="I183">
        <f>I182*SQRT(1+r_f)+E183*((1+k)/(1+r_f))^(Félévek_száma/2-C183)+F183/(1+r_f)^(Félévek_száma/2-C183)-O183-P183</f>
        <v>45547333.507890984</v>
      </c>
      <c r="J183">
        <f t="shared" ca="1" si="16"/>
        <v>20832363970.298157</v>
      </c>
      <c r="K183">
        <f ca="1">_xlfn.NORM.INV(RAND(),Diákhitel!$L$4/2,Diákhitel!$M$4)</f>
        <v>5.1536012646773509E-2</v>
      </c>
      <c r="L183">
        <f>L182*SQRT(1+k)+E183-O183</f>
        <v>0</v>
      </c>
      <c r="M183">
        <f t="shared" si="18"/>
        <v>0</v>
      </c>
      <c r="N183">
        <f t="shared" si="19"/>
        <v>0</v>
      </c>
      <c r="O183">
        <f>IF(Diákhitel!$D$4="Stratégia 2",IF(AND(D183="Nem",D182="Igen"),L182*SQRT(1+k),0),IF(C183=Évek_száma,L182*SQRT(1+k),MIN(IF(D183="Igen",0,6*Diákhitel!$H$4*(0.06)),L182*SQRT(1+k))))</f>
        <v>0</v>
      </c>
      <c r="P183">
        <f>IF(Diákhitel!$D$4="Stratégia 2",IF(AND(D183="Nem",D182="Igen"),M182,0),IF(C183=Évek_száma,M182,MIN(IF(D183="Igen",0,IF(M182=0,0,VLOOKUP(M182,Diákhitel!$R$30:$S$34,2)*Diákhitel!$H$4*6)),M182)))</f>
        <v>0</v>
      </c>
      <c r="Q183">
        <f t="shared" si="15"/>
        <v>0</v>
      </c>
      <c r="R183">
        <f>IF(Diákhitel!$D$4="Stratégia 1",H183-N183,IF(Diákhitel!$D$4="Stratégia 2",I183-N183,J183-N183))</f>
        <v>100773873.35073575</v>
      </c>
      <c r="S183">
        <f>IF(Diákhitel!$D$4="Stratégia 2",H183-I183,0)</f>
        <v>0</v>
      </c>
    </row>
    <row r="184" spans="2:19" x14ac:dyDescent="0.25">
      <c r="B184">
        <v>178</v>
      </c>
      <c r="C184">
        <f t="shared" si="20"/>
        <v>88.5</v>
      </c>
      <c r="D184" t="str">
        <f>IF(Diákhitel!$B$4&gt;=B184, "Igen", "Nem")</f>
        <v>Nem</v>
      </c>
      <c r="E184">
        <f>IF(D184="Igen",Diákhitel!$I$4,0)</f>
        <v>0</v>
      </c>
      <c r="F184">
        <f>IF(Diákhitel!$J$4="Igen", IF(D184="Igen",Diákhitel!$E$4,0), 0)</f>
        <v>0</v>
      </c>
      <c r="G184">
        <f t="shared" si="17"/>
        <v>0</v>
      </c>
      <c r="H184">
        <f>H183*SQRT(1+r_f)+G184-O184-P184</f>
        <v>103262491.87200373</v>
      </c>
      <c r="I184">
        <f>I183*SQRT(1+r_f)+E184*((1+k)/(1+r_f))^(Félévek_száma/2-C184)+F184/(1+r_f)^(Félévek_száma/2-C184)-O184-P184</f>
        <v>46672128.397610083</v>
      </c>
      <c r="J184">
        <f t="shared" ca="1" si="16"/>
        <v>21905980943.33363</v>
      </c>
      <c r="K184">
        <f ca="1">_xlfn.NORM.INV(RAND(),Diákhitel!$L$4/2,Diákhitel!$M$4)</f>
        <v>6.1760332698994842E-2</v>
      </c>
      <c r="L184">
        <f>L183*SQRT(1+k)+E184-O184</f>
        <v>0</v>
      </c>
      <c r="M184">
        <f t="shared" si="18"/>
        <v>0</v>
      </c>
      <c r="N184">
        <f t="shared" si="19"/>
        <v>0</v>
      </c>
      <c r="O184">
        <f>IF(Diákhitel!$D$4="Stratégia 2",IF(AND(D184="Nem",D183="Igen"),L183*SQRT(1+k),0),IF(C184=Évek_száma,L183*SQRT(1+k),MIN(IF(D184="Igen",0,6*Diákhitel!$H$4*(0.06)),L183*SQRT(1+k))))</f>
        <v>0</v>
      </c>
      <c r="P184">
        <f>IF(Diákhitel!$D$4="Stratégia 2",IF(AND(D184="Nem",D183="Igen"),M183,0),IF(C184=Évek_száma,M183,MIN(IF(D184="Igen",0,IF(M183=0,0,VLOOKUP(M183,Diákhitel!$R$30:$S$34,2)*Diákhitel!$H$4*6)),M183)))</f>
        <v>0</v>
      </c>
      <c r="Q184">
        <f t="shared" si="15"/>
        <v>0</v>
      </c>
      <c r="R184">
        <f>IF(Diákhitel!$D$4="Stratégia 1",H184-N184,IF(Diákhitel!$D$4="Stratégia 2",I184-N184,J184-N184))</f>
        <v>103262491.87200373</v>
      </c>
      <c r="S184">
        <f>IF(Diákhitel!$D$4="Stratégia 2",H184-I184,0)</f>
        <v>0</v>
      </c>
    </row>
    <row r="185" spans="2:19" x14ac:dyDescent="0.25">
      <c r="B185">
        <v>179</v>
      </c>
      <c r="C185">
        <f t="shared" si="20"/>
        <v>89</v>
      </c>
      <c r="D185" t="str">
        <f>IF(Diákhitel!$B$4&gt;=B185, "Igen", "Nem")</f>
        <v>Nem</v>
      </c>
      <c r="E185">
        <f>IF(D185="Igen",Diákhitel!$I$4,0)</f>
        <v>0</v>
      </c>
      <c r="F185">
        <f>IF(Diákhitel!$J$4="Igen", IF(D185="Igen",Diákhitel!$E$4,0), 0)</f>
        <v>0</v>
      </c>
      <c r="G185">
        <f t="shared" si="17"/>
        <v>0</v>
      </c>
      <c r="H185">
        <f>H184*SQRT(1+r_f)+G185-O185-P185</f>
        <v>105812567.01827255</v>
      </c>
      <c r="I185">
        <f>I184*SQRT(1+r_f)+E185*((1+k)/(1+r_f))^(Félévek_száma/2-C185)+F185/(1+r_f)^(Félévek_száma/2-C185)-O185-P185</f>
        <v>47824700.183285542</v>
      </c>
      <c r="J185">
        <f t="shared" ca="1" si="16"/>
        <v>23258901614.491756</v>
      </c>
      <c r="K185">
        <f ca="1">_xlfn.NORM.INV(RAND(),Diákhitel!$L$4/2,Diákhitel!$M$4)</f>
        <v>4.8758696252680936E-2</v>
      </c>
      <c r="L185">
        <f>L184*SQRT(1+k)+E185-O185</f>
        <v>0</v>
      </c>
      <c r="M185">
        <f t="shared" si="18"/>
        <v>0</v>
      </c>
      <c r="N185">
        <f t="shared" si="19"/>
        <v>0</v>
      </c>
      <c r="O185">
        <f>IF(Diákhitel!$D$4="Stratégia 2",IF(AND(D185="Nem",D184="Igen"),L184*SQRT(1+k),0),IF(C185=Évek_száma,L184*SQRT(1+k),MIN(IF(D185="Igen",0,6*Diákhitel!$H$4*(0.06)),L184*SQRT(1+k))))</f>
        <v>0</v>
      </c>
      <c r="P185">
        <f>IF(Diákhitel!$D$4="Stratégia 2",IF(AND(D185="Nem",D184="Igen"),M184,0),IF(C185=Évek_száma,M184,MIN(IF(D185="Igen",0,IF(M184=0,0,VLOOKUP(M184,Diákhitel!$R$30:$S$34,2)*Diákhitel!$H$4*6)),M184)))</f>
        <v>0</v>
      </c>
      <c r="Q185">
        <f t="shared" si="15"/>
        <v>0</v>
      </c>
      <c r="R185">
        <f>IF(Diákhitel!$D$4="Stratégia 1",H185-N185,IF(Diákhitel!$D$4="Stratégia 2",I185-N185,J185-N185))</f>
        <v>105812567.01827255</v>
      </c>
      <c r="S185">
        <f>IF(Diákhitel!$D$4="Stratégia 2",H185-I185,0)</f>
        <v>0</v>
      </c>
    </row>
    <row r="186" spans="2:19" x14ac:dyDescent="0.25">
      <c r="B186">
        <v>180</v>
      </c>
      <c r="C186">
        <f t="shared" si="20"/>
        <v>89.5</v>
      </c>
      <c r="D186" t="str">
        <f>IF(Diákhitel!$B$4&gt;=B186, "Igen", "Nem")</f>
        <v>Nem</v>
      </c>
      <c r="E186">
        <f>IF(D186="Igen",Diákhitel!$I$4,0)</f>
        <v>0</v>
      </c>
      <c r="F186">
        <f>IF(Diákhitel!$J$4="Igen", IF(D186="Igen",Diákhitel!$E$4,0), 0)</f>
        <v>0</v>
      </c>
      <c r="G186">
        <f t="shared" si="17"/>
        <v>0</v>
      </c>
      <c r="H186">
        <f>H185*SQRT(1+r_f)+G186-O186-P186</f>
        <v>108425616.46560393</v>
      </c>
      <c r="I186">
        <f>I185*SQRT(1+r_f)+E186*((1+k)/(1+r_f))^(Félévek_száma/2-C186)+F186/(1+r_f)^(Félévek_száma/2-C186)-O186-P186</f>
        <v>49005734.8174906</v>
      </c>
      <c r="J186">
        <f t="shared" ca="1" si="16"/>
        <v>24392975333.483749</v>
      </c>
      <c r="K186">
        <f ca="1">_xlfn.NORM.INV(RAND(),Diákhitel!$L$4/2,Diákhitel!$M$4)</f>
        <v>4.2879114550368386E-2</v>
      </c>
      <c r="L186">
        <f>L185*SQRT(1+k)+E186-O186</f>
        <v>0</v>
      </c>
      <c r="M186">
        <f t="shared" si="18"/>
        <v>0</v>
      </c>
      <c r="N186">
        <f t="shared" si="19"/>
        <v>0</v>
      </c>
      <c r="O186">
        <f>IF(Diákhitel!$D$4="Stratégia 2",IF(AND(D186="Nem",D185="Igen"),L185*SQRT(1+k),0),IF(C186=Évek_száma,L185*SQRT(1+k),MIN(IF(D186="Igen",0,6*Diákhitel!$H$4*(0.06)),L185*SQRT(1+k))))</f>
        <v>0</v>
      </c>
      <c r="P186">
        <f>IF(Diákhitel!$D$4="Stratégia 2",IF(AND(D186="Nem",D185="Igen"),M185,0),IF(C186=Évek_száma,M185,MIN(IF(D186="Igen",0,IF(M185=0,0,VLOOKUP(M185,Diákhitel!$R$30:$S$34,2)*Diákhitel!$H$4*6)),M185)))</f>
        <v>0</v>
      </c>
      <c r="Q186">
        <f t="shared" si="15"/>
        <v>0</v>
      </c>
      <c r="R186">
        <f>IF(Diákhitel!$D$4="Stratégia 1",H186-N186,IF(Diákhitel!$D$4="Stratégia 2",I186-N186,J186-N186))</f>
        <v>108425616.46560393</v>
      </c>
      <c r="S186">
        <f>IF(Diákhitel!$D$4="Stratégia 2",H186-I186,0)</f>
        <v>0</v>
      </c>
    </row>
    <row r="187" spans="2:19" x14ac:dyDescent="0.25">
      <c r="B187">
        <v>181</v>
      </c>
      <c r="C187">
        <f t="shared" si="20"/>
        <v>90</v>
      </c>
      <c r="D187" t="str">
        <f>IF(Diákhitel!$B$4&gt;=B187, "Igen", "Nem")</f>
        <v>Nem</v>
      </c>
      <c r="E187">
        <f>IF(D187="Igen",Diákhitel!$I$4,0)</f>
        <v>0</v>
      </c>
      <c r="F187">
        <f>IF(Diákhitel!$J$4="Igen", IF(D187="Igen",Diákhitel!$E$4,0), 0)</f>
        <v>0</v>
      </c>
      <c r="G187">
        <f t="shared" si="17"/>
        <v>0</v>
      </c>
      <c r="H187">
        <f>H186*SQRT(1+r_f)+G187-O187-P187</f>
        <v>111103195.36918619</v>
      </c>
      <c r="I187">
        <f>I186*SQRT(1+r_f)+E187*((1+k)/(1+r_f))^(Félévek_száma/2-C187)+F187/(1+r_f)^(Félévek_száma/2-C187)-O187-P187</f>
        <v>50215935.19244983</v>
      </c>
      <c r="J187">
        <f t="shared" ca="1" si="16"/>
        <v>25438924517.032509</v>
      </c>
      <c r="K187">
        <f ca="1">_xlfn.NORM.INV(RAND(),Diákhitel!$L$4/2,Diákhitel!$M$4)</f>
        <v>5.6399316133467471E-2</v>
      </c>
      <c r="L187">
        <f>L186*SQRT(1+k)+E187-O187</f>
        <v>0</v>
      </c>
      <c r="M187">
        <f t="shared" si="18"/>
        <v>0</v>
      </c>
      <c r="N187">
        <f t="shared" si="19"/>
        <v>0</v>
      </c>
      <c r="O187">
        <f>IF(Diákhitel!$D$4="Stratégia 2",IF(AND(D187="Nem",D186="Igen"),L186*SQRT(1+k),0),IF(C187=Évek_száma,L186*SQRT(1+k),MIN(IF(D187="Igen",0,6*Diákhitel!$H$4*(0.06)),L186*SQRT(1+k))))</f>
        <v>0</v>
      </c>
      <c r="P187">
        <f>IF(Diákhitel!$D$4="Stratégia 2",IF(AND(D187="Nem",D186="Igen"),M186,0),IF(C187=Évek_száma,M186,MIN(IF(D187="Igen",0,IF(M186=0,0,VLOOKUP(M186,Diákhitel!$R$30:$S$34,2)*Diákhitel!$H$4*6)),M186)))</f>
        <v>0</v>
      </c>
      <c r="Q187">
        <f t="shared" si="15"/>
        <v>0</v>
      </c>
      <c r="R187">
        <f>IF(Diákhitel!$D$4="Stratégia 1",H187-N187,IF(Diákhitel!$D$4="Stratégia 2",I187-N187,J187-N187))</f>
        <v>111103195.36918619</v>
      </c>
      <c r="S187">
        <f>IF(Diákhitel!$D$4="Stratégia 2",H187-I187,0)</f>
        <v>0</v>
      </c>
    </row>
    <row r="188" spans="2:19" x14ac:dyDescent="0.25">
      <c r="B188">
        <v>182</v>
      </c>
      <c r="C188">
        <f t="shared" si="20"/>
        <v>90.5</v>
      </c>
      <c r="D188" t="str">
        <f>IF(Diákhitel!$B$4&gt;=B188, "Igen", "Nem")</f>
        <v>Nem</v>
      </c>
      <c r="E188">
        <f>IF(D188="Igen",Diákhitel!$I$4,0)</f>
        <v>0</v>
      </c>
      <c r="F188">
        <f>IF(Diákhitel!$J$4="Igen", IF(D188="Igen",Diákhitel!$E$4,0), 0)</f>
        <v>0</v>
      </c>
      <c r="G188">
        <f t="shared" si="17"/>
        <v>0</v>
      </c>
      <c r="H188">
        <f>H187*SQRT(1+r_f)+G188-O188-P188</f>
        <v>113846897.28888415</v>
      </c>
      <c r="I188">
        <f>I187*SQRT(1+r_f)+E188*((1+k)/(1+r_f))^(Félévek_száma/2-C188)+F188/(1+r_f)^(Félévek_száma/2-C188)-O188-P188</f>
        <v>51456021.558365136</v>
      </c>
      <c r="J188">
        <f t="shared" ca="1" si="16"/>
        <v>26873662462.964043</v>
      </c>
      <c r="K188">
        <f ca="1">_xlfn.NORM.INV(RAND(),Diákhitel!$L$4/2,Diákhitel!$M$4)</f>
        <v>4.1368905401922985E-2</v>
      </c>
      <c r="L188">
        <f>L187*SQRT(1+k)+E188-O188</f>
        <v>0</v>
      </c>
      <c r="M188">
        <f t="shared" si="18"/>
        <v>0</v>
      </c>
      <c r="N188">
        <f t="shared" si="19"/>
        <v>0</v>
      </c>
      <c r="O188">
        <f>IF(Diákhitel!$D$4="Stratégia 2",IF(AND(D188="Nem",D187="Igen"),L187*SQRT(1+k),0),IF(C188=Évek_száma,L187*SQRT(1+k),MIN(IF(D188="Igen",0,6*Diákhitel!$H$4*(0.06)),L187*SQRT(1+k))))</f>
        <v>0</v>
      </c>
      <c r="P188">
        <f>IF(Diákhitel!$D$4="Stratégia 2",IF(AND(D188="Nem",D187="Igen"),M187,0),IF(C188=Évek_száma,M187,MIN(IF(D188="Igen",0,IF(M187=0,0,VLOOKUP(M187,Diákhitel!$R$30:$S$34,2)*Diákhitel!$H$4*6)),M187)))</f>
        <v>0</v>
      </c>
      <c r="Q188">
        <f t="shared" si="15"/>
        <v>0</v>
      </c>
      <c r="R188">
        <f>IF(Diákhitel!$D$4="Stratégia 1",H188-N188,IF(Diákhitel!$D$4="Stratégia 2",I188-N188,J188-N188))</f>
        <v>113846897.28888415</v>
      </c>
      <c r="S188">
        <f>IF(Diákhitel!$D$4="Stratégia 2",H188-I188,0)</f>
        <v>0</v>
      </c>
    </row>
    <row r="189" spans="2:19" x14ac:dyDescent="0.25">
      <c r="B189">
        <v>183</v>
      </c>
      <c r="C189">
        <f t="shared" si="20"/>
        <v>91</v>
      </c>
      <c r="D189" t="str">
        <f>IF(Diákhitel!$B$4&gt;=B189, "Igen", "Nem")</f>
        <v>Nem</v>
      </c>
      <c r="E189">
        <f>IF(D189="Igen",Diákhitel!$I$4,0)</f>
        <v>0</v>
      </c>
      <c r="F189">
        <f>IF(Diákhitel!$J$4="Igen", IF(D189="Igen",Diákhitel!$E$4,0), 0)</f>
        <v>0</v>
      </c>
      <c r="G189">
        <f t="shared" si="17"/>
        <v>0</v>
      </c>
      <c r="H189">
        <f>H188*SQRT(1+r_f)+G189-O189-P189</f>
        <v>116658355.13764553</v>
      </c>
      <c r="I189">
        <f>I188*SQRT(1+r_f)+E189*((1+k)/(1+r_f))^(Félévek_száma/2-C189)+F189/(1+r_f)^(Félévek_száma/2-C189)-O189-P189</f>
        <v>52726731.95207233</v>
      </c>
      <c r="J189">
        <f t="shared" ca="1" si="16"/>
        <v>27985396463.197613</v>
      </c>
      <c r="K189">
        <f ca="1">_xlfn.NORM.INV(RAND(),Diákhitel!$L$4/2,Diákhitel!$M$4)</f>
        <v>4.8769185267775655E-2</v>
      </c>
      <c r="L189">
        <f>L188*SQRT(1+k)+E189-O189</f>
        <v>0</v>
      </c>
      <c r="M189">
        <f t="shared" si="18"/>
        <v>0</v>
      </c>
      <c r="N189">
        <f t="shared" si="19"/>
        <v>0</v>
      </c>
      <c r="O189">
        <f>IF(Diákhitel!$D$4="Stratégia 2",IF(AND(D189="Nem",D188="Igen"),L188*SQRT(1+k),0),IF(C189=Évek_száma,L188*SQRT(1+k),MIN(IF(D189="Igen",0,6*Diákhitel!$H$4*(0.06)),L188*SQRT(1+k))))</f>
        <v>0</v>
      </c>
      <c r="P189">
        <f>IF(Diákhitel!$D$4="Stratégia 2",IF(AND(D189="Nem",D188="Igen"),M188,0),IF(C189=Évek_száma,M188,MIN(IF(D189="Igen",0,IF(M188=0,0,VLOOKUP(M188,Diákhitel!$R$30:$S$34,2)*Diákhitel!$H$4*6)),M188)))</f>
        <v>0</v>
      </c>
      <c r="Q189">
        <f t="shared" si="15"/>
        <v>0</v>
      </c>
      <c r="R189">
        <f>IF(Diákhitel!$D$4="Stratégia 1",H189-N189,IF(Diákhitel!$D$4="Stratégia 2",I189-N189,J189-N189))</f>
        <v>116658355.13764553</v>
      </c>
      <c r="S189">
        <f>IF(Diákhitel!$D$4="Stratégia 2",H189-I189,0)</f>
        <v>0</v>
      </c>
    </row>
    <row r="190" spans="2:19" x14ac:dyDescent="0.25">
      <c r="B190">
        <v>184</v>
      </c>
      <c r="C190">
        <f t="shared" si="20"/>
        <v>91.5</v>
      </c>
      <c r="D190" t="str">
        <f>IF(Diákhitel!$B$4&gt;=B190, "Igen", "Nem")</f>
        <v>Nem</v>
      </c>
      <c r="E190">
        <f>IF(D190="Igen",Diákhitel!$I$4,0)</f>
        <v>0</v>
      </c>
      <c r="F190">
        <f>IF(Diákhitel!$J$4="Igen", IF(D190="Igen",Diákhitel!$E$4,0), 0)</f>
        <v>0</v>
      </c>
      <c r="G190">
        <f t="shared" si="17"/>
        <v>0</v>
      </c>
      <c r="H190">
        <f>H189*SQRT(1+r_f)+G190-O190-P190</f>
        <v>119539242.15332837</v>
      </c>
      <c r="I190">
        <f>I189*SQRT(1+r_f)+E190*((1+k)/(1+r_f))^(Félévek_száma/2-C190)+F190/(1+r_f)^(Félévek_száma/2-C190)-O190-P190</f>
        <v>54028822.636283405</v>
      </c>
      <c r="J190">
        <f t="shared" ca="1" si="16"/>
        <v>29350221448.103451</v>
      </c>
      <c r="K190">
        <f ca="1">_xlfn.NORM.INV(RAND(),Diákhitel!$L$4/2,Diákhitel!$M$4)</f>
        <v>5.7444730476344089E-2</v>
      </c>
      <c r="L190">
        <f>L189*SQRT(1+k)+E190-O190</f>
        <v>0</v>
      </c>
      <c r="M190">
        <f t="shared" si="18"/>
        <v>0</v>
      </c>
      <c r="N190">
        <f t="shared" si="19"/>
        <v>0</v>
      </c>
      <c r="O190">
        <f>IF(Diákhitel!$D$4="Stratégia 2",IF(AND(D190="Nem",D189="Igen"),L189*SQRT(1+k),0),IF(C190=Évek_száma,L189*SQRT(1+k),MIN(IF(D190="Igen",0,6*Diákhitel!$H$4*(0.06)),L189*SQRT(1+k))))</f>
        <v>0</v>
      </c>
      <c r="P190">
        <f>IF(Diákhitel!$D$4="Stratégia 2",IF(AND(D190="Nem",D189="Igen"),M189,0),IF(C190=Évek_száma,M189,MIN(IF(D190="Igen",0,IF(M189=0,0,VLOOKUP(M189,Diákhitel!$R$30:$S$34,2)*Diákhitel!$H$4*6)),M189)))</f>
        <v>0</v>
      </c>
      <c r="Q190">
        <f t="shared" si="15"/>
        <v>0</v>
      </c>
      <c r="R190">
        <f>IF(Diákhitel!$D$4="Stratégia 1",H190-N190,IF(Diákhitel!$D$4="Stratégia 2",I190-N190,J190-N190))</f>
        <v>119539242.15332837</v>
      </c>
      <c r="S190">
        <f>IF(Diákhitel!$D$4="Stratégia 2",H190-I190,0)</f>
        <v>0</v>
      </c>
    </row>
    <row r="191" spans="2:19" x14ac:dyDescent="0.25">
      <c r="B191">
        <v>185</v>
      </c>
      <c r="C191">
        <f t="shared" si="20"/>
        <v>92</v>
      </c>
      <c r="D191" t="str">
        <f>IF(Diákhitel!$B$4&gt;=B191, "Igen", "Nem")</f>
        <v>Nem</v>
      </c>
      <c r="E191">
        <f>IF(D191="Igen",Diákhitel!$I$4,0)</f>
        <v>0</v>
      </c>
      <c r="F191">
        <f>IF(Diákhitel!$J$4="Igen", IF(D191="Igen",Diákhitel!$E$4,0), 0)</f>
        <v>0</v>
      </c>
      <c r="G191">
        <f t="shared" si="17"/>
        <v>0</v>
      </c>
      <c r="H191">
        <f>H190*SQRT(1+r_f)+G191-O191-P191</f>
        <v>122491272.89452782</v>
      </c>
      <c r="I191">
        <f>I190*SQRT(1+r_f)+E191*((1+k)/(1+r_f))^(Félévek_száma/2-C191)+F191/(1+r_f)^(Félévek_száma/2-C191)-O191-P191</f>
        <v>55363068.549675956</v>
      </c>
      <c r="J191">
        <f t="shared" ca="1" si="16"/>
        <v>31036237008.610767</v>
      </c>
      <c r="K191">
        <f ca="1">_xlfn.NORM.INV(RAND(),Diákhitel!$L$4/2,Diákhitel!$M$4)</f>
        <v>5.1787244674391074E-2</v>
      </c>
      <c r="L191">
        <f>L190*SQRT(1+k)+E191-O191</f>
        <v>0</v>
      </c>
      <c r="M191">
        <f t="shared" si="18"/>
        <v>0</v>
      </c>
      <c r="N191">
        <f t="shared" si="19"/>
        <v>0</v>
      </c>
      <c r="O191">
        <f>IF(Diákhitel!$D$4="Stratégia 2",IF(AND(D191="Nem",D190="Igen"),L190*SQRT(1+k),0),IF(C191=Évek_száma,L190*SQRT(1+k),MIN(IF(D191="Igen",0,6*Diákhitel!$H$4*(0.06)),L190*SQRT(1+k))))</f>
        <v>0</v>
      </c>
      <c r="P191">
        <f>IF(Diákhitel!$D$4="Stratégia 2",IF(AND(D191="Nem",D190="Igen"),M190,0),IF(C191=Évek_száma,M190,MIN(IF(D191="Igen",0,IF(M190=0,0,VLOOKUP(M190,Diákhitel!$R$30:$S$34,2)*Diákhitel!$H$4*6)),M190)))</f>
        <v>0</v>
      </c>
      <c r="Q191">
        <f t="shared" si="15"/>
        <v>0</v>
      </c>
      <c r="R191">
        <f>IF(Diákhitel!$D$4="Stratégia 1",H191-N191,IF(Diákhitel!$D$4="Stratégia 2",I191-N191,J191-N191))</f>
        <v>122491272.89452782</v>
      </c>
      <c r="S191">
        <f>IF(Diákhitel!$D$4="Stratégia 2",H191-I191,0)</f>
        <v>0</v>
      </c>
    </row>
    <row r="192" spans="2:19" x14ac:dyDescent="0.25">
      <c r="B192">
        <v>186</v>
      </c>
      <c r="C192">
        <f t="shared" si="20"/>
        <v>92.5</v>
      </c>
      <c r="D192" t="str">
        <f>IF(Diákhitel!$B$4&gt;=B192, "Igen", "Nem")</f>
        <v>Nem</v>
      </c>
      <c r="E192">
        <f>IF(D192="Igen",Diákhitel!$I$4,0)</f>
        <v>0</v>
      </c>
      <c r="F192">
        <f>IF(Diákhitel!$J$4="Igen", IF(D192="Igen",Diákhitel!$E$4,0), 0)</f>
        <v>0</v>
      </c>
      <c r="G192">
        <f t="shared" si="17"/>
        <v>0</v>
      </c>
      <c r="H192">
        <f>H191*SQRT(1+r_f)+G192-O192-P192</f>
        <v>125516204.26099482</v>
      </c>
      <c r="I192">
        <f>I191*SQRT(1+r_f)+E192*((1+k)/(1+r_f))^(Félévek_száma/2-C192)+F192/(1+r_f)^(Félévek_száma/2-C192)-O192-P192</f>
        <v>56730263.768097587</v>
      </c>
      <c r="J192">
        <f t="shared" ca="1" si="16"/>
        <v>32643518208.348083</v>
      </c>
      <c r="K192">
        <f ca="1">_xlfn.NORM.INV(RAND(),Diákhitel!$L$4/2,Diákhitel!$M$4)</f>
        <v>5.6787033125865471E-2</v>
      </c>
      <c r="L192">
        <f>L191*SQRT(1+k)+E192-O192</f>
        <v>0</v>
      </c>
      <c r="M192">
        <f t="shared" si="18"/>
        <v>0</v>
      </c>
      <c r="N192">
        <f t="shared" si="19"/>
        <v>0</v>
      </c>
      <c r="O192">
        <f>IF(Diákhitel!$D$4="Stratégia 2",IF(AND(D192="Nem",D191="Igen"),L191*SQRT(1+k),0),IF(C192=Évek_száma,L191*SQRT(1+k),MIN(IF(D192="Igen",0,6*Diákhitel!$H$4*(0.06)),L191*SQRT(1+k))))</f>
        <v>0</v>
      </c>
      <c r="P192">
        <f>IF(Diákhitel!$D$4="Stratégia 2",IF(AND(D192="Nem",D191="Igen"),M191,0),IF(C192=Évek_száma,M191,MIN(IF(D192="Igen",0,IF(M191=0,0,VLOOKUP(M191,Diákhitel!$R$30:$S$34,2)*Diákhitel!$H$4*6)),M191)))</f>
        <v>0</v>
      </c>
      <c r="Q192">
        <f t="shared" si="15"/>
        <v>0</v>
      </c>
      <c r="R192">
        <f>IF(Diákhitel!$D$4="Stratégia 1",H192-N192,IF(Diákhitel!$D$4="Stratégia 2",I192-N192,J192-N192))</f>
        <v>125516204.26099482</v>
      </c>
      <c r="S192">
        <f>IF(Diákhitel!$D$4="Stratégia 2",H192-I192,0)</f>
        <v>0</v>
      </c>
    </row>
    <row r="193" spans="2:19" x14ac:dyDescent="0.25">
      <c r="B193">
        <v>187</v>
      </c>
      <c r="C193">
        <f t="shared" si="20"/>
        <v>93</v>
      </c>
      <c r="D193" t="str">
        <f>IF(Diákhitel!$B$4&gt;=B193, "Igen", "Nem")</f>
        <v>Nem</v>
      </c>
      <c r="E193">
        <f>IF(D193="Igen",Diákhitel!$I$4,0)</f>
        <v>0</v>
      </c>
      <c r="F193">
        <f>IF(Diákhitel!$J$4="Igen", IF(D193="Igen",Diákhitel!$E$4,0), 0)</f>
        <v>0</v>
      </c>
      <c r="G193">
        <f t="shared" si="17"/>
        <v>0</v>
      </c>
      <c r="H193">
        <f>H192*SQRT(1+r_f)+G193-O193-P193</f>
        <v>128615836.53925425</v>
      </c>
      <c r="I193">
        <f>I192*SQRT(1+r_f)+E193*((1+k)/(1+r_f))^(Félévek_száma/2-C193)+F193/(1+r_f)^(Félévek_száma/2-C193)-O193-P193</f>
        <v>58131221.977159768</v>
      </c>
      <c r="J193">
        <f t="shared" ca="1" si="16"/>
        <v>34497246758.190338</v>
      </c>
      <c r="K193">
        <f ca="1">_xlfn.NORM.INV(RAND(),Diákhitel!$L$4/2,Diákhitel!$M$4)</f>
        <v>3.7337105144353525E-2</v>
      </c>
      <c r="L193">
        <f>L192*SQRT(1+k)+E193-O193</f>
        <v>0</v>
      </c>
      <c r="M193">
        <f t="shared" si="18"/>
        <v>0</v>
      </c>
      <c r="N193">
        <f t="shared" si="19"/>
        <v>0</v>
      </c>
      <c r="O193">
        <f>IF(Diákhitel!$D$4="Stratégia 2",IF(AND(D193="Nem",D192="Igen"),L192*SQRT(1+k),0),IF(C193=Évek_száma,L192*SQRT(1+k),MIN(IF(D193="Igen",0,6*Diákhitel!$H$4*(0.06)),L192*SQRT(1+k))))</f>
        <v>0</v>
      </c>
      <c r="P193">
        <f>IF(Diákhitel!$D$4="Stratégia 2",IF(AND(D193="Nem",D192="Igen"),M192,0),IF(C193=Évek_száma,M192,MIN(IF(D193="Igen",0,IF(M192=0,0,VLOOKUP(M192,Diákhitel!$R$30:$S$34,2)*Diákhitel!$H$4*6)),M192)))</f>
        <v>0</v>
      </c>
      <c r="Q193">
        <f t="shared" si="15"/>
        <v>0</v>
      </c>
      <c r="R193">
        <f>IF(Diákhitel!$D$4="Stratégia 1",H193-N193,IF(Diákhitel!$D$4="Stratégia 2",I193-N193,J193-N193))</f>
        <v>128615836.53925425</v>
      </c>
      <c r="S193">
        <f>IF(Diákhitel!$D$4="Stratégia 2",H193-I193,0)</f>
        <v>0</v>
      </c>
    </row>
    <row r="194" spans="2:19" x14ac:dyDescent="0.25">
      <c r="B194">
        <v>188</v>
      </c>
      <c r="C194">
        <f t="shared" si="20"/>
        <v>93.5</v>
      </c>
      <c r="D194" t="str">
        <f>IF(Diákhitel!$B$4&gt;=B194, "Igen", "Nem")</f>
        <v>Nem</v>
      </c>
      <c r="E194">
        <f>IF(D194="Igen",Diákhitel!$I$4,0)</f>
        <v>0</v>
      </c>
      <c r="F194">
        <f>IF(Diákhitel!$J$4="Igen", IF(D194="Igen",Diákhitel!$E$4,0), 0)</f>
        <v>0</v>
      </c>
      <c r="G194">
        <f t="shared" si="17"/>
        <v>0</v>
      </c>
      <c r="H194">
        <f>H193*SQRT(1+r_f)+G194-O194-P194</f>
        <v>131792014.47404459</v>
      </c>
      <c r="I194">
        <f>I193*SQRT(1+r_f)+E194*((1+k)/(1+r_f))^(Félévek_száma/2-C194)+F194/(1+r_f)^(Félévek_száma/2-C194)-O194-P194</f>
        <v>59566776.956502475</v>
      </c>
      <c r="J194">
        <f t="shared" ca="1" si="16"/>
        <v>35785274087.591606</v>
      </c>
      <c r="K194">
        <f ca="1">_xlfn.NORM.INV(RAND(),Diákhitel!$L$4/2,Diákhitel!$M$4)</f>
        <v>6.09541122641463E-2</v>
      </c>
      <c r="L194">
        <f>L193*SQRT(1+k)+E194-O194</f>
        <v>0</v>
      </c>
      <c r="M194">
        <f t="shared" si="18"/>
        <v>0</v>
      </c>
      <c r="N194">
        <f t="shared" si="19"/>
        <v>0</v>
      </c>
      <c r="O194">
        <f>IF(Diákhitel!$D$4="Stratégia 2",IF(AND(D194="Nem",D193="Igen"),L193*SQRT(1+k),0),IF(C194=Évek_száma,L193*SQRT(1+k),MIN(IF(D194="Igen",0,6*Diákhitel!$H$4*(0.06)),L193*SQRT(1+k))))</f>
        <v>0</v>
      </c>
      <c r="P194">
        <f>IF(Diákhitel!$D$4="Stratégia 2",IF(AND(D194="Nem",D193="Igen"),M193,0),IF(C194=Évek_száma,M193,MIN(IF(D194="Igen",0,IF(M193=0,0,VLOOKUP(M193,Diákhitel!$R$30:$S$34,2)*Diákhitel!$H$4*6)),M193)))</f>
        <v>0</v>
      </c>
      <c r="Q194">
        <f t="shared" si="15"/>
        <v>0</v>
      </c>
      <c r="R194">
        <f>IF(Diákhitel!$D$4="Stratégia 1",H194-N194,IF(Diákhitel!$D$4="Stratégia 2",I194-N194,J194-N194))</f>
        <v>131792014.47404459</v>
      </c>
      <c r="S194">
        <f>IF(Diákhitel!$D$4="Stratégia 2",H194-I194,0)</f>
        <v>0</v>
      </c>
    </row>
    <row r="195" spans="2:19" x14ac:dyDescent="0.25">
      <c r="B195">
        <v>189</v>
      </c>
      <c r="C195">
        <f t="shared" si="20"/>
        <v>94</v>
      </c>
      <c r="D195" t="str">
        <f>IF(Diákhitel!$B$4&gt;=B195, "Igen", "Nem")</f>
        <v>Nem</v>
      </c>
      <c r="E195">
        <f>IF(D195="Igen",Diákhitel!$I$4,0)</f>
        <v>0</v>
      </c>
      <c r="F195">
        <f>IF(Diákhitel!$J$4="Igen", IF(D195="Igen",Diákhitel!$E$4,0), 0)</f>
        <v>0</v>
      </c>
      <c r="G195">
        <f t="shared" si="17"/>
        <v>0</v>
      </c>
      <c r="H195">
        <f>H194*SQRT(1+r_f)+G195-O195-P195</f>
        <v>135046628.36621699</v>
      </c>
      <c r="I195">
        <f>I194*SQRT(1+r_f)+E195*((1+k)/(1+r_f))^(Félévek_száma/2-C195)+F195/(1+r_f)^(Félévek_száma/2-C195)-O195-P195</f>
        <v>61037783.076017767</v>
      </c>
      <c r="J195">
        <f t="shared" ca="1" si="16"/>
        <v>37966533701.729912</v>
      </c>
      <c r="K195">
        <f ca="1">_xlfn.NORM.INV(RAND(),Diákhitel!$L$4/2,Diákhitel!$M$4)</f>
        <v>3.2539789434742741E-2</v>
      </c>
      <c r="L195">
        <f>L194*SQRT(1+k)+E195-O195</f>
        <v>0</v>
      </c>
      <c r="M195">
        <f t="shared" si="18"/>
        <v>0</v>
      </c>
      <c r="N195">
        <f t="shared" si="19"/>
        <v>0</v>
      </c>
      <c r="O195">
        <f>IF(Diákhitel!$D$4="Stratégia 2",IF(AND(D195="Nem",D194="Igen"),L194*SQRT(1+k),0),IF(C195=Évek_száma,L194*SQRT(1+k),MIN(IF(D195="Igen",0,6*Diákhitel!$H$4*(0.06)),L194*SQRT(1+k))))</f>
        <v>0</v>
      </c>
      <c r="P195">
        <f>IF(Diákhitel!$D$4="Stratégia 2",IF(AND(D195="Nem",D194="Igen"),M194,0),IF(C195=Évek_száma,M194,MIN(IF(D195="Igen",0,IF(M194=0,0,VLOOKUP(M194,Diákhitel!$R$30:$S$34,2)*Diákhitel!$H$4*6)),M194)))</f>
        <v>0</v>
      </c>
      <c r="Q195">
        <f t="shared" si="15"/>
        <v>0</v>
      </c>
      <c r="R195">
        <f>IF(Diákhitel!$D$4="Stratégia 1",H195-N195,IF(Diákhitel!$D$4="Stratégia 2",I195-N195,J195-N195))</f>
        <v>135046628.36621699</v>
      </c>
      <c r="S195">
        <f>IF(Diákhitel!$D$4="Stratégia 2",H195-I195,0)</f>
        <v>0</v>
      </c>
    </row>
    <row r="196" spans="2:19" x14ac:dyDescent="0.25">
      <c r="B196">
        <v>190</v>
      </c>
      <c r="C196">
        <f t="shared" si="20"/>
        <v>94.5</v>
      </c>
      <c r="D196" t="str">
        <f>IF(Diákhitel!$B$4&gt;=B196, "Igen", "Nem")</f>
        <v>Nem</v>
      </c>
      <c r="E196">
        <f>IF(D196="Igen",Diákhitel!$I$4,0)</f>
        <v>0</v>
      </c>
      <c r="F196">
        <f>IF(Diákhitel!$J$4="Igen", IF(D196="Igen",Diákhitel!$E$4,0), 0)</f>
        <v>0</v>
      </c>
      <c r="G196">
        <f t="shared" si="17"/>
        <v>0</v>
      </c>
      <c r="H196">
        <f>H195*SQRT(1+r_f)+G196-O196-P196</f>
        <v>138381615.19774684</v>
      </c>
      <c r="I196">
        <f>I195*SQRT(1+r_f)+E196*((1+k)/(1+r_f))^(Félévek_száma/2-C196)+F196/(1+r_f)^(Félévek_száma/2-C196)-O196-P196</f>
        <v>62545115.804327615</v>
      </c>
      <c r="J196">
        <f t="shared" ca="1" si="16"/>
        <v>39201956713.951271</v>
      </c>
      <c r="K196">
        <f ca="1">_xlfn.NORM.INV(RAND(),Diákhitel!$L$4/2,Diákhitel!$M$4)</f>
        <v>5.9528298428950452E-2</v>
      </c>
      <c r="L196">
        <f>L195*SQRT(1+k)+E196-O196</f>
        <v>0</v>
      </c>
      <c r="M196">
        <f t="shared" si="18"/>
        <v>0</v>
      </c>
      <c r="N196">
        <f t="shared" si="19"/>
        <v>0</v>
      </c>
      <c r="O196">
        <f>IF(Diákhitel!$D$4="Stratégia 2",IF(AND(D196="Nem",D195="Igen"),L195*SQRT(1+k),0),IF(C196=Évek_száma,L195*SQRT(1+k),MIN(IF(D196="Igen",0,6*Diákhitel!$H$4*(0.06)),L195*SQRT(1+k))))</f>
        <v>0</v>
      </c>
      <c r="P196">
        <f>IF(Diákhitel!$D$4="Stratégia 2",IF(AND(D196="Nem",D195="Igen"),M195,0),IF(C196=Évek_száma,M195,MIN(IF(D196="Igen",0,IF(M195=0,0,VLOOKUP(M195,Diákhitel!$R$30:$S$34,2)*Diákhitel!$H$4*6)),M195)))</f>
        <v>0</v>
      </c>
      <c r="Q196">
        <f t="shared" si="15"/>
        <v>0</v>
      </c>
      <c r="R196">
        <f>IF(Diákhitel!$D$4="Stratégia 1",H196-N196,IF(Diákhitel!$D$4="Stratégia 2",I196-N196,J196-N196))</f>
        <v>138381615.19774684</v>
      </c>
      <c r="S196">
        <f>IF(Diákhitel!$D$4="Stratégia 2",H196-I196,0)</f>
        <v>0</v>
      </c>
    </row>
    <row r="197" spans="2:19" x14ac:dyDescent="0.25">
      <c r="B197">
        <v>191</v>
      </c>
      <c r="C197">
        <f t="shared" si="20"/>
        <v>95</v>
      </c>
      <c r="D197" t="str">
        <f>IF(Diákhitel!$B$4&gt;=B197, "Igen", "Nem")</f>
        <v>Nem</v>
      </c>
      <c r="E197">
        <f>IF(D197="Igen",Diákhitel!$I$4,0)</f>
        <v>0</v>
      </c>
      <c r="F197">
        <f>IF(Diákhitel!$J$4="Igen", IF(D197="Igen",Diákhitel!$E$4,0), 0)</f>
        <v>0</v>
      </c>
      <c r="G197">
        <f t="shared" ref="G197:G205" si="21">E197+F197</f>
        <v>0</v>
      </c>
      <c r="H197">
        <f>H196*SQRT(1+r_f)+G197-O197-P197</f>
        <v>141798959.78452787</v>
      </c>
      <c r="I197">
        <f>I196*SQRT(1+r_f)+E197*((1+k)/(1+r_f))^(Félévek_száma/2-C197)+F197/(1+r_f)^(Félévek_száma/2-C197)-O197-P197</f>
        <v>64089672.229818672</v>
      </c>
      <c r="J197">
        <f t="shared" ca="1" si="16"/>
        <v>41535582492.218163</v>
      </c>
      <c r="K197">
        <f ca="1">_xlfn.NORM.INV(RAND(),Diákhitel!$L$4/2,Diákhitel!$M$4)</f>
        <v>4.8422516678237076E-2</v>
      </c>
      <c r="L197">
        <f>L196*SQRT(1+k)+E197-O197</f>
        <v>0</v>
      </c>
      <c r="M197">
        <f t="shared" ref="M197:M205" si="22">MAX(M196+F197-P197,0)</f>
        <v>0</v>
      </c>
      <c r="N197">
        <f t="shared" ref="N197:N205" si="23">L197+M197</f>
        <v>0</v>
      </c>
      <c r="O197">
        <f>IF(Diákhitel!$D$4="Stratégia 2",IF(AND(D197="Nem",D196="Igen"),L196*SQRT(1+k),0),IF(C197=Évek_száma,L196*SQRT(1+k),MIN(IF(D197="Igen",0,6*Diákhitel!$H$4*(0.06)),L196*SQRT(1+k))))</f>
        <v>0</v>
      </c>
      <c r="P197">
        <f>IF(Diákhitel!$D$4="Stratégia 2",IF(AND(D197="Nem",D196="Igen"),M196,0),IF(C197=Évek_száma,M196,MIN(IF(D197="Igen",0,IF(M196=0,0,VLOOKUP(M196,Diákhitel!$R$30:$S$34,2)*Diákhitel!$H$4*6)),M196)))</f>
        <v>0</v>
      </c>
      <c r="Q197">
        <f t="shared" si="15"/>
        <v>0</v>
      </c>
      <c r="R197">
        <f>IF(Diákhitel!$D$4="Stratégia 1",H197-N197,IF(Diákhitel!$D$4="Stratégia 2",I197-N197,J197-N197))</f>
        <v>141798959.78452787</v>
      </c>
      <c r="S197">
        <f>IF(Diákhitel!$D$4="Stratégia 2",H197-I197,0)</f>
        <v>0</v>
      </c>
    </row>
    <row r="198" spans="2:19" x14ac:dyDescent="0.25">
      <c r="B198">
        <v>192</v>
      </c>
      <c r="C198">
        <f t="shared" si="20"/>
        <v>95.5</v>
      </c>
      <c r="D198" t="str">
        <f>IF(Diákhitel!$B$4&gt;=B198, "Igen", "Nem")</f>
        <v>Nem</v>
      </c>
      <c r="E198">
        <f>IF(D198="Igen",Diákhitel!$I$4,0)</f>
        <v>0</v>
      </c>
      <c r="F198">
        <f>IF(Diákhitel!$J$4="Igen", IF(D198="Igen",Diákhitel!$E$4,0), 0)</f>
        <v>0</v>
      </c>
      <c r="G198">
        <f t="shared" si="21"/>
        <v>0</v>
      </c>
      <c r="H198">
        <f>H197*SQRT(1+r_f)+G198-O198-P198</f>
        <v>145300695.95763424</v>
      </c>
      <c r="I198">
        <f>I197*SQRT(1+r_f)+E198*((1+k)/(1+r_f))^(Félévek_száma/2-C198)+F198/(1+r_f)^(Félévek_száma/2-C198)-O198-P198</f>
        <v>65672371.594544008</v>
      </c>
      <c r="J198">
        <f t="shared" ca="1" si="16"/>
        <v>43546839928.187889</v>
      </c>
      <c r="K198">
        <f ca="1">_xlfn.NORM.INV(RAND(),Diákhitel!$L$4/2,Diákhitel!$M$4)</f>
        <v>4.5207521175708879E-2</v>
      </c>
      <c r="L198">
        <f>L197*SQRT(1+k)+E198-O198</f>
        <v>0</v>
      </c>
      <c r="M198">
        <f t="shared" si="22"/>
        <v>0</v>
      </c>
      <c r="N198">
        <f t="shared" si="23"/>
        <v>0</v>
      </c>
      <c r="O198">
        <f>IF(Diákhitel!$D$4="Stratégia 2",IF(AND(D198="Nem",D197="Igen"),L197*SQRT(1+k),0),IF(C198=Évek_száma,L197*SQRT(1+k),MIN(IF(D198="Igen",0,6*Diákhitel!$H$4*(0.06)),L197*SQRT(1+k))))</f>
        <v>0</v>
      </c>
      <c r="P198">
        <f>IF(Diákhitel!$D$4="Stratégia 2",IF(AND(D198="Nem",D197="Igen"),M197,0),IF(C198=Évek_száma,M197,MIN(IF(D198="Igen",0,IF(M197=0,0,VLOOKUP(M197,Diákhitel!$R$30:$S$34,2)*Diákhitel!$H$4*6)),M197)))</f>
        <v>0</v>
      </c>
      <c r="Q198">
        <f t="shared" si="15"/>
        <v>0</v>
      </c>
      <c r="R198">
        <f>IF(Diákhitel!$D$4="Stratégia 1",H198-N198,IF(Diákhitel!$D$4="Stratégia 2",I198-N198,J198-N198))</f>
        <v>145300695.95763424</v>
      </c>
      <c r="S198">
        <f>IF(Diákhitel!$D$4="Stratégia 2",H198-I198,0)</f>
        <v>0</v>
      </c>
    </row>
    <row r="199" spans="2:19" x14ac:dyDescent="0.25">
      <c r="B199">
        <v>193</v>
      </c>
      <c r="C199">
        <f t="shared" si="20"/>
        <v>96</v>
      </c>
      <c r="D199" t="str">
        <f>IF(Diákhitel!$B$4&gt;=B199, "Igen", "Nem")</f>
        <v>Nem</v>
      </c>
      <c r="E199">
        <f>IF(D199="Igen",Diákhitel!$I$4,0)</f>
        <v>0</v>
      </c>
      <c r="F199">
        <f>IF(Diákhitel!$J$4="Igen", IF(D199="Igen",Diákhitel!$E$4,0), 0)</f>
        <v>0</v>
      </c>
      <c r="G199">
        <f t="shared" si="21"/>
        <v>0</v>
      </c>
      <c r="H199">
        <f>H198*SQRT(1+r_f)+G199-O199-P199</f>
        <v>148888907.7737543</v>
      </c>
      <c r="I199">
        <f>I198*SQRT(1+r_f)+E199*((1+k)/(1+r_f))^(Félévek_száma/2-C199)+F199/(1+r_f)^(Félévek_száma/2-C199)-O199-P199</f>
        <v>67294155.841309622</v>
      </c>
      <c r="J199">
        <f t="shared" ca="1" si="16"/>
        <v>45515484616.376648</v>
      </c>
      <c r="K199">
        <f ca="1">_xlfn.NORM.INV(RAND(),Diákhitel!$L$4/2,Diákhitel!$M$4)</f>
        <v>3.8510698631737547E-2</v>
      </c>
      <c r="L199">
        <f>L198*SQRT(1+k)+E199-O199</f>
        <v>0</v>
      </c>
      <c r="M199">
        <f t="shared" si="22"/>
        <v>0</v>
      </c>
      <c r="N199">
        <f t="shared" si="23"/>
        <v>0</v>
      </c>
      <c r="O199">
        <f>IF(Diákhitel!$D$4="Stratégia 2",IF(AND(D199="Nem",D198="Igen"),L198*SQRT(1+k),0),IF(C199=Évek_száma,L198*SQRT(1+k),MIN(IF(D199="Igen",0,6*Diákhitel!$H$4*(0.06)),L198*SQRT(1+k))))</f>
        <v>0</v>
      </c>
      <c r="P199">
        <f>IF(Diákhitel!$D$4="Stratégia 2",IF(AND(D199="Nem",D198="Igen"),M198,0),IF(C199=Évek_száma,M198,MIN(IF(D199="Igen",0,IF(M198=0,0,VLOOKUP(M198,Diákhitel!$R$30:$S$34,2)*Diákhitel!$H$4*6)),M198)))</f>
        <v>0</v>
      </c>
      <c r="Q199">
        <f t="shared" si="15"/>
        <v>0</v>
      </c>
      <c r="R199">
        <f>IF(Diákhitel!$D$4="Stratégia 1",H199-N199,IF(Diákhitel!$D$4="Stratégia 2",I199-N199,J199-N199))</f>
        <v>148888907.7737543</v>
      </c>
      <c r="S199">
        <f>IF(Diákhitel!$D$4="Stratégia 2",H199-I199,0)</f>
        <v>0</v>
      </c>
    </row>
    <row r="200" spans="2:19" x14ac:dyDescent="0.25">
      <c r="B200">
        <v>194</v>
      </c>
      <c r="C200">
        <f t="shared" si="20"/>
        <v>96.5</v>
      </c>
      <c r="D200" t="str">
        <f>IF(Diákhitel!$B$4&gt;=B200, "Igen", "Nem")</f>
        <v>Nem</v>
      </c>
      <c r="E200">
        <f>IF(D200="Igen",Diákhitel!$I$4,0)</f>
        <v>0</v>
      </c>
      <c r="F200">
        <f>IF(Diákhitel!$J$4="Igen", IF(D200="Igen",Diákhitel!$E$4,0), 0)</f>
        <v>0</v>
      </c>
      <c r="G200">
        <f t="shared" si="21"/>
        <v>0</v>
      </c>
      <c r="H200">
        <f>H199*SQRT(1+r_f)+G200-O200-P200</f>
        <v>152565730.75551596</v>
      </c>
      <c r="I200">
        <f>I199*SQRT(1+r_f)+E200*((1+k)/(1+r_f))^(Félévek_száma/2-C200)+F200/(1+r_f)^(Félévek_száma/2-C200)-O200-P200</f>
        <v>68955990.174271226</v>
      </c>
      <c r="J200">
        <f t="shared" ca="1" si="16"/>
        <v>47268317727.515419</v>
      </c>
      <c r="K200">
        <f ca="1">_xlfn.NORM.INV(RAND(),Diákhitel!$L$4/2,Diákhitel!$M$4)</f>
        <v>4.7972839327283419E-2</v>
      </c>
      <c r="L200">
        <f>L199*SQRT(1+k)+E200-O200</f>
        <v>0</v>
      </c>
      <c r="M200">
        <f t="shared" si="22"/>
        <v>0</v>
      </c>
      <c r="N200">
        <f t="shared" si="23"/>
        <v>0</v>
      </c>
      <c r="O200">
        <f>IF(Diákhitel!$D$4="Stratégia 2",IF(AND(D200="Nem",D199="Igen"),L199*SQRT(1+k),0),IF(C200=Évek_száma,L199*SQRT(1+k),MIN(IF(D200="Igen",0,6*Diákhitel!$H$4*(0.06)),L199*SQRT(1+k))))</f>
        <v>0</v>
      </c>
      <c r="P200">
        <f>IF(Diákhitel!$D$4="Stratégia 2",IF(AND(D200="Nem",D199="Igen"),M199,0),IF(C200=Évek_száma,M199,MIN(IF(D200="Igen",0,IF(M199=0,0,VLOOKUP(M199,Diákhitel!$R$30:$S$34,2)*Diákhitel!$H$4*6)),M199)))</f>
        <v>0</v>
      </c>
      <c r="Q200">
        <f t="shared" ref="Q200:Q207" si="24">O200+P200</f>
        <v>0</v>
      </c>
      <c r="R200">
        <f>IF(Diákhitel!$D$4="Stratégia 1",H200-N200,IF(Diákhitel!$D$4="Stratégia 2",I200-N200,J200-N200))</f>
        <v>152565730.75551596</v>
      </c>
      <c r="S200">
        <f>IF(Diákhitel!$D$4="Stratégia 2",H200-I200,0)</f>
        <v>0</v>
      </c>
    </row>
    <row r="201" spans="2:19" x14ac:dyDescent="0.25">
      <c r="B201">
        <v>195</v>
      </c>
      <c r="C201">
        <f t="shared" si="20"/>
        <v>97</v>
      </c>
      <c r="D201" t="str">
        <f>IF(Diákhitel!$B$4&gt;=B201, "Igen", "Nem")</f>
        <v>Nem</v>
      </c>
      <c r="E201">
        <f>IF(D201="Igen",Diákhitel!$I$4,0)</f>
        <v>0</v>
      </c>
      <c r="F201">
        <f>IF(Diákhitel!$J$4="Igen", IF(D201="Igen",Diákhitel!$E$4,0), 0)</f>
        <v>0</v>
      </c>
      <c r="G201">
        <f t="shared" si="21"/>
        <v>0</v>
      </c>
      <c r="H201">
        <f>H200*SQRT(1+r_f)+G201-O201-P201</f>
        <v>156333353.16244203</v>
      </c>
      <c r="I201">
        <f>I200*SQRT(1+r_f)+E201*((1+k)/(1+r_f))^(Félévek_száma/2-C201)+F201/(1+r_f)^(Félévek_száma/2-C201)-O201-P201</f>
        <v>70658863.633375108</v>
      </c>
      <c r="J201">
        <f t="shared" ref="J201:J207" ca="1" si="25">J200*(1+K200)+G201-O201-P201</f>
        <v>49535913139.128494</v>
      </c>
      <c r="K201">
        <f ca="1">_xlfn.NORM.INV(RAND(),Diákhitel!$L$4/2,Diákhitel!$M$4)</f>
        <v>2.6481989662950151E-2</v>
      </c>
      <c r="L201">
        <f>L200*SQRT(1+k)+E201-O201</f>
        <v>0</v>
      </c>
      <c r="M201">
        <f t="shared" si="22"/>
        <v>0</v>
      </c>
      <c r="N201">
        <f t="shared" si="23"/>
        <v>0</v>
      </c>
      <c r="O201">
        <f>IF(Diákhitel!$D$4="Stratégia 2",IF(AND(D201="Nem",D200="Igen"),L200*SQRT(1+k),0),IF(C201=Évek_száma,L200*SQRT(1+k),MIN(IF(D201="Igen",0,6*Diákhitel!$H$4*(0.06)),L200*SQRT(1+k))))</f>
        <v>0</v>
      </c>
      <c r="P201">
        <f>IF(Diákhitel!$D$4="Stratégia 2",IF(AND(D201="Nem",D200="Igen"),M200,0),IF(C201=Évek_száma,M200,MIN(IF(D201="Igen",0,IF(M200=0,0,VLOOKUP(M200,Diákhitel!$R$30:$S$34,2)*Diákhitel!$H$4*6)),M200)))</f>
        <v>0</v>
      </c>
      <c r="Q201">
        <f t="shared" si="24"/>
        <v>0</v>
      </c>
      <c r="R201">
        <f>IF(Diákhitel!$D$4="Stratégia 1",H201-N201,IF(Diákhitel!$D$4="Stratégia 2",I201-N201,J201-N201))</f>
        <v>156333353.16244203</v>
      </c>
      <c r="S201">
        <f>IF(Diákhitel!$D$4="Stratégia 2",H201-I201,0)</f>
        <v>0</v>
      </c>
    </row>
    <row r="202" spans="2:19" x14ac:dyDescent="0.25">
      <c r="B202">
        <v>196</v>
      </c>
      <c r="C202">
        <f t="shared" si="20"/>
        <v>97.5</v>
      </c>
      <c r="D202" t="str">
        <f>IF(Diákhitel!$B$4&gt;=B202, "Igen", "Nem")</f>
        <v>Nem</v>
      </c>
      <c r="E202">
        <f>IF(D202="Igen",Diákhitel!$I$4,0)</f>
        <v>0</v>
      </c>
      <c r="F202">
        <f>IF(Diákhitel!$J$4="Igen", IF(D202="Igen",Diákhitel!$E$4,0), 0)</f>
        <v>0</v>
      </c>
      <c r="G202">
        <f t="shared" si="21"/>
        <v>0</v>
      </c>
      <c r="H202">
        <f>H201*SQRT(1+r_f)+G202-O202-P202</f>
        <v>160194017.29329178</v>
      </c>
      <c r="I202">
        <f>I201*SQRT(1+r_f)+E202*((1+k)/(1+r_f))^(Félévek_száma/2-C202)+F202/(1+r_f)^(Félévek_száma/2-C202)-O202-P202</f>
        <v>72403789.682984799</v>
      </c>
      <c r="J202">
        <f t="shared" ca="1" si="25"/>
        <v>50847722678.823692</v>
      </c>
      <c r="K202">
        <f ca="1">_xlfn.NORM.INV(RAND(),Diákhitel!$L$4/2,Diákhitel!$M$4)</f>
        <v>4.218903901349598E-2</v>
      </c>
      <c r="L202">
        <f>L201*SQRT(1+k)+E202-O202</f>
        <v>0</v>
      </c>
      <c r="M202">
        <f t="shared" si="22"/>
        <v>0</v>
      </c>
      <c r="N202">
        <f t="shared" si="23"/>
        <v>0</v>
      </c>
      <c r="O202">
        <f>IF(Diákhitel!$D$4="Stratégia 2",IF(AND(D202="Nem",D201="Igen"),L201*SQRT(1+k),0),IF(C202=Évek_száma,L201*SQRT(1+k),MIN(IF(D202="Igen",0,6*Diákhitel!$H$4*(0.06)),L201*SQRT(1+k))))</f>
        <v>0</v>
      </c>
      <c r="P202">
        <f>IF(Diákhitel!$D$4="Stratégia 2",IF(AND(D202="Nem",D201="Igen"),M201,0),IF(C202=Évek_száma,M201,MIN(IF(D202="Igen",0,IF(M201=0,0,VLOOKUP(M201,Diákhitel!$R$30:$S$34,2)*Diákhitel!$H$4*6)),M201)))</f>
        <v>0</v>
      </c>
      <c r="Q202">
        <f t="shared" si="24"/>
        <v>0</v>
      </c>
      <c r="R202">
        <f>IF(Diákhitel!$D$4="Stratégia 1",H202-N202,IF(Diákhitel!$D$4="Stratégia 2",I202-N202,J202-N202))</f>
        <v>160194017.29329178</v>
      </c>
      <c r="S202">
        <f>IF(Diákhitel!$D$4="Stratégia 2",H202-I202,0)</f>
        <v>0</v>
      </c>
    </row>
    <row r="203" spans="2:19" x14ac:dyDescent="0.25">
      <c r="B203">
        <v>197</v>
      </c>
      <c r="C203">
        <f t="shared" si="20"/>
        <v>98</v>
      </c>
      <c r="D203" t="str">
        <f>IF(Diákhitel!$B$4&gt;=B203, "Igen", "Nem")</f>
        <v>Nem</v>
      </c>
      <c r="E203">
        <f>IF(D203="Igen",Diákhitel!$I$4,0)</f>
        <v>0</v>
      </c>
      <c r="F203">
        <f>IF(Diákhitel!$J$4="Igen", IF(D203="Igen",Diákhitel!$E$4,0), 0)</f>
        <v>0</v>
      </c>
      <c r="G203">
        <f t="shared" si="21"/>
        <v>0</v>
      </c>
      <c r="H203">
        <f>H202*SQRT(1+r_f)+G203-O203-P203</f>
        <v>164150020.82056415</v>
      </c>
      <c r="I203">
        <f>I202*SQRT(1+r_f)+E203*((1+k)/(1+r_f))^(Félévek_száma/2-C203)+F203/(1+r_f)^(Félévek_száma/2-C203)-O203-P203</f>
        <v>74191806.815043882</v>
      </c>
      <c r="J203">
        <f t="shared" ca="1" si="25"/>
        <v>52992939234.668015</v>
      </c>
      <c r="K203">
        <f ca="1">_xlfn.NORM.INV(RAND(),Diákhitel!$L$4/2,Diákhitel!$M$4)</f>
        <v>4.684727468684647E-2</v>
      </c>
      <c r="L203">
        <f>L202*SQRT(1+k)+E203-O203</f>
        <v>0</v>
      </c>
      <c r="M203">
        <f t="shared" si="22"/>
        <v>0</v>
      </c>
      <c r="N203">
        <f t="shared" si="23"/>
        <v>0</v>
      </c>
      <c r="O203">
        <f>IF(Diákhitel!$D$4="Stratégia 2",IF(AND(D203="Nem",D202="Igen"),L202*SQRT(1+k),0),IF(C203=Évek_száma,L202*SQRT(1+k),MIN(IF(D203="Igen",0,6*Diákhitel!$H$4*(0.06)),L202*SQRT(1+k))))</f>
        <v>0</v>
      </c>
      <c r="P203">
        <f>IF(Diákhitel!$D$4="Stratégia 2",IF(AND(D203="Nem",D202="Igen"),M202,0),IF(C203=Évek_száma,M202,MIN(IF(D203="Igen",0,IF(M202=0,0,VLOOKUP(M202,Diákhitel!$R$30:$S$34,2)*Diákhitel!$H$4*6)),M202)))</f>
        <v>0</v>
      </c>
      <c r="Q203">
        <f t="shared" si="24"/>
        <v>0</v>
      </c>
      <c r="R203">
        <f>IF(Diákhitel!$D$4="Stratégia 1",H203-N203,IF(Diákhitel!$D$4="Stratégia 2",I203-N203,J203-N203))</f>
        <v>164150020.82056415</v>
      </c>
      <c r="S203">
        <f>IF(Diákhitel!$D$4="Stratégia 2",H203-I203,0)</f>
        <v>0</v>
      </c>
    </row>
    <row r="204" spans="2:19" x14ac:dyDescent="0.25">
      <c r="B204">
        <v>198</v>
      </c>
      <c r="C204">
        <f t="shared" si="20"/>
        <v>98.5</v>
      </c>
      <c r="D204" t="str">
        <f>IF(Diákhitel!$B$4&gt;=B204, "Igen", "Nem")</f>
        <v>Nem</v>
      </c>
      <c r="E204">
        <f>IF(D204="Igen",Diákhitel!$I$4,0)</f>
        <v>0</v>
      </c>
      <c r="F204">
        <f>IF(Diákhitel!$J$4="Igen", IF(D204="Igen",Diákhitel!$E$4,0), 0)</f>
        <v>0</v>
      </c>
      <c r="G204">
        <f t="shared" si="21"/>
        <v>0</v>
      </c>
      <c r="H204">
        <f>H203*SQRT(1+r_f)+G204-O204-P204</f>
        <v>168203718.15795639</v>
      </c>
      <c r="I204">
        <f>I203*SQRT(1+r_f)+E204*((1+k)/(1+r_f))^(Félévek_száma/2-C204)+F204/(1+r_f)^(Félévek_száma/2-C204)-O204-P204</f>
        <v>76023979.167134047</v>
      </c>
      <c r="J204">
        <f t="shared" ca="1" si="25"/>
        <v>55475514015.45787</v>
      </c>
      <c r="K204">
        <f ca="1">_xlfn.NORM.INV(RAND(),Diákhitel!$L$4/2,Diákhitel!$M$4)</f>
        <v>6.9999708855350867E-2</v>
      </c>
      <c r="L204">
        <f>L203*SQRT(1+k)+E204-O204</f>
        <v>0</v>
      </c>
      <c r="M204">
        <f t="shared" si="22"/>
        <v>0</v>
      </c>
      <c r="N204">
        <f t="shared" si="23"/>
        <v>0</v>
      </c>
      <c r="O204">
        <f>IF(Diákhitel!$D$4="Stratégia 2",IF(AND(D204="Nem",D203="Igen"),L203*SQRT(1+k),0),IF(C204=Évek_száma,L203*SQRT(1+k),MIN(IF(D204="Igen",0,6*Diákhitel!$H$4*(0.06)),L203*SQRT(1+k))))</f>
        <v>0</v>
      </c>
      <c r="P204">
        <f>IF(Diákhitel!$D$4="Stratégia 2",IF(AND(D204="Nem",D203="Igen"),M203,0),IF(C204=Évek_száma,M203,MIN(IF(D204="Igen",0,IF(M203=0,0,VLOOKUP(M203,Diákhitel!$R$30:$S$34,2)*Diákhitel!$H$4*6)),M203)))</f>
        <v>0</v>
      </c>
      <c r="Q204">
        <f t="shared" si="24"/>
        <v>0</v>
      </c>
      <c r="R204">
        <f>IF(Diákhitel!$D$4="Stratégia 1",H204-N204,IF(Diákhitel!$D$4="Stratégia 2",I204-N204,J204-N204))</f>
        <v>168203718.15795639</v>
      </c>
      <c r="S204">
        <f>IF(Diákhitel!$D$4="Stratégia 2",H204-I204,0)</f>
        <v>0</v>
      </c>
    </row>
    <row r="205" spans="2:19" x14ac:dyDescent="0.25">
      <c r="B205">
        <v>199</v>
      </c>
      <c r="C205">
        <f t="shared" si="20"/>
        <v>99</v>
      </c>
      <c r="D205" t="str">
        <f>IF(Diákhitel!$B$4&gt;=B205, "Igen", "Nem")</f>
        <v>Nem</v>
      </c>
      <c r="E205">
        <f>IF(D205="Igen",Diákhitel!$I$4,0)</f>
        <v>0</v>
      </c>
      <c r="F205">
        <f>IF(Diákhitel!$J$4="Igen", IF(D205="Igen",Diákhitel!$E$4,0), 0)</f>
        <v>0</v>
      </c>
      <c r="G205">
        <f t="shared" si="21"/>
        <v>0</v>
      </c>
      <c r="H205">
        <f>H204*SQRT(1+r_f)+G205-O205-P205</f>
        <v>172357521.86159238</v>
      </c>
      <c r="I205">
        <f>I204*SQRT(1+r_f)+E205*((1+k)/(1+r_f))^(Félévek_száma/2-C205)+F205/(1+r_f)^(Félévek_száma/2-C205)-O205-P205</f>
        <v>77901397.155796081</v>
      </c>
      <c r="J205">
        <f t="shared" ca="1" si="25"/>
        <v>59358783845.140854</v>
      </c>
      <c r="K205">
        <f ca="1">_xlfn.NORM.INV(RAND(),Diákhitel!$L$4/2,Diákhitel!$M$4)</f>
        <v>5.7873116931847546E-2</v>
      </c>
      <c r="L205">
        <f>L204*SQRT(1+k)+E205-O205</f>
        <v>0</v>
      </c>
      <c r="M205">
        <f t="shared" si="22"/>
        <v>0</v>
      </c>
      <c r="N205">
        <f t="shared" si="23"/>
        <v>0</v>
      </c>
      <c r="O205">
        <f>IF(Diákhitel!$D$4="Stratégia 2",IF(AND(D205="Nem",D204="Igen"),L204*SQRT(1+k),0),IF(C205=Évek_száma,L204*SQRT(1+k),MIN(IF(D205="Igen",0,6*Diákhitel!$H$4*(0.06)),L204*SQRT(1+k))))</f>
        <v>0</v>
      </c>
      <c r="P205">
        <f>IF(Diákhitel!$D$4="Stratégia 2",IF(AND(D205="Nem",D204="Igen"),M204,0),IF(C205=Évek_száma,M204,MIN(IF(D205="Igen",0,IF(M204=0,0,VLOOKUP(M204,Diákhitel!$R$30:$S$34,2)*Diákhitel!$H$4*6)),M204)))</f>
        <v>0</v>
      </c>
      <c r="Q205">
        <f t="shared" si="24"/>
        <v>0</v>
      </c>
      <c r="R205">
        <f>IF(Diákhitel!$D$4="Stratégia 1",H205-N205,IF(Diákhitel!$D$4="Stratégia 2",I205-N205,J205-N205))</f>
        <v>172357521.86159238</v>
      </c>
      <c r="S205">
        <f>IF(Diákhitel!$D$4="Stratégia 2",H205-I205,0)</f>
        <v>0</v>
      </c>
    </row>
    <row r="206" spans="2:19" x14ac:dyDescent="0.25">
      <c r="B206">
        <v>200</v>
      </c>
      <c r="C206">
        <f t="shared" si="20"/>
        <v>99.5</v>
      </c>
      <c r="D206" t="str">
        <f>IF(Diákhitel!$B$4&gt;=B206, "Igen", "Nem")</f>
        <v>Nem</v>
      </c>
      <c r="E206">
        <f>IF(D206="Igen",Diákhitel!$I$4,0)</f>
        <v>0</v>
      </c>
      <c r="F206">
        <f>IF(Diákhitel!$J$4="Igen", IF(D206="Igen",Diákhitel!$E$4,0), 0)</f>
        <v>0</v>
      </c>
      <c r="G206">
        <f t="shared" ref="G206:G207" si="26">E206+F206</f>
        <v>0</v>
      </c>
      <c r="H206">
        <f>H205*SQRT(1+r_f)+G206-O206-P206</f>
        <v>176613904.06585425</v>
      </c>
      <c r="I206">
        <f>I205*SQRT(1+r_f)+E206*((1+k)/(1+r_f))^(Félévek_száma/2-C206)+F206/(1+r_f)^(Félévek_száma/2-C206)-O206-P206</f>
        <v>79825178.125490755</v>
      </c>
      <c r="J206">
        <f t="shared" ca="1" si="25"/>
        <v>62794061683.542953</v>
      </c>
      <c r="K206">
        <f ca="1">_xlfn.NORM.INV(RAND(),Diákhitel!$L$4/2,Diákhitel!$M$4)</f>
        <v>6.0511577046969862E-2</v>
      </c>
      <c r="L206">
        <f>L205*SQRT(1+k)+E206-O206</f>
        <v>0</v>
      </c>
      <c r="M206">
        <f t="shared" ref="M206:M207" si="27">MAX(M205+F206-P206,0)</f>
        <v>0</v>
      </c>
      <c r="N206">
        <f t="shared" ref="N206:N207" si="28">L206+M206</f>
        <v>0</v>
      </c>
      <c r="O206">
        <f>IF(Diákhitel!$D$4="Stratégia 2",IF(AND(D206="Nem",D205="Igen"),L205*SQRT(1+k),0),IF(C206=Évek_száma,L205*SQRT(1+k),MIN(IF(D206="Igen",0,6*Diákhitel!$H$4*(0.06)),L205*SQRT(1+k))))</f>
        <v>0</v>
      </c>
      <c r="P206">
        <f>IF(Diákhitel!$D$4="Stratégia 2",IF(AND(D206="Nem",D205="Igen"),M205,0),IF(C206=Évek_száma,M205,MIN(IF(D206="Igen",0,IF(M205=0,0,VLOOKUP(M205,Diákhitel!$R$30:$S$34,2)*Diákhitel!$H$4*6)),M205)))</f>
        <v>0</v>
      </c>
      <c r="Q206">
        <f t="shared" si="24"/>
        <v>0</v>
      </c>
      <c r="R206">
        <f>IF(Diákhitel!$D$4="Stratégia 1",H206-N206,IF(Diákhitel!$D$4="Stratégia 2",I206-N206,J206-N206))</f>
        <v>176613904.06585425</v>
      </c>
      <c r="S206">
        <f>IF(Diákhitel!$D$4="Stratégia 2",H206-I206,0)</f>
        <v>0</v>
      </c>
    </row>
    <row r="207" spans="2:19" x14ac:dyDescent="0.25">
      <c r="B207">
        <v>201</v>
      </c>
      <c r="C207">
        <f t="shared" si="20"/>
        <v>100</v>
      </c>
      <c r="D207" t="str">
        <f>IF(Diákhitel!$B$4&gt;=B207, "Igen", "Nem")</f>
        <v>Nem</v>
      </c>
      <c r="E207">
        <f>IF(D207="Igen",Diákhitel!$I$4,0)</f>
        <v>0</v>
      </c>
      <c r="F207">
        <f>IF(Diákhitel!$J$4="Igen", IF(D207="Igen",Diákhitel!$E$4,0), 0)</f>
        <v>0</v>
      </c>
      <c r="G207">
        <f t="shared" si="26"/>
        <v>0</v>
      </c>
      <c r="H207">
        <f>H206*SQRT(1+r_f)+G207-O207-P207</f>
        <v>180975397.95467204</v>
      </c>
      <c r="I207">
        <f>I206*SQRT(1+r_f)+E207*((1+k)/(1+r_f))^(Félévek_száma/2-C207)+F207/(1+r_f)^(Félévek_száma/2-C207)-O207-P207</f>
        <v>81796467.013585895</v>
      </c>
      <c r="J207">
        <f t="shared" ca="1" si="25"/>
        <v>66593829385.198845</v>
      </c>
      <c r="K207">
        <f ca="1">_xlfn.NORM.INV(RAND(),Diákhitel!$L$4/2,Diákhitel!$M$4)</f>
        <v>4.7948980256610478E-2</v>
      </c>
      <c r="L207">
        <f>L206*SQRT(1+k)+E207-O207</f>
        <v>0</v>
      </c>
      <c r="M207">
        <f t="shared" si="27"/>
        <v>0</v>
      </c>
      <c r="N207">
        <f t="shared" si="28"/>
        <v>0</v>
      </c>
      <c r="O207">
        <f>IF(Diákhitel!$D$4="Stratégia 2",IF(AND(D207="Nem",D206="Igen"),L206*SQRT(1+k),0),IF(C207=Évek_száma,L206*SQRT(1+k),MIN(IF(D207="Igen",0,6*Diákhitel!$H$4*(0.06)),L206*SQRT(1+k))))</f>
        <v>0</v>
      </c>
      <c r="P207">
        <f>IF(Diákhitel!$D$4="Stratégia 2",IF(AND(D207="Nem",D206="Igen"),M206,0),IF(C207=Évek_száma,M206,MIN(IF(D207="Igen",0,IF(M206=0,0,VLOOKUP(M206,Diákhitel!$R$30:$S$34,2)*Diákhitel!$H$4*6)),M206)))</f>
        <v>0</v>
      </c>
      <c r="Q207">
        <f t="shared" si="24"/>
        <v>0</v>
      </c>
      <c r="R207">
        <f>IF(Diákhitel!$D$4="Stratégia 1",H207-N207,IF(Diákhitel!$D$4="Stratégia 2",I207-N207,J207-N207))</f>
        <v>180975397.95467204</v>
      </c>
      <c r="S207">
        <f>IF(Diákhitel!$D$4="Stratégia 2",H207-I207,0)</f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7</vt:i4>
      </vt:variant>
    </vt:vector>
  </HeadingPairs>
  <TitlesOfParts>
    <vt:vector size="9" baseType="lpstr">
      <vt:lpstr>Diákhitel</vt:lpstr>
      <vt:lpstr>Munka1</vt:lpstr>
      <vt:lpstr>Évek_száma</vt:lpstr>
      <vt:lpstr>Félévek_száma</vt:lpstr>
      <vt:lpstr>Hány_év_múlva_végtörlesztek</vt:lpstr>
      <vt:lpstr>IgenNem</vt:lpstr>
      <vt:lpstr>k</vt:lpstr>
      <vt:lpstr>r_f</vt:lpstr>
      <vt:lpstr>Stratégiák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 Takáts</dc:creator>
  <cp:lastModifiedBy>me440@cam.ac.uk</cp:lastModifiedBy>
  <dcterms:created xsi:type="dcterms:W3CDTF">2024-08-04T20:47:27Z</dcterms:created>
  <dcterms:modified xsi:type="dcterms:W3CDTF">2024-08-11T01:26:09Z</dcterms:modified>
</cp:coreProperties>
</file>