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ocket Calculations" sheetId="1" r:id="rId4"/>
    <sheet state="visible" name="Bearing Calculations" sheetId="2" r:id="rId5"/>
    <sheet state="visible" name="Lever Check" sheetId="3" r:id="rId6"/>
    <sheet state="visible" name="Train Value" sheetId="4" r:id="rId7"/>
  </sheets>
  <definedNames/>
  <calcPr/>
</workbook>
</file>

<file path=xl/sharedStrings.xml><?xml version="1.0" encoding="utf-8"?>
<sst xmlns="http://schemas.openxmlformats.org/spreadsheetml/2006/main" count="509" uniqueCount="197">
  <si>
    <t>Material Used is Stainless Steel (AISI 304)</t>
  </si>
  <si>
    <t>Known Values</t>
  </si>
  <si>
    <t>http://asm.matweb.com/search/SpecificMaterial.asp?bassnum=mq304a</t>
  </si>
  <si>
    <t>Intermediate Values</t>
  </si>
  <si>
    <t>Selected Value</t>
  </si>
  <si>
    <t>Static Load</t>
  </si>
  <si>
    <t>Description</t>
  </si>
  <si>
    <t>Variable</t>
  </si>
  <si>
    <t>Value</t>
  </si>
  <si>
    <t>Units</t>
  </si>
  <si>
    <t>Note</t>
  </si>
  <si>
    <t>Distance of Stanley Park trail</t>
  </si>
  <si>
    <t>Unit</t>
  </si>
  <si>
    <t>Notes</t>
  </si>
  <si>
    <t>x_trail</t>
  </si>
  <si>
    <t>Torque from user</t>
  </si>
  <si>
    <t>Tin</t>
  </si>
  <si>
    <t>m</t>
  </si>
  <si>
    <t xml:space="preserve">https://www.vancouvertrails.com/trails/stanley-park/ </t>
  </si>
  <si>
    <t>Nm</t>
  </si>
  <si>
    <t>Force at Bearing 2</t>
  </si>
  <si>
    <t>F_B2</t>
  </si>
  <si>
    <t>N</t>
  </si>
  <si>
    <t>Moment balance taken about bearing 1. Negative denotes downwards force</t>
  </si>
  <si>
    <t>Minimum output torque</t>
  </si>
  <si>
    <t>Tout</t>
  </si>
  <si>
    <t>not used in calc</t>
  </si>
  <si>
    <t>Force at Bearing 1</t>
  </si>
  <si>
    <t>F_B1</t>
  </si>
  <si>
    <t>PASS</t>
  </si>
  <si>
    <t>Dimensions</t>
  </si>
  <si>
    <t>Spec bearing static load rating</t>
  </si>
  <si>
    <t>lbs</t>
  </si>
  <si>
    <t>Shaft length</t>
  </si>
  <si>
    <t>L_shaft</t>
  </si>
  <si>
    <t>Shaft radius</t>
  </si>
  <si>
    <t>r_shaft</t>
  </si>
  <si>
    <t>Safety Factor</t>
  </si>
  <si>
    <t>Lever length</t>
  </si>
  <si>
    <t>L_lever</t>
  </si>
  <si>
    <t>Lever radius</t>
  </si>
  <si>
    <t>r_lever</t>
  </si>
  <si>
    <t>Dynamic Load</t>
  </si>
  <si>
    <t>note: sprocket approx. as spur gear with 20 degree pressure angle</t>
  </si>
  <si>
    <t>distance from lever to sprocket</t>
  </si>
  <si>
    <t>a</t>
  </si>
  <si>
    <t>distance from sprocket to shaft COM</t>
  </si>
  <si>
    <t>b</t>
  </si>
  <si>
    <t>Transmitted force</t>
  </si>
  <si>
    <t>W_t</t>
  </si>
  <si>
    <t xml:space="preserve">Using Torque in from user </t>
  </si>
  <si>
    <t>distance of bearing 1 from shaft COM</t>
  </si>
  <si>
    <t>c</t>
  </si>
  <si>
    <t>Radial force</t>
  </si>
  <si>
    <t>W_r</t>
  </si>
  <si>
    <t>distance of bearing 2 from bearing 1</t>
  </si>
  <si>
    <t>d</t>
  </si>
  <si>
    <t>Resultant force</t>
  </si>
  <si>
    <t>W</t>
  </si>
  <si>
    <t>Sprocket OD</t>
  </si>
  <si>
    <t>"gear" pitch radius</t>
  </si>
  <si>
    <t>r</t>
  </si>
  <si>
    <t>Sprocket Hub D</t>
  </si>
  <si>
    <t>"gear" pressure angle</t>
  </si>
  <si>
    <t>rad</t>
  </si>
  <si>
    <t>Mass</t>
  </si>
  <si>
    <t>clamp</t>
  </si>
  <si>
    <t>m_clamp</t>
  </si>
  <si>
    <t>kg</t>
  </si>
  <si>
    <t>Spec bearing dynamic load rating</t>
  </si>
  <si>
    <t>lever</t>
  </si>
  <si>
    <t>m_lever</t>
  </si>
  <si>
    <t>sprocket</t>
  </si>
  <si>
    <t>m_sprocket</t>
  </si>
  <si>
    <t>shaft</t>
  </si>
  <si>
    <t>m_shaft</t>
  </si>
  <si>
    <t>F_G</t>
  </si>
  <si>
    <t>F_clamp</t>
  </si>
  <si>
    <t>F_lever</t>
  </si>
  <si>
    <t>F_sprocket</t>
  </si>
  <si>
    <t>F_shaft</t>
  </si>
  <si>
    <t>density of steel</t>
  </si>
  <si>
    <t>p_steel</t>
  </si>
  <si>
    <t>kg/m^3</t>
  </si>
  <si>
    <t>Symbol</t>
  </si>
  <si>
    <t>Name</t>
  </si>
  <si>
    <t>Rider mass</t>
  </si>
  <si>
    <t>L</t>
  </si>
  <si>
    <t>Bar Length (m)</t>
  </si>
  <si>
    <t>Travel Dist. (m)</t>
  </si>
  <si>
    <t>Wheel Diameter (m)</t>
  </si>
  <si>
    <t>H</t>
  </si>
  <si>
    <t>Power input (W)</t>
  </si>
  <si>
    <t>Frr</t>
  </si>
  <si>
    <t>Rolling resistance</t>
  </si>
  <si>
    <t>F</t>
  </si>
  <si>
    <t xml:space="preserve">Force input </t>
  </si>
  <si>
    <t>da/dt</t>
  </si>
  <si>
    <t>Hand speed</t>
  </si>
  <si>
    <t>m/s</t>
  </si>
  <si>
    <t>dx/dt</t>
  </si>
  <si>
    <t>Linear chair speed (m/s)</t>
  </si>
  <si>
    <t>t</t>
  </si>
  <si>
    <t>Time to top speed</t>
  </si>
  <si>
    <t>s</t>
  </si>
  <si>
    <t>e (eqn 5)</t>
  </si>
  <si>
    <t>Train Value</t>
  </si>
  <si>
    <t>e (eqn 10)</t>
  </si>
  <si>
    <t>Bending</t>
  </si>
  <si>
    <t>Sustained time</t>
  </si>
  <si>
    <t>t_sustained</t>
  </si>
  <si>
    <t>Moment on lever</t>
  </si>
  <si>
    <t>M</t>
  </si>
  <si>
    <t>mins</t>
  </si>
  <si>
    <t>https://ocw.mit.edu/courses/edgerton-center/ec-711-d-lab-energy-spring-2011/intro-energy-basics-human-power/lab-1-human-power-homework/MITEC_711S11_lab1_pedal.pdf</t>
  </si>
  <si>
    <t>assume rigid connection at bottom (worst case)</t>
  </si>
  <si>
    <t>Max Stress</t>
  </si>
  <si>
    <t>McMaster-Carr sprocket</t>
  </si>
  <si>
    <t>2737T118</t>
  </si>
  <si>
    <t>Mass of trailrider</t>
  </si>
  <si>
    <t>m_chair</t>
  </si>
  <si>
    <t>https://chairinstitute.com/grit-freedom-chair/ 45lb=20.4116567 kilograms</t>
  </si>
  <si>
    <t>Input power</t>
  </si>
  <si>
    <t>H_in</t>
  </si>
  <si>
    <t>Pa</t>
  </si>
  <si>
    <t>Shaft moment of inertia</t>
  </si>
  <si>
    <t>I_shaft</t>
  </si>
  <si>
    <t>0.3 conversion from legs to arm based on "Appendix - Power Calculations" from "Evaluation Criteria Development and Weighting"</t>
  </si>
  <si>
    <t>Tabulated power</t>
  </si>
  <si>
    <t>H_tab</t>
  </si>
  <si>
    <t>HP</t>
  </si>
  <si>
    <t>Shigley's 10th ed, table 17-20</t>
  </si>
  <si>
    <t>Mass of rider</t>
  </si>
  <si>
    <t>m_person</t>
  </si>
  <si>
    <t>https://www150.statcan.gc.ca/n1/pub/82-003-x/2011003/article/11533/tbl/tbl1-eng.htm</t>
  </si>
  <si>
    <t>m^4</t>
  </si>
  <si>
    <t>Steel Yield Strength</t>
  </si>
  <si>
    <t>Driven sprocket speed</t>
  </si>
  <si>
    <t>w_driven</t>
  </si>
  <si>
    <t>SAFE</t>
  </si>
  <si>
    <t>Fatigue</t>
  </si>
  <si>
    <t>rot/s</t>
  </si>
  <si>
    <t>Correction factor</t>
  </si>
  <si>
    <t>K_1</t>
  </si>
  <si>
    <t>unitless</t>
  </si>
  <si>
    <t>Shigley's 10th ed, table 17-22</t>
  </si>
  <si>
    <t>Wheel diameter</t>
  </si>
  <si>
    <t>d_wheel</t>
  </si>
  <si>
    <t>26in=0.6604m , temp value</t>
  </si>
  <si>
    <t>rpm</t>
  </si>
  <si>
    <t>Strand correction</t>
  </si>
  <si>
    <t>Ultimate Tensile Strength</t>
  </si>
  <si>
    <t>K_2</t>
  </si>
  <si>
    <t>Shigley's 10th ed, table 17-23</t>
  </si>
  <si>
    <t>Desired velocity</t>
  </si>
  <si>
    <t>v_desired</t>
  </si>
  <si>
    <t>We defined it, since BCMOS' number seems low [(6500m/7200s)(5/12)=0.374m/s , speed factor from "How long is a hike" from "BCMOS Background"]</t>
  </si>
  <si>
    <t>Input torque</t>
  </si>
  <si>
    <t>Iin</t>
  </si>
  <si>
    <t>Endurance limit</t>
  </si>
  <si>
    <t>Allowable power, spec'ed</t>
  </si>
  <si>
    <t>H_a'</t>
  </si>
  <si>
    <t>Service factor</t>
  </si>
  <si>
    <t>K_s</t>
  </si>
  <si>
    <t>Light shock</t>
  </si>
  <si>
    <t>Allowable power</t>
  </si>
  <si>
    <t>H_a</t>
  </si>
  <si>
    <t>Coefficient of dynamic friction between gravel road and bike tires</t>
  </si>
  <si>
    <t>f</t>
  </si>
  <si>
    <t>https://www.engineeringtoolbox.com/rolling-friction-resistance-d_1303.html bicycle tire on rough paved road</t>
  </si>
  <si>
    <t>Recalculated stress safety factor</t>
  </si>
  <si>
    <t>SF'</t>
  </si>
  <si>
    <t>Stress Safety Factor</t>
  </si>
  <si>
    <t>SF</t>
  </si>
  <si>
    <t>Based on common value in M325</t>
  </si>
  <si>
    <t>Driving sprocket speed</t>
  </si>
  <si>
    <t>w_driving</t>
  </si>
  <si>
    <t>Recalculated life safety factor</t>
  </si>
  <si>
    <t>Life Expectancy Safety Factor</t>
  </si>
  <si>
    <t>Rides / weekend day</t>
  </si>
  <si>
    <t>Approximation</t>
  </si>
  <si>
    <t>Lifecycle use</t>
  </si>
  <si>
    <t>t_desired</t>
  </si>
  <si>
    <t>hr</t>
  </si>
  <si>
    <t>Weekend days / month</t>
  </si>
  <si>
    <t>4 weeks/month</t>
  </si>
  <si>
    <t>Output power</t>
  </si>
  <si>
    <t>H_out</t>
  </si>
  <si>
    <t>Usable months / year</t>
  </si>
  <si>
    <t>Based on client interview</t>
  </si>
  <si>
    <t>Years / lifetime</t>
  </si>
  <si>
    <t>We defined it</t>
  </si>
  <si>
    <t>Gravity</t>
  </si>
  <si>
    <t>g</t>
  </si>
  <si>
    <t>m/(s^2)</t>
  </si>
  <si>
    <t>Train value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</si>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</sst>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yyyy/m"/>
  </numFmts>
  <fonts count="9">
    <font>
      <sz val="10.0"/>
      <color rgb="FF000000"/>
      <name val="Arial"/>
    </font>
    <font>
      <color theme="1"/>
      <name val="Arial"/>
    </font>
    <font>
      <b/>
      <i/>
      <sz val="11.0"/>
      <color theme="1"/>
      <name val="Arial"/>
    </font>
    <font>
      <b/>
      <i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b/>
      <color theme="1"/>
      <name val="Arial"/>
    </font>
    <font>
      <u/>
      <color rgb="FF0000FF"/>
    </font>
    <font>
      <u/>
      <sz val="11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2" xfId="0" applyAlignment="1" applyFont="1" applyNumberFormat="1">
      <alignment readingOrder="0" shrinkToFit="0" wrapText="0"/>
    </xf>
    <xf borderId="0" fillId="0" fontId="3" numFmtId="2" xfId="0" applyAlignment="1" applyFont="1" applyNumberFormat="1">
      <alignment readingOrder="0" shrinkToFit="0" wrapText="0"/>
    </xf>
    <xf borderId="0" fillId="0" fontId="4" numFmtId="2" xfId="0" applyAlignment="1" applyFont="1" applyNumberFormat="1">
      <alignment shrinkToFit="0" wrapText="0"/>
    </xf>
    <xf borderId="0" fillId="0" fontId="1" numFmtId="2" xfId="0" applyAlignment="1" applyFont="1" applyNumberFormat="1">
      <alignment shrinkToFit="0" wrapText="0"/>
    </xf>
    <xf borderId="0" fillId="0" fontId="3" numFmtId="0" xfId="0" applyAlignment="1" applyFont="1">
      <alignment readingOrder="0"/>
    </xf>
    <xf borderId="0" fillId="0" fontId="5" numFmtId="2" xfId="0" applyAlignment="1" applyFont="1" applyNumberFormat="1">
      <alignment readingOrder="0" shrinkToFit="0" wrapText="0"/>
    </xf>
    <xf borderId="0" fillId="0" fontId="6" numFmtId="0" xfId="0" applyAlignment="1" applyFont="1">
      <alignment readingOrder="0"/>
    </xf>
    <xf borderId="0" fillId="0" fontId="6" numFmtId="2" xfId="0" applyAlignment="1" applyFont="1" applyNumberFormat="1">
      <alignment readingOrder="0" shrinkToFit="0" wrapText="0"/>
    </xf>
    <xf borderId="0" fillId="0" fontId="4" numFmtId="2" xfId="0" applyAlignment="1" applyFont="1" applyNumberFormat="1">
      <alignment readingOrder="0" shrinkToFit="0" wrapText="0"/>
    </xf>
    <xf borderId="0" fillId="0" fontId="1" numFmtId="2" xfId="0" applyFont="1" applyNumberFormat="1"/>
    <xf borderId="0" fillId="0" fontId="1" numFmtId="0" xfId="0" applyFont="1"/>
    <xf borderId="0" fillId="2" fontId="1" numFmtId="0" xfId="0" applyFill="1" applyFont="1"/>
    <xf borderId="0" fillId="3" fontId="6" numFmtId="0" xfId="0" applyAlignment="1" applyFill="1" applyFont="1">
      <alignment horizontal="center" readingOrder="0"/>
    </xf>
    <xf borderId="0" fillId="3" fontId="1" numFmtId="0" xfId="0" applyFont="1"/>
    <xf borderId="0" fillId="4" fontId="1" numFmtId="0" xfId="0" applyAlignment="1" applyFill="1" applyFont="1">
      <alignment horizontal="center" readingOrder="0"/>
    </xf>
    <xf borderId="0" fillId="4" fontId="1" numFmtId="0" xfId="0" applyFont="1"/>
    <xf borderId="0" fillId="4" fontId="1" numFmtId="2" xfId="0" applyAlignment="1" applyFont="1" applyNumberForma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0" xfId="0" applyFont="1"/>
    <xf borderId="0" fillId="5" fontId="1" numFmtId="2" xfId="0" applyAlignment="1" applyFont="1" applyNumberForma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6" fontId="1" numFmtId="164" xfId="0" applyAlignment="1" applyFont="1" applyNumberFormat="1">
      <alignment horizontal="center"/>
    </xf>
    <xf borderId="0" fillId="6" fontId="1" numFmtId="0" xfId="0" applyAlignment="1" applyFont="1">
      <alignment horizontal="center"/>
    </xf>
    <xf borderId="0" fillId="6" fontId="1" numFmtId="0" xfId="0" applyFont="1"/>
    <xf borderId="1" fillId="4" fontId="1" numFmtId="0" xfId="0" applyAlignment="1" applyBorder="1" applyFont="1">
      <alignment horizontal="center" readingOrder="0"/>
    </xf>
    <xf borderId="2" fillId="4" fontId="1" numFmtId="0" xfId="0" applyAlignment="1" applyBorder="1" applyFont="1">
      <alignment horizontal="center" readingOrder="0"/>
    </xf>
    <xf borderId="3" fillId="4" fontId="1" numFmtId="0" xfId="0" applyAlignment="1" applyBorder="1" applyFont="1">
      <alignment horizontal="center" readingOrder="0"/>
    </xf>
    <xf borderId="4" fillId="5" fontId="1" numFmtId="0" xfId="0" applyAlignment="1" applyBorder="1" applyFont="1">
      <alignment horizontal="center" readingOrder="0"/>
    </xf>
    <xf borderId="5" fillId="5" fontId="1" numFmtId="0" xfId="0" applyAlignment="1" applyBorder="1" applyFont="1">
      <alignment horizontal="center" readingOrder="0"/>
    </xf>
    <xf borderId="6" fillId="5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8" fillId="5" fontId="1" numFmtId="2" xfId="0" applyAlignment="1" applyBorder="1" applyFont="1" applyNumberFormat="1">
      <alignment horizontal="center" readingOrder="0"/>
    </xf>
    <xf borderId="9" fillId="5" fontId="1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2" xfId="0" applyAlignment="1" applyFont="1" applyNumberFormat="1">
      <alignment readingOrder="0" shrinkToFit="0" wrapText="0"/>
    </xf>
    <xf borderId="10" fillId="0" fontId="6" numFmtId="2" xfId="0" applyAlignment="1" applyBorder="1" applyFont="1" applyNumberFormat="1">
      <alignment readingOrder="0" shrinkToFit="0" wrapText="0"/>
    </xf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0" fillId="0" fontId="4" numFmtId="2" xfId="0" applyFont="1" applyNumberFormat="1"/>
    <xf borderId="10" fillId="2" fontId="1" numFmtId="0" xfId="0" applyAlignment="1" applyBorder="1" applyFont="1">
      <alignment readingOrder="0"/>
    </xf>
    <xf borderId="10" fillId="2" fontId="1" numFmtId="0" xfId="0" applyBorder="1" applyFont="1"/>
    <xf borderId="0" fillId="0" fontId="4" numFmtId="2" xfId="0" applyAlignment="1" applyFont="1" applyNumberFormat="1">
      <alignment readingOrder="0"/>
    </xf>
    <xf borderId="8" fillId="0" fontId="3" numFmtId="0" xfId="0" applyAlignment="1" applyBorder="1" applyFont="1">
      <alignment readingOrder="0"/>
    </xf>
    <xf borderId="8" fillId="0" fontId="1" numFmtId="0" xfId="0" applyBorder="1" applyFont="1"/>
    <xf borderId="11" fillId="0" fontId="6" numFmtId="2" xfId="0" applyAlignment="1" applyBorder="1" applyFont="1" applyNumberFormat="1">
      <alignment readingOrder="0" shrinkToFit="0" wrapText="0"/>
    </xf>
    <xf borderId="0" fillId="7" fontId="4" numFmtId="2" xfId="0" applyAlignment="1" applyFill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ancouvertrails.com/trails/stanley-park/" TargetMode="External"/><Relationship Id="rId2" Type="http://schemas.openxmlformats.org/officeDocument/2006/relationships/hyperlink" Target="https://ocw.mit.edu/courses/edgerton-center/ec-711-d-lab-energy-spring-2011/intro-energy-basics-human-power/lab-1-human-power-homework/MITEC_711S11_lab1_pedal.pdf" TargetMode="External"/><Relationship Id="rId3" Type="http://schemas.openxmlformats.org/officeDocument/2006/relationships/hyperlink" Target="https://www150.statcan.gc.ca/n1/pub/82-003-x/2011003/article/11533/tbl/tbl1-eng.ht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sm.matweb.com/search/SpecificMaterial.asp?bassnum=mq304a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</cols>
  <sheetData>
    <row r="1">
      <c r="A1" s="2" t="s">
        <v>1</v>
      </c>
      <c r="B1" s="4"/>
      <c r="C1" s="4"/>
      <c r="D1" s="4"/>
      <c r="E1" s="4"/>
      <c r="F1" s="2" t="s">
        <v>3</v>
      </c>
      <c r="G1" s="4"/>
      <c r="H1" s="4"/>
      <c r="I1" s="4"/>
      <c r="J1" s="4"/>
      <c r="K1" s="2" t="s">
        <v>4</v>
      </c>
      <c r="L1" s="4"/>
      <c r="M1" s="4"/>
      <c r="N1" s="4"/>
      <c r="O1" s="4"/>
    </row>
    <row r="2">
      <c r="A2" s="7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6</v>
      </c>
      <c r="L2" s="7" t="s">
        <v>7</v>
      </c>
      <c r="M2" s="7" t="s">
        <v>8</v>
      </c>
      <c r="N2" s="7" t="s">
        <v>9</v>
      </c>
      <c r="O2" s="7" t="s">
        <v>10</v>
      </c>
    </row>
    <row r="3">
      <c r="A3" s="10" t="s">
        <v>11</v>
      </c>
      <c r="B3" s="10" t="s">
        <v>14</v>
      </c>
      <c r="C3" s="10">
        <v>6500.0</v>
      </c>
      <c r="D3" s="10" t="s">
        <v>17</v>
      </c>
      <c r="E3" s="37" t="s">
        <v>18</v>
      </c>
      <c r="F3" s="10" t="s">
        <v>109</v>
      </c>
      <c r="G3" s="10" t="s">
        <v>110</v>
      </c>
      <c r="H3" s="4">
        <f>(C3/C7)/60</f>
        <v>108.3333333</v>
      </c>
      <c r="I3" s="10" t="s">
        <v>113</v>
      </c>
      <c r="J3" s="37" t="s">
        <v>114</v>
      </c>
      <c r="K3" s="10" t="s">
        <v>117</v>
      </c>
      <c r="L3" s="4"/>
      <c r="M3" s="10" t="s">
        <v>118</v>
      </c>
      <c r="N3" s="41"/>
      <c r="O3" s="4"/>
    </row>
    <row r="4">
      <c r="A4" s="10" t="s">
        <v>119</v>
      </c>
      <c r="B4" s="10" t="s">
        <v>120</v>
      </c>
      <c r="C4" s="10">
        <v>20.4116567</v>
      </c>
      <c r="D4" s="10" t="s">
        <v>68</v>
      </c>
      <c r="E4" s="10" t="s">
        <v>121</v>
      </c>
      <c r="F4" s="10" t="s">
        <v>122</v>
      </c>
      <c r="G4" s="10" t="s">
        <v>123</v>
      </c>
      <c r="H4" s="10">
        <f>100*0.3</f>
        <v>30</v>
      </c>
      <c r="I4" s="10" t="s">
        <v>58</v>
      </c>
      <c r="J4" s="10" t="s">
        <v>127</v>
      </c>
      <c r="K4" s="10" t="s">
        <v>128</v>
      </c>
      <c r="L4" s="10" t="s">
        <v>129</v>
      </c>
      <c r="M4" s="4">
        <f>0.37*(min(H11,H6)/50)</f>
        <v>0.214006041</v>
      </c>
      <c r="N4" s="10" t="s">
        <v>130</v>
      </c>
      <c r="O4" s="10" t="s">
        <v>131</v>
      </c>
    </row>
    <row r="5">
      <c r="A5" s="10" t="s">
        <v>132</v>
      </c>
      <c r="B5" s="10" t="s">
        <v>133</v>
      </c>
      <c r="C5" s="10">
        <v>83.8</v>
      </c>
      <c r="D5" s="10" t="s">
        <v>68</v>
      </c>
      <c r="E5" s="37" t="s">
        <v>134</v>
      </c>
      <c r="F5" s="44" t="s">
        <v>137</v>
      </c>
      <c r="G5" s="44" t="s">
        <v>138</v>
      </c>
      <c r="H5" s="41">
        <f>C7/(PI()*C6)</f>
        <v>0.4819955878</v>
      </c>
      <c r="I5" s="44" t="s">
        <v>141</v>
      </c>
      <c r="J5" s="10"/>
      <c r="K5" s="10" t="s">
        <v>142</v>
      </c>
      <c r="L5" s="10" t="s">
        <v>143</v>
      </c>
      <c r="M5" s="10">
        <v>1.0</v>
      </c>
      <c r="N5" s="10" t="s">
        <v>144</v>
      </c>
      <c r="O5" s="10" t="s">
        <v>145</v>
      </c>
    </row>
    <row r="6">
      <c r="A6" s="10" t="s">
        <v>146</v>
      </c>
      <c r="B6" s="10" t="s">
        <v>147</v>
      </c>
      <c r="C6" s="10">
        <v>0.6604</v>
      </c>
      <c r="D6" s="10" t="s">
        <v>17</v>
      </c>
      <c r="E6" s="10" t="s">
        <v>148</v>
      </c>
      <c r="F6" s="44" t="s">
        <v>137</v>
      </c>
      <c r="G6" s="44" t="s">
        <v>138</v>
      </c>
      <c r="H6" s="41">
        <f>60*H5</f>
        <v>28.91973527</v>
      </c>
      <c r="I6" s="44" t="s">
        <v>149</v>
      </c>
      <c r="J6" s="10"/>
      <c r="K6" s="10" t="s">
        <v>150</v>
      </c>
      <c r="L6" s="10" t="s">
        <v>152</v>
      </c>
      <c r="M6" s="10">
        <v>1.0</v>
      </c>
      <c r="N6" s="10" t="s">
        <v>144</v>
      </c>
      <c r="O6" s="10" t="s">
        <v>153</v>
      </c>
    </row>
    <row r="7">
      <c r="A7" s="10" t="s">
        <v>154</v>
      </c>
      <c r="B7" s="10" t="s">
        <v>155</v>
      </c>
      <c r="C7" s="10">
        <v>1.0</v>
      </c>
      <c r="D7" s="10" t="s">
        <v>99</v>
      </c>
      <c r="E7" s="10" t="s">
        <v>156</v>
      </c>
      <c r="F7" s="10" t="s">
        <v>157</v>
      </c>
      <c r="G7" s="10" t="s">
        <v>158</v>
      </c>
      <c r="H7" s="10">
        <f>H4/(H10*2*PI())</f>
        <v>6.9342</v>
      </c>
      <c r="I7" s="10" t="s">
        <v>19</v>
      </c>
      <c r="J7" s="10"/>
      <c r="K7" s="10" t="s">
        <v>160</v>
      </c>
      <c r="L7" s="10" t="s">
        <v>161</v>
      </c>
      <c r="M7" s="4">
        <f>M4*M5*M6</f>
        <v>0.214006041</v>
      </c>
      <c r="N7" s="10" t="s">
        <v>130</v>
      </c>
      <c r="O7" s="4"/>
    </row>
    <row r="8">
      <c r="A8" s="10" t="s">
        <v>162</v>
      </c>
      <c r="B8" s="10" t="s">
        <v>163</v>
      </c>
      <c r="C8" s="10">
        <v>1.0</v>
      </c>
      <c r="D8" s="10" t="s">
        <v>144</v>
      </c>
      <c r="E8" s="10" t="s">
        <v>164</v>
      </c>
      <c r="F8" s="10" t="s">
        <v>165</v>
      </c>
      <c r="G8" s="10" t="s">
        <v>166</v>
      </c>
      <c r="H8" s="4">
        <f>sqrt(C8*H4*C10*H13)</f>
        <v>19.18420931</v>
      </c>
      <c r="I8" s="10" t="s">
        <v>58</v>
      </c>
      <c r="J8" s="10"/>
      <c r="K8" s="10" t="s">
        <v>160</v>
      </c>
      <c r="L8" s="10" t="s">
        <v>161</v>
      </c>
      <c r="M8" s="4">
        <f>M7*735.75</f>
        <v>157.4549447</v>
      </c>
      <c r="N8" s="10" t="s">
        <v>58</v>
      </c>
      <c r="O8" s="4"/>
    </row>
    <row r="9">
      <c r="A9" s="10" t="s">
        <v>167</v>
      </c>
      <c r="B9" s="10" t="s">
        <v>168</v>
      </c>
      <c r="C9" s="10">
        <v>0.008</v>
      </c>
      <c r="D9" s="10" t="s">
        <v>144</v>
      </c>
      <c r="E9" s="10" t="s">
        <v>169</v>
      </c>
      <c r="F9" s="10" t="s">
        <v>165</v>
      </c>
      <c r="G9" s="10" t="s">
        <v>166</v>
      </c>
      <c r="H9" s="4">
        <f>H8/735.75</f>
        <v>0.02607435856</v>
      </c>
      <c r="I9" s="10" t="s">
        <v>130</v>
      </c>
      <c r="J9" s="10"/>
      <c r="K9" s="10" t="s">
        <v>170</v>
      </c>
      <c r="L9" s="10" t="s">
        <v>171</v>
      </c>
      <c r="M9" s="4">
        <f>(M8^2)/(H4*C8*C9*(C4+C5)*C16*(C7/(C6*PI())/2))</f>
        <v>419.2788842</v>
      </c>
      <c r="N9" s="10" t="s">
        <v>144</v>
      </c>
      <c r="O9" s="4"/>
    </row>
    <row r="10">
      <c r="A10" s="10" t="s">
        <v>172</v>
      </c>
      <c r="B10" s="10" t="s">
        <v>173</v>
      </c>
      <c r="C10" s="10">
        <v>3.0</v>
      </c>
      <c r="D10" s="10" t="s">
        <v>144</v>
      </c>
      <c r="E10" s="10" t="s">
        <v>174</v>
      </c>
      <c r="F10" s="10" t="s">
        <v>175</v>
      </c>
      <c r="G10" s="10" t="s">
        <v>176</v>
      </c>
      <c r="H10" s="4">
        <f>H5/C17</f>
        <v>0.6885651254</v>
      </c>
      <c r="I10" s="10" t="s">
        <v>141</v>
      </c>
      <c r="J10" s="10"/>
      <c r="K10" s="10" t="s">
        <v>177</v>
      </c>
      <c r="L10" s="10" t="s">
        <v>171</v>
      </c>
      <c r="M10" s="4">
        <f>15000/H12</f>
        <v>25.96153846</v>
      </c>
      <c r="N10" s="10" t="s">
        <v>144</v>
      </c>
      <c r="O10" s="4"/>
    </row>
    <row r="11">
      <c r="A11" s="10" t="s">
        <v>178</v>
      </c>
      <c r="B11" s="10" t="s">
        <v>173</v>
      </c>
      <c r="C11" s="10">
        <v>2.0</v>
      </c>
      <c r="D11" s="10" t="s">
        <v>144</v>
      </c>
      <c r="E11" s="10" t="s">
        <v>174</v>
      </c>
      <c r="F11" s="10" t="s">
        <v>175</v>
      </c>
      <c r="G11" s="10" t="s">
        <v>176</v>
      </c>
      <c r="H11" s="4">
        <f>H10*60</f>
        <v>41.31390753</v>
      </c>
      <c r="I11" s="10" t="s">
        <v>149</v>
      </c>
      <c r="J11" s="10"/>
      <c r="K11" s="4"/>
      <c r="L11" s="4"/>
      <c r="M11" s="4"/>
      <c r="N11" s="4"/>
      <c r="O11" s="4"/>
      <c r="P11" s="5"/>
      <c r="Q11" s="5"/>
      <c r="R11" s="5"/>
      <c r="S11" s="5"/>
      <c r="T11" s="5"/>
    </row>
    <row r="12">
      <c r="A12" s="10" t="s">
        <v>179</v>
      </c>
      <c r="B12" s="4"/>
      <c r="C12" s="10">
        <v>1.0</v>
      </c>
      <c r="D12" s="4"/>
      <c r="E12" s="10" t="s">
        <v>180</v>
      </c>
      <c r="F12" s="44" t="s">
        <v>181</v>
      </c>
      <c r="G12" s="44" t="s">
        <v>182</v>
      </c>
      <c r="H12" s="41">
        <f>H3*PRODUCT(C12:C15)/60</f>
        <v>577.7777778</v>
      </c>
      <c r="I12" s="44" t="s">
        <v>183</v>
      </c>
      <c r="J12" s="10"/>
      <c r="K12" s="4"/>
      <c r="L12" s="4"/>
      <c r="M12" s="4"/>
      <c r="N12" s="4"/>
      <c r="O12" s="4"/>
      <c r="P12" s="5"/>
      <c r="Q12" s="5"/>
      <c r="R12" s="5"/>
      <c r="S12" s="5"/>
      <c r="T12" s="5"/>
    </row>
    <row r="13">
      <c r="A13" s="10" t="s">
        <v>184</v>
      </c>
      <c r="B13" s="4"/>
      <c r="C13" s="10">
        <v>8.0</v>
      </c>
      <c r="D13" s="4"/>
      <c r="E13" s="10" t="s">
        <v>185</v>
      </c>
      <c r="F13" s="10" t="s">
        <v>186</v>
      </c>
      <c r="G13" s="10" t="s">
        <v>187</v>
      </c>
      <c r="H13" s="48">
        <f>C7*C9*(C4+C5)*C16/2</f>
        <v>4.089265409</v>
      </c>
      <c r="I13" s="10" t="s">
        <v>58</v>
      </c>
      <c r="J13" s="10"/>
      <c r="K13" s="4"/>
      <c r="L13" s="4"/>
      <c r="M13" s="4"/>
      <c r="N13" s="4"/>
      <c r="O13" s="4"/>
      <c r="P13" s="5"/>
      <c r="Q13" s="5"/>
      <c r="R13" s="5"/>
      <c r="S13" s="5"/>
      <c r="T13" s="5"/>
    </row>
    <row r="14">
      <c r="A14" s="10" t="s">
        <v>188</v>
      </c>
      <c r="B14" s="4"/>
      <c r="C14" s="10">
        <v>4.0</v>
      </c>
      <c r="D14" s="4"/>
      <c r="E14" s="10" t="s">
        <v>189</v>
      </c>
      <c r="F14" s="10"/>
      <c r="G14" s="10"/>
      <c r="H14" s="10"/>
      <c r="I14" s="10"/>
      <c r="J14" s="10"/>
      <c r="K14" s="4"/>
      <c r="L14" s="4"/>
      <c r="M14" s="4"/>
      <c r="N14" s="4"/>
      <c r="O14" s="4"/>
      <c r="P14" s="5"/>
      <c r="Q14" s="5"/>
      <c r="R14" s="5"/>
      <c r="S14" s="5"/>
      <c r="T14" s="5"/>
    </row>
    <row r="15">
      <c r="A15" s="10" t="s">
        <v>190</v>
      </c>
      <c r="B15" s="4"/>
      <c r="C15" s="10">
        <v>10.0</v>
      </c>
      <c r="D15" s="4"/>
      <c r="E15" s="10" t="s">
        <v>191</v>
      </c>
      <c r="F15" s="10"/>
      <c r="G15" s="10"/>
      <c r="H15" s="10"/>
      <c r="I15" s="10"/>
      <c r="J15" s="10"/>
      <c r="K15" s="4"/>
      <c r="L15" s="4"/>
      <c r="M15" s="4"/>
      <c r="N15" s="4"/>
      <c r="O15" s="4"/>
      <c r="P15" s="5"/>
      <c r="Q15" s="5"/>
      <c r="R15" s="5"/>
      <c r="S15" s="5"/>
      <c r="T15" s="5"/>
    </row>
    <row r="16">
      <c r="A16" s="10" t="s">
        <v>192</v>
      </c>
      <c r="B16" s="10" t="s">
        <v>193</v>
      </c>
      <c r="C16" s="10">
        <v>9.81</v>
      </c>
      <c r="D16" s="10" t="s">
        <v>194</v>
      </c>
      <c r="E16" s="4"/>
      <c r="F16" s="10"/>
      <c r="G16" s="10"/>
      <c r="H16" s="10"/>
      <c r="I16" s="10"/>
      <c r="J16" s="10"/>
      <c r="K16" s="4"/>
      <c r="L16" s="4"/>
      <c r="M16" s="4"/>
      <c r="N16" s="4"/>
      <c r="O16" s="4"/>
      <c r="P16" s="5"/>
      <c r="Q16" s="5"/>
      <c r="R16" s="5"/>
      <c r="S16" s="5"/>
      <c r="T16" s="5"/>
    </row>
    <row r="17">
      <c r="A17" s="44" t="s">
        <v>195</v>
      </c>
      <c r="B17" s="44" t="s">
        <v>196</v>
      </c>
      <c r="C17" s="44">
        <v>0.7</v>
      </c>
      <c r="D17" s="41"/>
      <c r="E17" s="44" t="s">
        <v>191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5"/>
      <c r="R17" s="5"/>
      <c r="S17" s="5"/>
      <c r="T17" s="5"/>
    </row>
    <row r="18">
      <c r="F18" s="49"/>
      <c r="G18" s="49"/>
      <c r="H18" s="49"/>
      <c r="I18" s="49"/>
      <c r="J18" s="49"/>
      <c r="K18" s="5"/>
      <c r="L18" s="5"/>
      <c r="M18" s="5"/>
      <c r="N18" s="5"/>
      <c r="O18" s="5"/>
      <c r="P18" s="5"/>
      <c r="Q18" s="5"/>
      <c r="R18" s="5"/>
      <c r="S18" s="5"/>
      <c r="T18" s="5"/>
    </row>
    <row r="20">
      <c r="D20" s="50"/>
    </row>
  </sheetData>
  <hyperlinks>
    <hyperlink r:id="rId1" ref="E3"/>
    <hyperlink r:id="rId2" ref="J3"/>
    <hyperlink r:id="rId3" ref="E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7" max="8" width="21.43"/>
  </cols>
  <sheetData>
    <row r="1">
      <c r="A1" s="3" t="s">
        <v>1</v>
      </c>
      <c r="B1" s="5"/>
      <c r="C1" s="5"/>
      <c r="D1" s="5"/>
      <c r="E1" s="5"/>
      <c r="G1" s="6" t="s">
        <v>5</v>
      </c>
      <c r="H1" s="8"/>
    </row>
    <row r="2">
      <c r="A2" s="9" t="s">
        <v>6</v>
      </c>
      <c r="B2" s="9" t="s">
        <v>7</v>
      </c>
      <c r="C2" s="9" t="s">
        <v>8</v>
      </c>
      <c r="D2" s="9" t="s">
        <v>9</v>
      </c>
      <c r="E2" s="9" t="s">
        <v>10</v>
      </c>
      <c r="G2" s="8" t="s">
        <v>6</v>
      </c>
      <c r="H2" s="8" t="s">
        <v>7</v>
      </c>
      <c r="I2" s="8" t="s">
        <v>8</v>
      </c>
      <c r="J2" s="8" t="s">
        <v>12</v>
      </c>
      <c r="K2" s="8" t="s">
        <v>13</v>
      </c>
    </row>
    <row r="3">
      <c r="A3" s="1" t="s">
        <v>15</v>
      </c>
      <c r="B3" s="1" t="s">
        <v>16</v>
      </c>
      <c r="C3" s="11">
        <f>'Sprocket Calculations'!H7</f>
        <v>6.9342</v>
      </c>
      <c r="D3" s="1" t="s">
        <v>19</v>
      </c>
      <c r="G3" s="1" t="s">
        <v>20</v>
      </c>
      <c r="H3" s="1" t="s">
        <v>21</v>
      </c>
      <c r="I3" s="12">
        <f>(-((C24+C25)*(C10+C11+C12))-(C20*(C11+C12))-(C27*C12))/C13</f>
        <v>-16.71410941</v>
      </c>
      <c r="J3" s="1" t="s">
        <v>22</v>
      </c>
      <c r="K3" s="1" t="s">
        <v>23</v>
      </c>
    </row>
    <row r="4">
      <c r="A4" s="1" t="s">
        <v>24</v>
      </c>
      <c r="B4" s="1" t="s">
        <v>25</v>
      </c>
      <c r="C4" s="11">
        <f>'Sprocket Calculations'!H13/('Sprocket Calculations'!H10*2*pi())</f>
        <v>0.9451928066</v>
      </c>
      <c r="D4" s="1" t="s">
        <v>19</v>
      </c>
      <c r="E4" s="1" t="s">
        <v>26</v>
      </c>
      <c r="G4" s="1" t="s">
        <v>27</v>
      </c>
      <c r="H4" s="1" t="s">
        <v>28</v>
      </c>
      <c r="I4" s="13">
        <f>-I3+SUM(C24:C27)</f>
        <v>29.95397257</v>
      </c>
      <c r="J4" s="1" t="s">
        <v>22</v>
      </c>
      <c r="K4" s="1" t="s">
        <v>29</v>
      </c>
    </row>
    <row r="5">
      <c r="A5" s="8" t="s">
        <v>30</v>
      </c>
      <c r="G5" s="1" t="s">
        <v>31</v>
      </c>
      <c r="I5" s="1">
        <v>3500.0</v>
      </c>
      <c r="J5" s="1" t="s">
        <v>32</v>
      </c>
    </row>
    <row r="6">
      <c r="A6" s="1" t="s">
        <v>33</v>
      </c>
      <c r="B6" s="1" t="s">
        <v>34</v>
      </c>
      <c r="C6" s="1">
        <v>0.213</v>
      </c>
      <c r="D6" s="1" t="s">
        <v>17</v>
      </c>
      <c r="I6" s="12">
        <f>I5/2.205*9.81</f>
        <v>15571.42857</v>
      </c>
      <c r="J6" s="1" t="s">
        <v>22</v>
      </c>
    </row>
    <row r="7">
      <c r="A7" s="1" t="s">
        <v>35</v>
      </c>
      <c r="B7" s="1" t="s">
        <v>36</v>
      </c>
      <c r="C7" s="12">
        <f>(5/8/2)*0.0254</f>
        <v>0.0079375</v>
      </c>
      <c r="D7" s="1" t="s">
        <v>17</v>
      </c>
      <c r="G7" s="1" t="s">
        <v>37</v>
      </c>
      <c r="I7" s="13">
        <f>I6/I4</f>
        <v>519.8451904</v>
      </c>
    </row>
    <row r="8">
      <c r="A8" s="1" t="s">
        <v>38</v>
      </c>
      <c r="B8" s="1" t="s">
        <v>39</v>
      </c>
      <c r="C8" s="1">
        <f>'Train Value'!I5</f>
        <v>0.5</v>
      </c>
      <c r="D8" s="1" t="s">
        <v>17</v>
      </c>
    </row>
    <row r="9">
      <c r="A9" s="1" t="s">
        <v>40</v>
      </c>
      <c r="B9" s="1" t="s">
        <v>41</v>
      </c>
      <c r="C9" s="12">
        <f>C7</f>
        <v>0.0079375</v>
      </c>
      <c r="D9" s="1" t="s">
        <v>17</v>
      </c>
      <c r="G9" s="6" t="s">
        <v>42</v>
      </c>
      <c r="H9" s="1" t="s">
        <v>43</v>
      </c>
    </row>
    <row r="10">
      <c r="A10" s="1" t="s">
        <v>44</v>
      </c>
      <c r="B10" s="1" t="s">
        <v>45</v>
      </c>
      <c r="C10" s="1">
        <v>0.08</v>
      </c>
      <c r="D10" s="1" t="s">
        <v>17</v>
      </c>
      <c r="G10" s="8" t="s">
        <v>6</v>
      </c>
      <c r="H10" s="8" t="s">
        <v>7</v>
      </c>
      <c r="I10" s="8" t="s">
        <v>8</v>
      </c>
      <c r="J10" s="8" t="s">
        <v>12</v>
      </c>
      <c r="K10" s="8" t="s">
        <v>13</v>
      </c>
    </row>
    <row r="11">
      <c r="A11" s="1" t="s">
        <v>46</v>
      </c>
      <c r="B11" s="1" t="s">
        <v>47</v>
      </c>
      <c r="C11" s="1">
        <v>0.0135</v>
      </c>
      <c r="D11" s="1" t="s">
        <v>17</v>
      </c>
      <c r="G11" s="1" t="s">
        <v>48</v>
      </c>
      <c r="H11" s="1" t="s">
        <v>49</v>
      </c>
      <c r="I11" s="12">
        <f>C3/I14</f>
        <v>433.1184928</v>
      </c>
      <c r="J11" s="1" t="s">
        <v>22</v>
      </c>
      <c r="K11" s="1" t="s">
        <v>50</v>
      </c>
    </row>
    <row r="12">
      <c r="A12" s="1" t="s">
        <v>51</v>
      </c>
      <c r="B12" s="1" t="s">
        <v>52</v>
      </c>
      <c r="C12" s="1">
        <v>0.0315</v>
      </c>
      <c r="D12" s="1" t="s">
        <v>17</v>
      </c>
      <c r="G12" s="1" t="s">
        <v>53</v>
      </c>
      <c r="H12" s="1" t="s">
        <v>54</v>
      </c>
      <c r="I12" s="12">
        <f>I11*tan(I15)</f>
        <v>157.6422393</v>
      </c>
      <c r="J12" s="1" t="s">
        <v>22</v>
      </c>
    </row>
    <row r="13">
      <c r="A13" s="1" t="s">
        <v>55</v>
      </c>
      <c r="B13" s="1" t="s">
        <v>56</v>
      </c>
      <c r="C13" s="1">
        <v>0.06</v>
      </c>
      <c r="D13" s="1" t="s">
        <v>17</v>
      </c>
      <c r="G13" s="1" t="s">
        <v>57</v>
      </c>
      <c r="H13" s="1" t="s">
        <v>58</v>
      </c>
      <c r="I13" s="12">
        <f>sqrt((I12^2)+(I11^2))</f>
        <v>460.9150729</v>
      </c>
      <c r="J13" s="1" t="s">
        <v>22</v>
      </c>
    </row>
    <row r="14">
      <c r="A14" s="1" t="s">
        <v>59</v>
      </c>
      <c r="B14" s="1"/>
      <c r="C14" s="12">
        <f>1.49*0.0254</f>
        <v>0.037846</v>
      </c>
      <c r="D14" s="1" t="s">
        <v>17</v>
      </c>
      <c r="G14" s="1" t="s">
        <v>60</v>
      </c>
      <c r="H14" s="1" t="s">
        <v>61</v>
      </c>
      <c r="I14" s="12">
        <f>(C14+C15)/2/2</f>
        <v>0.0160099375</v>
      </c>
      <c r="J14" s="1" t="s">
        <v>17</v>
      </c>
    </row>
    <row r="15">
      <c r="A15" s="1" t="s">
        <v>62</v>
      </c>
      <c r="B15" s="1"/>
      <c r="C15" s="1">
        <f>(1+(1/32))*0.0254</f>
        <v>0.02619375</v>
      </c>
      <c r="D15" s="1" t="s">
        <v>17</v>
      </c>
      <c r="G15" s="1" t="s">
        <v>63</v>
      </c>
      <c r="I15" s="1">
        <f>20*pi()/180</f>
        <v>0.3490658504</v>
      </c>
      <c r="J15" s="1" t="s">
        <v>64</v>
      </c>
    </row>
    <row r="16">
      <c r="A16" s="1"/>
      <c r="B16" s="1"/>
      <c r="C16" s="1"/>
      <c r="D16" s="1"/>
      <c r="G16" s="1" t="s">
        <v>20</v>
      </c>
      <c r="H16" s="1" t="s">
        <v>21</v>
      </c>
      <c r="I16" s="12">
        <f>I3-(I13*(C11+C12))</f>
        <v>-37.45528769</v>
      </c>
      <c r="J16" s="1" t="s">
        <v>22</v>
      </c>
    </row>
    <row r="17">
      <c r="A17" s="8" t="s">
        <v>65</v>
      </c>
      <c r="G17" s="1" t="s">
        <v>27</v>
      </c>
      <c r="H17" s="1" t="s">
        <v>28</v>
      </c>
      <c r="I17" s="13">
        <f>-I16+SUM(C24:C27)+I13</f>
        <v>511.6102237</v>
      </c>
      <c r="J17" s="1" t="s">
        <v>22</v>
      </c>
      <c r="K17" s="1" t="s">
        <v>29</v>
      </c>
    </row>
    <row r="18">
      <c r="A18" s="1" t="s">
        <v>66</v>
      </c>
      <c r="B18" s="1" t="s">
        <v>67</v>
      </c>
      <c r="C18" s="1">
        <v>0.165</v>
      </c>
      <c r="D18" s="1" t="s">
        <v>68</v>
      </c>
      <c r="G18" s="1" t="s">
        <v>69</v>
      </c>
      <c r="I18" s="1">
        <v>710.0</v>
      </c>
      <c r="J18" s="1" t="s">
        <v>32</v>
      </c>
    </row>
    <row r="19">
      <c r="A19" s="1" t="s">
        <v>70</v>
      </c>
      <c r="B19" s="1" t="s">
        <v>71</v>
      </c>
      <c r="C19" s="1">
        <v>0.56</v>
      </c>
      <c r="D19" s="1" t="s">
        <v>68</v>
      </c>
      <c r="I19" s="12">
        <f>I18/2.205*9.81</f>
        <v>3158.77551</v>
      </c>
      <c r="J19" s="1" t="s">
        <v>22</v>
      </c>
    </row>
    <row r="20">
      <c r="A20" s="1" t="s">
        <v>72</v>
      </c>
      <c r="B20" s="1" t="s">
        <v>73</v>
      </c>
      <c r="C20" s="1">
        <v>0.3</v>
      </c>
      <c r="D20" s="1" t="s">
        <v>68</v>
      </c>
      <c r="G20" s="1" t="s">
        <v>37</v>
      </c>
      <c r="I20" s="13">
        <f>I19/I17</f>
        <v>6.174183712</v>
      </c>
    </row>
    <row r="21">
      <c r="A21" s="1" t="s">
        <v>74</v>
      </c>
      <c r="B21" s="1" t="s">
        <v>75</v>
      </c>
      <c r="C21" s="12">
        <f>(C7^2)*pi()*C6*C35</f>
        <v>0.3246292721</v>
      </c>
      <c r="D21" s="1" t="s">
        <v>68</v>
      </c>
    </row>
    <row r="23">
      <c r="A23" s="8" t="s">
        <v>76</v>
      </c>
    </row>
    <row r="24">
      <c r="A24" s="1" t="s">
        <v>66</v>
      </c>
      <c r="B24" s="1" t="s">
        <v>77</v>
      </c>
      <c r="C24" s="12">
        <f t="shared" ref="C24:C27" si="1">C18*9.81</f>
        <v>1.61865</v>
      </c>
      <c r="D24" s="1" t="s">
        <v>22</v>
      </c>
    </row>
    <row r="25">
      <c r="A25" s="1" t="s">
        <v>70</v>
      </c>
      <c r="B25" s="1" t="s">
        <v>78</v>
      </c>
      <c r="C25" s="12">
        <f t="shared" si="1"/>
        <v>5.4936</v>
      </c>
    </row>
    <row r="26">
      <c r="A26" s="1" t="s">
        <v>72</v>
      </c>
      <c r="B26" s="1" t="s">
        <v>79</v>
      </c>
      <c r="C26" s="12">
        <f t="shared" si="1"/>
        <v>2.943</v>
      </c>
    </row>
    <row r="27">
      <c r="A27" s="1" t="s">
        <v>74</v>
      </c>
      <c r="B27" s="1" t="s">
        <v>80</v>
      </c>
      <c r="C27" s="12">
        <f t="shared" si="1"/>
        <v>3.184613159</v>
      </c>
    </row>
    <row r="35">
      <c r="A35" s="1" t="s">
        <v>81</v>
      </c>
      <c r="B35" s="1" t="s">
        <v>82</v>
      </c>
      <c r="C35" s="1">
        <v>7700.0</v>
      </c>
      <c r="D35" s="1" t="s">
        <v>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</cols>
  <sheetData>
    <row r="1">
      <c r="A1" s="1" t="s">
        <v>0</v>
      </c>
      <c r="D1" s="36" t="s">
        <v>2</v>
      </c>
    </row>
    <row r="2">
      <c r="A2" s="6"/>
    </row>
    <row r="3">
      <c r="A3" s="6" t="s">
        <v>108</v>
      </c>
    </row>
    <row r="4">
      <c r="A4" s="38" t="s">
        <v>6</v>
      </c>
      <c r="B4" s="38" t="s">
        <v>7</v>
      </c>
      <c r="C4" s="38" t="s">
        <v>8</v>
      </c>
      <c r="D4" s="38" t="s">
        <v>9</v>
      </c>
      <c r="E4" s="9" t="s">
        <v>10</v>
      </c>
    </row>
    <row r="5">
      <c r="A5" s="39" t="s">
        <v>111</v>
      </c>
      <c r="B5" s="39" t="s">
        <v>112</v>
      </c>
      <c r="C5" s="40">
        <f>'Train Value'!D10*'Train Value'!D5</f>
        <v>10</v>
      </c>
      <c r="D5" s="39" t="s">
        <v>19</v>
      </c>
      <c r="E5" s="1" t="s">
        <v>115</v>
      </c>
    </row>
    <row r="6">
      <c r="A6" s="39" t="s">
        <v>116</v>
      </c>
      <c r="B6" s="40"/>
      <c r="C6" s="40">
        <f>C5*'Bearing Calculations'!C9/C7</f>
        <v>43123356.32</v>
      </c>
      <c r="D6" s="39" t="s">
        <v>124</v>
      </c>
    </row>
    <row r="7">
      <c r="A7" s="39" t="s">
        <v>125</v>
      </c>
      <c r="B7" s="39" t="s">
        <v>126</v>
      </c>
      <c r="C7" s="40">
        <f>pi()/4*(('Bearing Calculations'!C9)^4-('Bearing Calculations'!C9-0.0015875)^4)</f>
        <v>0.000000001840649865</v>
      </c>
      <c r="D7" s="39" t="s">
        <v>135</v>
      </c>
    </row>
    <row r="8">
      <c r="A8" s="39" t="s">
        <v>136</v>
      </c>
      <c r="B8" s="40"/>
      <c r="C8" s="39">
        <f>215000000</f>
        <v>215000000</v>
      </c>
      <c r="D8" s="39" t="s">
        <v>124</v>
      </c>
    </row>
    <row r="9">
      <c r="A9" s="42" t="s">
        <v>37</v>
      </c>
      <c r="B9" s="43"/>
      <c r="C9" s="43">
        <f>C8/C6</f>
        <v>4.985697273</v>
      </c>
      <c r="D9" s="43"/>
      <c r="E9" s="1" t="s">
        <v>139</v>
      </c>
    </row>
    <row r="11">
      <c r="A11" s="45" t="s">
        <v>140</v>
      </c>
      <c r="B11" s="46"/>
      <c r="C11" s="46"/>
      <c r="D11" s="46"/>
    </row>
    <row r="12">
      <c r="A12" s="47" t="s">
        <v>6</v>
      </c>
      <c r="B12" s="47" t="s">
        <v>7</v>
      </c>
      <c r="C12" s="47" t="s">
        <v>8</v>
      </c>
      <c r="D12" s="47" t="s">
        <v>9</v>
      </c>
      <c r="E12" s="9" t="s">
        <v>10</v>
      </c>
    </row>
    <row r="13">
      <c r="A13" s="39" t="s">
        <v>151</v>
      </c>
      <c r="B13" s="40"/>
      <c r="C13" s="40">
        <f>505000000
</f>
        <v>505000000</v>
      </c>
      <c r="D13" s="39" t="s">
        <v>124</v>
      </c>
    </row>
    <row r="14">
      <c r="A14" s="39" t="s">
        <v>159</v>
      </c>
      <c r="B14" s="40"/>
      <c r="C14" s="40">
        <f>C13/2</f>
        <v>252500000</v>
      </c>
      <c r="D14" s="39" t="s">
        <v>124</v>
      </c>
    </row>
    <row r="15">
      <c r="A15" s="42" t="s">
        <v>37</v>
      </c>
      <c r="B15" s="43"/>
      <c r="C15" s="43">
        <f>C14/C6</f>
        <v>5.855295634</v>
      </c>
      <c r="D15" s="43"/>
      <c r="E15" s="1" t="s">
        <v>139</v>
      </c>
    </row>
  </sheetData>
  <hyperlinks>
    <hyperlink r:id="rId1" ref="D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9.57"/>
    <col customWidth="1" min="3" max="3" width="21.14"/>
    <col customWidth="1" min="4" max="4" width="8.71"/>
    <col customWidth="1" min="5" max="5" width="8.57"/>
    <col customWidth="1" min="8" max="8" width="20.57"/>
    <col customWidth="1" min="9" max="9" width="10.71"/>
    <col customWidth="1" min="10" max="10" width="8.57"/>
    <col customWidth="1" min="13" max="13" width="21.14"/>
  </cols>
  <sheetData>
    <row r="1">
      <c r="A1" s="8"/>
      <c r="B1" s="8"/>
      <c r="C1" s="8"/>
      <c r="D1" s="8"/>
      <c r="E1" s="8"/>
      <c r="G1" s="1"/>
      <c r="H1" s="1"/>
      <c r="I1" s="1"/>
      <c r="J1" s="1"/>
    </row>
    <row r="2">
      <c r="A2" s="8"/>
      <c r="B2" s="8"/>
      <c r="C2" s="8"/>
      <c r="D2" s="8"/>
      <c r="E2" s="8"/>
    </row>
    <row r="3">
      <c r="A3" s="8"/>
      <c r="B3" s="14" t="s">
        <v>84</v>
      </c>
      <c r="C3" s="14" t="s">
        <v>85</v>
      </c>
      <c r="D3" s="14" t="s">
        <v>8</v>
      </c>
      <c r="E3" s="14" t="s">
        <v>9</v>
      </c>
      <c r="F3" s="15"/>
      <c r="G3" s="14" t="s">
        <v>84</v>
      </c>
      <c r="H3" s="14" t="s">
        <v>85</v>
      </c>
      <c r="I3" s="14" t="s">
        <v>8</v>
      </c>
      <c r="J3" s="14" t="s">
        <v>9</v>
      </c>
      <c r="L3" s="14" t="s">
        <v>84</v>
      </c>
      <c r="M3" s="14" t="s">
        <v>85</v>
      </c>
      <c r="N3" s="14" t="s">
        <v>8</v>
      </c>
      <c r="O3" s="14" t="s">
        <v>9</v>
      </c>
      <c r="Q3" s="14" t="s">
        <v>84</v>
      </c>
      <c r="R3" s="14" t="s">
        <v>85</v>
      </c>
      <c r="S3" s="14" t="s">
        <v>8</v>
      </c>
      <c r="T3" s="14" t="s">
        <v>9</v>
      </c>
    </row>
    <row r="4">
      <c r="A4" s="1"/>
      <c r="B4" s="16" t="s">
        <v>17</v>
      </c>
      <c r="C4" s="16" t="s">
        <v>86</v>
      </c>
      <c r="D4" s="16">
        <v>76.0</v>
      </c>
      <c r="E4" s="16" t="s">
        <v>68</v>
      </c>
      <c r="F4" s="17"/>
      <c r="G4" s="16" t="s">
        <v>17</v>
      </c>
      <c r="H4" s="16" t="s">
        <v>86</v>
      </c>
      <c r="I4" s="16">
        <v>76.0</v>
      </c>
      <c r="J4" s="16" t="s">
        <v>68</v>
      </c>
      <c r="L4" s="16" t="s">
        <v>17</v>
      </c>
      <c r="M4" s="16" t="s">
        <v>86</v>
      </c>
      <c r="N4" s="16">
        <v>76.0</v>
      </c>
      <c r="O4" s="16" t="s">
        <v>68</v>
      </c>
      <c r="Q4" s="16" t="s">
        <v>17</v>
      </c>
      <c r="R4" s="16" t="s">
        <v>86</v>
      </c>
      <c r="S4" s="16">
        <v>76.0</v>
      </c>
      <c r="T4" s="16" t="s">
        <v>68</v>
      </c>
    </row>
    <row r="5">
      <c r="A5" s="1"/>
      <c r="B5" s="16" t="s">
        <v>87</v>
      </c>
      <c r="C5" s="16" t="s">
        <v>88</v>
      </c>
      <c r="D5" s="16">
        <v>0.5</v>
      </c>
      <c r="E5" s="16" t="s">
        <v>17</v>
      </c>
      <c r="F5" s="17"/>
      <c r="G5" s="16" t="s">
        <v>87</v>
      </c>
      <c r="H5" s="16" t="s">
        <v>88</v>
      </c>
      <c r="I5" s="16">
        <v>0.5</v>
      </c>
      <c r="J5" s="16" t="s">
        <v>17</v>
      </c>
      <c r="L5" s="16" t="s">
        <v>87</v>
      </c>
      <c r="M5" s="16" t="s">
        <v>88</v>
      </c>
      <c r="N5" s="16">
        <v>0.5</v>
      </c>
      <c r="O5" s="16" t="s">
        <v>17</v>
      </c>
      <c r="Q5" s="16" t="s">
        <v>87</v>
      </c>
      <c r="R5" s="16" t="s">
        <v>88</v>
      </c>
      <c r="S5" s="16">
        <v>0.5</v>
      </c>
      <c r="T5" s="16" t="s">
        <v>17</v>
      </c>
    </row>
    <row r="6">
      <c r="A6" s="1"/>
      <c r="B6" s="16" t="s">
        <v>45</v>
      </c>
      <c r="C6" s="16" t="s">
        <v>89</v>
      </c>
      <c r="D6" s="16">
        <v>0.4</v>
      </c>
      <c r="E6" s="16" t="s">
        <v>17</v>
      </c>
      <c r="F6" s="17"/>
      <c r="G6" s="16" t="s">
        <v>45</v>
      </c>
      <c r="H6" s="16" t="s">
        <v>89</v>
      </c>
      <c r="I6" s="16">
        <v>0.4</v>
      </c>
      <c r="J6" s="16" t="s">
        <v>17</v>
      </c>
      <c r="L6" s="16" t="s">
        <v>45</v>
      </c>
      <c r="M6" s="16" t="s">
        <v>89</v>
      </c>
      <c r="N6" s="16">
        <v>0.4</v>
      </c>
      <c r="O6" s="16" t="s">
        <v>17</v>
      </c>
      <c r="Q6" s="16" t="s">
        <v>45</v>
      </c>
      <c r="R6" s="16" t="s">
        <v>89</v>
      </c>
      <c r="S6" s="16">
        <v>0.4</v>
      </c>
      <c r="T6" s="16" t="s">
        <v>17</v>
      </c>
    </row>
    <row r="7">
      <c r="A7" s="1"/>
      <c r="B7" s="16" t="s">
        <v>56</v>
      </c>
      <c r="C7" s="16" t="s">
        <v>90</v>
      </c>
      <c r="D7" s="18">
        <v>0.66</v>
      </c>
      <c r="E7" s="16" t="s">
        <v>17</v>
      </c>
      <c r="F7" s="17"/>
      <c r="G7" s="16" t="s">
        <v>56</v>
      </c>
      <c r="H7" s="16" t="s">
        <v>90</v>
      </c>
      <c r="I7" s="18">
        <v>0.66</v>
      </c>
      <c r="J7" s="16" t="s">
        <v>17</v>
      </c>
      <c r="L7" s="16" t="s">
        <v>56</v>
      </c>
      <c r="M7" s="16" t="s">
        <v>90</v>
      </c>
      <c r="N7" s="18">
        <v>0.66</v>
      </c>
      <c r="O7" s="16" t="s">
        <v>17</v>
      </c>
      <c r="Q7" s="16" t="s">
        <v>56</v>
      </c>
      <c r="R7" s="16" t="s">
        <v>90</v>
      </c>
      <c r="S7" s="18">
        <v>0.66</v>
      </c>
      <c r="T7" s="16" t="s">
        <v>17</v>
      </c>
    </row>
    <row r="8">
      <c r="A8" s="1"/>
      <c r="B8" s="16" t="s">
        <v>91</v>
      </c>
      <c r="C8" s="16" t="s">
        <v>92</v>
      </c>
      <c r="D8" s="16">
        <v>30.0</v>
      </c>
      <c r="E8" s="16" t="s">
        <v>58</v>
      </c>
      <c r="F8" s="17"/>
      <c r="G8" s="16" t="s">
        <v>91</v>
      </c>
      <c r="H8" s="16" t="s">
        <v>92</v>
      </c>
      <c r="I8" s="16">
        <v>30.0</v>
      </c>
      <c r="J8" s="16" t="s">
        <v>58</v>
      </c>
      <c r="L8" s="16" t="s">
        <v>91</v>
      </c>
      <c r="M8" s="16" t="s">
        <v>92</v>
      </c>
      <c r="N8" s="16">
        <v>20.0</v>
      </c>
      <c r="O8" s="16" t="s">
        <v>58</v>
      </c>
      <c r="Q8" s="16" t="s">
        <v>91</v>
      </c>
      <c r="R8" s="16" t="s">
        <v>92</v>
      </c>
      <c r="S8" s="16">
        <v>40.0</v>
      </c>
      <c r="T8" s="16" t="s">
        <v>58</v>
      </c>
    </row>
    <row r="9">
      <c r="A9" s="1"/>
      <c r="B9" s="16" t="s">
        <v>93</v>
      </c>
      <c r="C9" s="16" t="s">
        <v>94</v>
      </c>
      <c r="D9" s="16">
        <v>9.0</v>
      </c>
      <c r="E9" s="16" t="s">
        <v>22</v>
      </c>
      <c r="F9" s="17"/>
      <c r="G9" s="16" t="s">
        <v>93</v>
      </c>
      <c r="H9" s="16" t="s">
        <v>94</v>
      </c>
      <c r="I9" s="16">
        <v>9.0</v>
      </c>
      <c r="J9" s="16" t="s">
        <v>22</v>
      </c>
      <c r="L9" s="16" t="s">
        <v>93</v>
      </c>
      <c r="M9" s="16" t="s">
        <v>94</v>
      </c>
      <c r="N9" s="16">
        <v>9.0</v>
      </c>
      <c r="O9" s="16" t="s">
        <v>22</v>
      </c>
      <c r="Q9" s="16" t="s">
        <v>93</v>
      </c>
      <c r="R9" s="16" t="s">
        <v>94</v>
      </c>
      <c r="S9" s="16">
        <v>9.0</v>
      </c>
      <c r="T9" s="16" t="s">
        <v>22</v>
      </c>
    </row>
    <row r="10">
      <c r="A10" s="1"/>
      <c r="B10" s="19" t="s">
        <v>95</v>
      </c>
      <c r="C10" s="19" t="s">
        <v>96</v>
      </c>
      <c r="D10" s="19">
        <v>20.0</v>
      </c>
      <c r="E10" s="19" t="s">
        <v>22</v>
      </c>
      <c r="F10" s="20"/>
      <c r="G10" s="19" t="s">
        <v>95</v>
      </c>
      <c r="H10" s="19" t="s">
        <v>96</v>
      </c>
      <c r="I10" s="19">
        <v>20.0</v>
      </c>
      <c r="J10" s="19" t="s">
        <v>22</v>
      </c>
      <c r="L10" s="19" t="s">
        <v>95</v>
      </c>
      <c r="M10" s="19" t="s">
        <v>96</v>
      </c>
      <c r="N10" s="19">
        <v>12.0</v>
      </c>
      <c r="O10" s="19" t="s">
        <v>22</v>
      </c>
      <c r="Q10" s="19" t="s">
        <v>95</v>
      </c>
      <c r="R10" s="19" t="s">
        <v>96</v>
      </c>
      <c r="S10" s="19">
        <v>28.0</v>
      </c>
      <c r="T10" s="19" t="s">
        <v>22</v>
      </c>
    </row>
    <row r="11">
      <c r="A11" s="1"/>
      <c r="B11" s="19" t="s">
        <v>97</v>
      </c>
      <c r="C11" s="19" t="s">
        <v>98</v>
      </c>
      <c r="D11" s="21">
        <v>1.5</v>
      </c>
      <c r="E11" s="19" t="s">
        <v>99</v>
      </c>
      <c r="F11" s="20"/>
      <c r="G11" s="19" t="s">
        <v>97</v>
      </c>
      <c r="H11" s="19" t="s">
        <v>98</v>
      </c>
      <c r="I11" s="21">
        <v>1.5</v>
      </c>
      <c r="J11" s="19" t="s">
        <v>99</v>
      </c>
      <c r="L11" s="19" t="s">
        <v>97</v>
      </c>
      <c r="M11" s="19" t="s">
        <v>98</v>
      </c>
      <c r="N11" s="21">
        <v>1.67</v>
      </c>
      <c r="O11" s="19" t="s">
        <v>99</v>
      </c>
      <c r="Q11" s="19" t="s">
        <v>97</v>
      </c>
      <c r="R11" s="19" t="s">
        <v>98</v>
      </c>
      <c r="S11" s="21">
        <v>1.43</v>
      </c>
      <c r="T11" s="19" t="s">
        <v>99</v>
      </c>
    </row>
    <row r="12">
      <c r="A12" s="1"/>
      <c r="B12" s="19" t="s">
        <v>100</v>
      </c>
      <c r="C12" s="19" t="s">
        <v>101</v>
      </c>
      <c r="D12" s="19">
        <v>1.22</v>
      </c>
      <c r="E12" s="19" t="s">
        <v>99</v>
      </c>
      <c r="F12" s="20"/>
      <c r="G12" s="19" t="s">
        <v>100</v>
      </c>
      <c r="H12" s="19" t="s">
        <v>101</v>
      </c>
      <c r="I12" s="19">
        <v>1.17</v>
      </c>
      <c r="J12" s="19" t="s">
        <v>99</v>
      </c>
      <c r="L12" s="19" t="s">
        <v>100</v>
      </c>
      <c r="M12" s="19" t="s">
        <v>101</v>
      </c>
      <c r="N12" s="19">
        <v>1.12</v>
      </c>
      <c r="O12" s="19" t="s">
        <v>99</v>
      </c>
      <c r="Q12" s="19" t="s">
        <v>100</v>
      </c>
      <c r="R12" s="19" t="s">
        <v>101</v>
      </c>
      <c r="S12" s="19">
        <v>1.33</v>
      </c>
      <c r="T12" s="19" t="s">
        <v>99</v>
      </c>
    </row>
    <row r="13">
      <c r="A13" s="1"/>
      <c r="B13" s="19" t="s">
        <v>102</v>
      </c>
      <c r="C13" s="19" t="s">
        <v>103</v>
      </c>
      <c r="D13" s="21">
        <v>2.9</v>
      </c>
      <c r="E13" s="19" t="s">
        <v>104</v>
      </c>
      <c r="F13" s="20"/>
      <c r="G13" s="19" t="s">
        <v>102</v>
      </c>
      <c r="H13" s="19" t="s">
        <v>103</v>
      </c>
      <c r="I13" s="21">
        <v>2.64</v>
      </c>
      <c r="J13" s="19" t="s">
        <v>104</v>
      </c>
      <c r="L13" s="19" t="s">
        <v>102</v>
      </c>
      <c r="M13" s="19" t="s">
        <v>103</v>
      </c>
      <c r="N13" s="21">
        <v>4.1</v>
      </c>
      <c r="O13" s="19" t="s">
        <v>104</v>
      </c>
      <c r="Q13" s="19" t="s">
        <v>102</v>
      </c>
      <c r="R13" s="19" t="s">
        <v>103</v>
      </c>
      <c r="S13" s="21">
        <v>2.46</v>
      </c>
      <c r="T13" s="19" t="s">
        <v>104</v>
      </c>
    </row>
    <row r="14">
      <c r="A14" s="1"/>
      <c r="B14" s="22" t="s">
        <v>105</v>
      </c>
      <c r="C14" s="22" t="s">
        <v>106</v>
      </c>
      <c r="D14" s="23">
        <f>D5*D10* SQRT(1-D6^2/D5^2)/D8*(D12/(D7/2))</f>
        <v>0.7393939394</v>
      </c>
      <c r="E14" s="24"/>
      <c r="F14" s="25"/>
      <c r="G14" s="22" t="s">
        <v>105</v>
      </c>
      <c r="H14" s="22" t="s">
        <v>106</v>
      </c>
      <c r="I14" s="23">
        <f>I5*I10* SQRT(1-I6^2/I5^2)/I8*(I12/(I7/2))</f>
        <v>0.7090909091</v>
      </c>
      <c r="J14" s="24"/>
      <c r="L14" s="22" t="s">
        <v>105</v>
      </c>
      <c r="M14" s="22" t="s">
        <v>106</v>
      </c>
      <c r="N14" s="23">
        <f>N5*N10* SQRT(1-N6^2/N5^2)/N8*(N12/(N7/2))</f>
        <v>0.6109090909</v>
      </c>
      <c r="O14" s="24"/>
      <c r="Q14" s="22" t="s">
        <v>105</v>
      </c>
      <c r="R14" s="22" t="s">
        <v>106</v>
      </c>
      <c r="S14" s="23">
        <f>S5*S10* SQRT(1-S6^2/S5^2)/S8*(S12/(S7/2))</f>
        <v>0.8463636364</v>
      </c>
      <c r="T14" s="24"/>
    </row>
    <row r="15">
      <c r="A15" s="1"/>
      <c r="B15" s="22" t="s">
        <v>107</v>
      </c>
      <c r="C15" s="22" t="s">
        <v>106</v>
      </c>
      <c r="D15" s="23">
        <f>2*D10*D5*D13/D7/(D4*D12+D13*D9)</f>
        <v>0.7395959256</v>
      </c>
      <c r="E15" s="24"/>
      <c r="F15" s="25"/>
      <c r="G15" s="22" t="s">
        <v>107</v>
      </c>
      <c r="H15" s="22" t="s">
        <v>106</v>
      </c>
      <c r="I15" s="23">
        <f>2*I10*I5*I13/I7/(I4*I12+I13*I9)</f>
        <v>0.7099751509</v>
      </c>
      <c r="J15" s="24"/>
      <c r="L15" s="22" t="s">
        <v>107</v>
      </c>
      <c r="M15" s="22" t="s">
        <v>106</v>
      </c>
      <c r="N15" s="23">
        <f>2*N10*N5*N13/N7/(N4*N12+N13*N9)</f>
        <v>0.6109281638</v>
      </c>
      <c r="O15" s="24"/>
      <c r="Q15" s="22" t="s">
        <v>107</v>
      </c>
      <c r="R15" s="22" t="s">
        <v>106</v>
      </c>
      <c r="S15" s="23">
        <f>2*S10*S5*S13/S7/(S4*S12+S13*S9)</f>
        <v>0.8469699429</v>
      </c>
      <c r="T15" s="24"/>
    </row>
    <row r="19">
      <c r="B19" s="14" t="s">
        <v>84</v>
      </c>
      <c r="C19" s="14" t="s">
        <v>85</v>
      </c>
      <c r="D19" s="14" t="s">
        <v>8</v>
      </c>
      <c r="E19" s="14" t="s">
        <v>9</v>
      </c>
      <c r="G19" s="14" t="s">
        <v>84</v>
      </c>
      <c r="H19" s="14" t="s">
        <v>85</v>
      </c>
      <c r="I19" s="14" t="s">
        <v>8</v>
      </c>
      <c r="J19" s="14" t="s">
        <v>9</v>
      </c>
    </row>
    <row r="20">
      <c r="B20" s="16" t="s">
        <v>17</v>
      </c>
      <c r="C20" s="16" t="s">
        <v>86</v>
      </c>
      <c r="D20" s="16">
        <v>76.0</v>
      </c>
      <c r="E20" s="16" t="s">
        <v>68</v>
      </c>
      <c r="G20" s="26" t="s">
        <v>17</v>
      </c>
      <c r="H20" s="27" t="s">
        <v>86</v>
      </c>
      <c r="I20" s="27">
        <v>204.0</v>
      </c>
      <c r="J20" s="28" t="s">
        <v>68</v>
      </c>
    </row>
    <row r="21">
      <c r="B21" s="16" t="s">
        <v>87</v>
      </c>
      <c r="C21" s="16" t="s">
        <v>88</v>
      </c>
      <c r="D21" s="16">
        <v>0.5</v>
      </c>
      <c r="E21" s="16" t="s">
        <v>17</v>
      </c>
      <c r="G21" s="16" t="s">
        <v>87</v>
      </c>
      <c r="H21" s="16" t="s">
        <v>88</v>
      </c>
      <c r="I21" s="16">
        <v>0.5</v>
      </c>
      <c r="J21" s="16" t="s">
        <v>17</v>
      </c>
    </row>
    <row r="22">
      <c r="B22" s="16" t="s">
        <v>45</v>
      </c>
      <c r="C22" s="16" t="s">
        <v>89</v>
      </c>
      <c r="D22" s="16">
        <v>0.4</v>
      </c>
      <c r="E22" s="16" t="s">
        <v>17</v>
      </c>
      <c r="G22" s="16" t="s">
        <v>45</v>
      </c>
      <c r="H22" s="16" t="s">
        <v>89</v>
      </c>
      <c r="I22" s="16">
        <v>0.4</v>
      </c>
      <c r="J22" s="16" t="s">
        <v>17</v>
      </c>
    </row>
    <row r="23">
      <c r="B23" s="16" t="s">
        <v>56</v>
      </c>
      <c r="C23" s="16" t="s">
        <v>90</v>
      </c>
      <c r="D23" s="18">
        <v>0.66</v>
      </c>
      <c r="E23" s="16" t="s">
        <v>17</v>
      </c>
      <c r="G23" s="16" t="s">
        <v>56</v>
      </c>
      <c r="H23" s="16" t="s">
        <v>90</v>
      </c>
      <c r="I23" s="18">
        <v>0.66</v>
      </c>
      <c r="J23" s="16" t="s">
        <v>17</v>
      </c>
    </row>
    <row r="24">
      <c r="B24" s="16" t="s">
        <v>91</v>
      </c>
      <c r="C24" s="16" t="s">
        <v>92</v>
      </c>
      <c r="D24" s="16">
        <v>30.0</v>
      </c>
      <c r="E24" s="16" t="s">
        <v>58</v>
      </c>
      <c r="G24" s="16" t="s">
        <v>91</v>
      </c>
      <c r="H24" s="16" t="s">
        <v>92</v>
      </c>
      <c r="I24" s="16">
        <v>30.0</v>
      </c>
      <c r="J24" s="16" t="s">
        <v>58</v>
      </c>
    </row>
    <row r="25">
      <c r="B25" s="26" t="s">
        <v>93</v>
      </c>
      <c r="C25" s="27" t="s">
        <v>94</v>
      </c>
      <c r="D25" s="27">
        <v>35.0</v>
      </c>
      <c r="E25" s="28" t="s">
        <v>22</v>
      </c>
      <c r="G25" s="16" t="s">
        <v>93</v>
      </c>
      <c r="H25" s="16" t="s">
        <v>94</v>
      </c>
      <c r="I25" s="16">
        <v>9.0</v>
      </c>
      <c r="J25" s="16" t="s">
        <v>22</v>
      </c>
    </row>
    <row r="26">
      <c r="B26" s="19" t="s">
        <v>95</v>
      </c>
      <c r="C26" s="19" t="s">
        <v>96</v>
      </c>
      <c r="D26" s="19">
        <v>20.0</v>
      </c>
      <c r="E26" s="19" t="s">
        <v>22</v>
      </c>
      <c r="G26" s="19" t="s">
        <v>95</v>
      </c>
      <c r="H26" s="19" t="s">
        <v>96</v>
      </c>
      <c r="I26" s="19">
        <v>20.0</v>
      </c>
      <c r="J26" s="19" t="s">
        <v>22</v>
      </c>
    </row>
    <row r="27">
      <c r="B27" s="19" t="s">
        <v>97</v>
      </c>
      <c r="C27" s="19" t="s">
        <v>98</v>
      </c>
      <c r="D27" s="21">
        <v>1.5</v>
      </c>
      <c r="E27" s="19" t="s">
        <v>99</v>
      </c>
      <c r="G27" s="19" t="s">
        <v>97</v>
      </c>
      <c r="H27" s="19" t="s">
        <v>98</v>
      </c>
      <c r="I27" s="21">
        <v>1.5</v>
      </c>
      <c r="J27" s="19" t="s">
        <v>99</v>
      </c>
    </row>
    <row r="28">
      <c r="B28" s="29" t="s">
        <v>100</v>
      </c>
      <c r="C28" s="30" t="s">
        <v>101</v>
      </c>
      <c r="D28" s="30">
        <v>1.0</v>
      </c>
      <c r="E28" s="31" t="s">
        <v>99</v>
      </c>
      <c r="G28" s="29" t="s">
        <v>100</v>
      </c>
      <c r="H28" s="30" t="s">
        <v>101</v>
      </c>
      <c r="I28" s="30">
        <v>1.0</v>
      </c>
      <c r="J28" s="31" t="s">
        <v>99</v>
      </c>
    </row>
    <row r="29">
      <c r="B29" s="32" t="s">
        <v>102</v>
      </c>
      <c r="C29" s="33" t="s">
        <v>103</v>
      </c>
      <c r="D29" s="34">
        <v>5.0</v>
      </c>
      <c r="E29" s="35" t="s">
        <v>104</v>
      </c>
      <c r="G29" s="32" t="s">
        <v>102</v>
      </c>
      <c r="H29" s="33" t="s">
        <v>103</v>
      </c>
      <c r="I29" s="34">
        <v>5.0</v>
      </c>
      <c r="J29" s="35" t="s">
        <v>104</v>
      </c>
    </row>
    <row r="30">
      <c r="B30" s="22" t="s">
        <v>105</v>
      </c>
      <c r="C30" s="22" t="s">
        <v>106</v>
      </c>
      <c r="D30" s="23">
        <f>D21*D26* SQRT(1-D22^2/D21^2)/D24*(D28/(D23/2))</f>
        <v>0.6060606061</v>
      </c>
      <c r="E30" s="24"/>
      <c r="G30" s="22" t="s">
        <v>105</v>
      </c>
      <c r="H30" s="22" t="s">
        <v>106</v>
      </c>
      <c r="I30" s="23">
        <f>I21*I26* SQRT(1-I22^2/I21^2)/I24*(I28/(I23/2))</f>
        <v>0.6060606061</v>
      </c>
      <c r="J30" s="24"/>
    </row>
    <row r="31">
      <c r="B31" s="22" t="s">
        <v>107</v>
      </c>
      <c r="C31" s="22" t="s">
        <v>106</v>
      </c>
      <c r="D31" s="23">
        <f>2*D26*D21*D29/D23/(D20*D28+D29*D25)</f>
        <v>0.603646022</v>
      </c>
      <c r="E31" s="24"/>
      <c r="G31" s="22" t="s">
        <v>107</v>
      </c>
      <c r="H31" s="22" t="s">
        <v>106</v>
      </c>
      <c r="I31" s="23">
        <f>2*I26*I21*I29/I23/(I20*I28+I29*I25)</f>
        <v>0.6084945844</v>
      </c>
      <c r="J31" s="24"/>
    </row>
  </sheetData>
  <drawing r:id="rId1"/>
</worksheet>
</file>