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data" sheetId="1" r:id="rId4"/>
    <sheet state="visible" name="COSG components" sheetId="2" r:id="rId5"/>
    <sheet state="visible" name="Rolling forecast" sheetId="3" r:id="rId6"/>
    <sheet state="visible" name="Export and import" sheetId="4" r:id="rId7"/>
    <sheet state="visible" name="Detail forecast" sheetId="5" r:id="rId8"/>
    <sheet state="visible" name="Initial MPS" sheetId="6" r:id="rId9"/>
    <sheet state="visible" name="max capa per week" sheetId="7" r:id="rId10"/>
    <sheet state="visible" name="capacity adjust" sheetId="8" r:id="rId11"/>
    <sheet state="visible" name="Final MPS" sheetId="9" r:id="rId12"/>
    <sheet state="visible" name="Cost Analyis" sheetId="10" r:id="rId13"/>
  </sheets>
  <definedNames/>
  <calcPr/>
  <extLst>
    <ext uri="GoogleSheetsCustomDataVersion2">
      <go:sheetsCustomData xmlns:go="http://customooxmlschemas.google.com/" r:id="rId14" roundtripDataChecksum="mMa+IivUps3wcAK1zhAwGTVOred1m+Q5gSqy3t+W1s0="/>
    </ext>
  </extLst>
</workbook>
</file>

<file path=xl/sharedStrings.xml><?xml version="1.0" encoding="utf-8"?>
<sst xmlns="http://schemas.openxmlformats.org/spreadsheetml/2006/main" count="1138" uniqueCount="167">
  <si>
    <t>In-house equipment Capacity</t>
  </si>
  <si>
    <t>Extraction</t>
  </si>
  <si>
    <t>Quantity</t>
  </si>
  <si>
    <t>Capa per machine per shift</t>
  </si>
  <si>
    <t>Maintenance</t>
  </si>
  <si>
    <t>Inhouse capacity: 3 shifts/day</t>
  </si>
  <si>
    <t>Per machine per shift</t>
  </si>
  <si>
    <t>Unit: kgs</t>
  </si>
  <si>
    <t>48,000.0</t>
  </si>
  <si>
    <t>24 hours per 2 months</t>
  </si>
  <si>
    <t>SPRAY DRYING</t>
  </si>
  <si>
    <t>41,800.0</t>
  </si>
  <si>
    <t>MIXING</t>
  </si>
  <si>
    <t>3 IN 1</t>
  </si>
  <si>
    <t>ESPRESSO</t>
  </si>
  <si>
    <t>37,150.0</t>
  </si>
  <si>
    <t>2,880.0</t>
  </si>
  <si>
    <t>STICK FILLING</t>
  </si>
  <si>
    <t>PURE BLACK</t>
  </si>
  <si>
    <t>Unit: Stick</t>
  </si>
  <si>
    <t>2,400,000.0</t>
  </si>
  <si>
    <t>1,200,000.0</t>
  </si>
  <si>
    <t>1,300,000.0</t>
  </si>
  <si>
    <t>In - house labor, packing capacity</t>
  </si>
  <si>
    <t>Capacity per person</t>
  </si>
  <si>
    <t>Maximum shift per person per day</t>
  </si>
  <si>
    <t>Maximum shift per month</t>
  </si>
  <si>
    <t>Basic salary per month
(1 shift per day, 26 days)</t>
  </si>
  <si>
    <t>Overtime charge</t>
  </si>
  <si>
    <t>Per shift</t>
  </si>
  <si>
    <t>Unit: carton</t>
  </si>
  <si>
    <t>50.0</t>
  </si>
  <si>
    <t>40.5</t>
  </si>
  <si>
    <t>VNĐ 7,072,000.0</t>
  </si>
  <si>
    <t>150% of basic salary per hour
on weekday and 200% per hour on Sunday</t>
  </si>
  <si>
    <t>Outsourcing labor</t>
  </si>
  <si>
    <t>VND 44,000.0/hour</t>
  </si>
  <si>
    <t>Outsourcing manufacturing equipment</t>
  </si>
  <si>
    <t>Boosting up maximum 30% per current capacity per month</t>
  </si>
  <si>
    <t>MOQ 5,000 tons per month</t>
  </si>
  <si>
    <t>Inventory cost</t>
  </si>
  <si>
    <t>USD 7/ton/month</t>
  </si>
  <si>
    <t>Cost of goods sold</t>
  </si>
  <si>
    <t>Components</t>
  </si>
  <si>
    <t>Ratio</t>
  </si>
  <si>
    <t>Remark</t>
  </si>
  <si>
    <t>Per carton</t>
  </si>
  <si>
    <t>Direct labour</t>
  </si>
  <si>
    <t>27.6%</t>
  </si>
  <si>
    <t xml:space="preserve">- Packing labor account for 9,8%
- Overtime charge &amp; outsourcing labor excluded </t>
  </si>
  <si>
    <t>Materials</t>
  </si>
  <si>
    <t>55.2%</t>
  </si>
  <si>
    <t>General production</t>
  </si>
  <si>
    <t>11.8%</t>
  </si>
  <si>
    <t>Subcontractor</t>
  </si>
  <si>
    <t>3.4%</t>
  </si>
  <si>
    <t>Outsourcing labor &amp; manufacture equipment excluded</t>
  </si>
  <si>
    <t>Others</t>
  </si>
  <si>
    <t>2.0%</t>
  </si>
  <si>
    <t>Cost of goods sold accounts for 39% of the selling price</t>
  </si>
  <si>
    <t>Rolling 3 - month demand forecast (received by 15th every month)</t>
  </si>
  <si>
    <t>MT Promotion Week</t>
  </si>
  <si>
    <t>Unit: cartons</t>
  </si>
  <si>
    <t>Month</t>
  </si>
  <si>
    <t>May</t>
  </si>
  <si>
    <t>Jun</t>
  </si>
  <si>
    <t>July</t>
  </si>
  <si>
    <t>Week</t>
  </si>
  <si>
    <t>Total</t>
  </si>
  <si>
    <t>SKU Code</t>
  </si>
  <si>
    <t>Description</t>
  </si>
  <si>
    <t>LSC3IN100050</t>
  </si>
  <si>
    <t>LSC 3in1 Instant Coffee - Bag 50 sticks</t>
  </si>
  <si>
    <t>LSC3IN100100</t>
  </si>
  <si>
    <t>LSC 3in1 Instant Coffee - Bag 100 sticks</t>
  </si>
  <si>
    <t>LSC3IN100020</t>
  </si>
  <si>
    <t>LSC 3in1 Instant Coffee - Box 20 sticks</t>
  </si>
  <si>
    <t>LSC3IN100024</t>
  </si>
  <si>
    <t>LSC 3in1 Instant Coffee - Box 24 sticks</t>
  </si>
  <si>
    <t>LSCESP000015</t>
  </si>
  <si>
    <t>LSC Espresso Instant Coffee - Box 15 sticks</t>
  </si>
  <si>
    <t>LSCESP000050</t>
  </si>
  <si>
    <t>LSC Espresso Instant Coffee - Box 50 sticks</t>
  </si>
  <si>
    <t>LSCESP000100</t>
  </si>
  <si>
    <t>LSC Espresso Instant Coffee - Box 100 sticks</t>
  </si>
  <si>
    <t>LSCPUR000015</t>
  </si>
  <si>
    <t>LSC Pure Black Coffee - Box 15 sticks</t>
  </si>
  <si>
    <t>LSCPUR000020</t>
  </si>
  <si>
    <t>LSC Pure Black Coffee - Box 20 sticks</t>
  </si>
  <si>
    <t>LSCPUR000024</t>
  </si>
  <si>
    <t>LSC Pure Black Coffee - Bag 24 sticks</t>
  </si>
  <si>
    <t>Grand Total</t>
  </si>
  <si>
    <t>Unit: bag</t>
  </si>
  <si>
    <t>Unit: stick</t>
  </si>
  <si>
    <t>Ratio of the demand forecast</t>
  </si>
  <si>
    <t>June</t>
  </si>
  <si>
    <t>Export market</t>
  </si>
  <si>
    <t>Forecast</t>
  </si>
  <si>
    <t>SKU share in category</t>
  </si>
  <si>
    <t>China</t>
  </si>
  <si>
    <t>Korea</t>
  </si>
  <si>
    <t>USA</t>
  </si>
  <si>
    <t>Domestic</t>
  </si>
  <si>
    <t>demand forecast</t>
  </si>
  <si>
    <t xml:space="preserve">May </t>
  </si>
  <si>
    <t>Domestics</t>
  </si>
  <si>
    <t>SKU</t>
  </si>
  <si>
    <t>COUNTRY</t>
  </si>
  <si>
    <t xml:space="preserve">Total </t>
  </si>
  <si>
    <t>Total 3 month</t>
  </si>
  <si>
    <t>10000 is the safety stock we assumed for each SKU at the end of the schedule</t>
  </si>
  <si>
    <t>Used Domestic</t>
  </si>
  <si>
    <t>Inventory for domestics</t>
  </si>
  <si>
    <t>Total produce</t>
  </si>
  <si>
    <t>Carton</t>
  </si>
  <si>
    <t>3in1 (1)</t>
  </si>
  <si>
    <t>3in1 (2)</t>
  </si>
  <si>
    <t>3in1 (3)</t>
  </si>
  <si>
    <t>3in1 (4)</t>
  </si>
  <si>
    <t>Es (1)</t>
  </si>
  <si>
    <t>Es (2)</t>
  </si>
  <si>
    <t>Es (3)</t>
  </si>
  <si>
    <t>Pure (1)</t>
  </si>
  <si>
    <t>Pure (2)</t>
  </si>
  <si>
    <t>Pure (3)</t>
  </si>
  <si>
    <t>Bag/box</t>
  </si>
  <si>
    <t>stick</t>
  </si>
  <si>
    <t>kgs</t>
  </si>
  <si>
    <t>Unit</t>
  </si>
  <si>
    <t>Shift per day</t>
  </si>
  <si>
    <t>Days of working per week</t>
  </si>
  <si>
    <t>Max capacity per week</t>
  </si>
  <si>
    <t>Spray drying</t>
  </si>
  <si>
    <t>Mixing</t>
  </si>
  <si>
    <t>3in1</t>
  </si>
  <si>
    <t>Espresso</t>
  </si>
  <si>
    <t>Stick filling</t>
  </si>
  <si>
    <t>Convert to kg</t>
  </si>
  <si>
    <t>Pure black</t>
  </si>
  <si>
    <t>Packing</t>
  </si>
  <si>
    <t>Quantity labour per shift</t>
  </si>
  <si>
    <t>Shifft per day</t>
  </si>
  <si>
    <t>days of working per week</t>
  </si>
  <si>
    <t>Capacity per person per shift</t>
  </si>
  <si>
    <t>cartons</t>
  </si>
  <si>
    <t>MACHINE</t>
  </si>
  <si>
    <t>Type</t>
  </si>
  <si>
    <t>Production</t>
  </si>
  <si>
    <t>Capacity</t>
  </si>
  <si>
    <t>%CU</t>
  </si>
  <si>
    <t>Adjust</t>
  </si>
  <si>
    <t>Mixing (3in1)</t>
  </si>
  <si>
    <t>Mixing (Espresso)</t>
  </si>
  <si>
    <t>Mixing (espresso for Korea)</t>
  </si>
  <si>
    <t>Stick filling (3in1)</t>
  </si>
  <si>
    <t>Stick filling (Espresso)</t>
  </si>
  <si>
    <t>Stick filling (Pure)</t>
  </si>
  <si>
    <t>% change</t>
  </si>
  <si>
    <t>don't need to add 10000 still have enough safety stock</t>
  </si>
  <si>
    <t>Inventory for all</t>
  </si>
  <si>
    <t>carton</t>
  </si>
  <si>
    <t>tons</t>
  </si>
  <si>
    <t>Total inventory</t>
  </si>
  <si>
    <t>Inventory cost (USD/ton/week)</t>
  </si>
  <si>
    <t>Labor cost (VND)</t>
  </si>
  <si>
    <t>outsourcing using (tons)</t>
  </si>
  <si>
    <t>Outsourcing equipment (USD/tons)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</si>
</sst>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.0_);_(* \(#,##0.0\);_(* &quot;-&quot;??_);_(@_)"/>
    <numFmt numFmtId="165" formatCode="_(* #,##0.00_);_(* \(#,##0.00\);_(* &quot;-&quot;??_);_(@_)"/>
    <numFmt numFmtId="166" formatCode="_(* #,##0_);_(* \(#,##0\);_(* &quot;-&quot;??_);_(@_)"/>
    <numFmt numFmtId="167" formatCode="_(* #,##0_);_(* \(#,##0\);_(* &quot;-&quot;????_);_(@_)"/>
    <numFmt numFmtId="168" formatCode="d\.m"/>
    <numFmt numFmtId="169" formatCode="0.0%"/>
    <numFmt numFmtId="170" formatCode="_-* #,##0.00\ _₫_-;\-* #,##0.00\ _₫_-;_-* &quot;-&quot;??\ _₫_-;_-@"/>
    <numFmt numFmtId="171" formatCode="_-* #,##0.00\ &quot;₫&quot;_-;\-* #,##0.00\ &quot;₫&quot;_-;_-* &quot;-&quot;??\ &quot;₫&quot;_-;_-@"/>
    <numFmt numFmtId="172" formatCode="_-[$$-409]* #,##0.00_ ;_-[$$-409]* \-#,##0.00\ ;_-[$$-409]* &quot;-&quot;??_ ;_-@_ "/>
  </numFmts>
  <fonts count="1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i/>
      <sz val="11.0"/>
      <color theme="1"/>
      <name val="Arial"/>
    </font>
    <font>
      <sz val="11.0"/>
      <color theme="1"/>
      <name val="Arial"/>
    </font>
    <font>
      <sz val="11.0"/>
      <color rgb="FF215E99"/>
      <name val="Aptos Narrow"/>
    </font>
    <font/>
    <font>
      <i/>
      <sz val="11.0"/>
      <color theme="1"/>
      <name val="Aptos Narrow"/>
    </font>
    <font>
      <b/>
      <sz val="11.0"/>
      <color theme="1"/>
      <name val="Arial"/>
    </font>
    <font>
      <sz val="11.0"/>
      <color rgb="FF215E99"/>
      <name val="Arial"/>
    </font>
    <font>
      <sz val="11.0"/>
      <color rgb="FF000000"/>
      <name val="Arial"/>
    </font>
    <font>
      <sz val="11.0"/>
      <color rgb="FF000000"/>
      <name val="Aptos Narrow"/>
    </font>
    <font>
      <b/>
      <color theme="1"/>
      <name val="Arial"/>
    </font>
    <font>
      <b/>
      <sz val="11.0"/>
      <color rgb="FF000000"/>
      <name val="Aptos Narrow"/>
    </font>
    <font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2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Border="1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  <xf borderId="2" fillId="0" fontId="2" numFmtId="0" xfId="0" applyBorder="1" applyFont="1"/>
    <xf borderId="2" fillId="2" fontId="3" numFmtId="0" xfId="0" applyAlignment="1" applyBorder="1" applyFill="1" applyFont="1">
      <alignment horizontal="right" vertical="center"/>
    </xf>
    <xf borderId="3" fillId="0" fontId="2" numFmtId="0" xfId="0" applyBorder="1" applyFont="1"/>
    <xf borderId="2" fillId="0" fontId="4" numFmtId="0" xfId="0" applyBorder="1" applyFont="1"/>
    <xf borderId="2" fillId="0" fontId="4" numFmtId="164" xfId="0" applyBorder="1" applyFont="1" applyNumberFormat="1"/>
    <xf borderId="2" fillId="0" fontId="5" numFmtId="0" xfId="0" applyBorder="1" applyFont="1"/>
    <xf borderId="4" fillId="0" fontId="1" numFmtId="164" xfId="0" applyAlignment="1" applyBorder="1" applyFont="1" applyNumberFormat="1">
      <alignment horizontal="center"/>
    </xf>
    <xf borderId="5" fillId="0" fontId="6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7" numFmtId="0" xfId="0" applyBorder="1" applyFont="1"/>
    <xf borderId="2" fillId="0" fontId="4" numFmtId="165" xfId="0" applyBorder="1" applyFont="1" applyNumberFormat="1"/>
    <xf borderId="2" fillId="0" fontId="4" numFmtId="166" xfId="0" applyBorder="1" applyFont="1" applyNumberFormat="1"/>
    <xf borderId="2" fillId="0" fontId="4" numFmtId="167" xfId="0" applyBorder="1" applyFont="1" applyNumberFormat="1"/>
    <xf borderId="2" fillId="0" fontId="8" numFmtId="0" xfId="0" applyAlignment="1" applyBorder="1" applyFont="1">
      <alignment vertical="center"/>
    </xf>
    <xf borderId="2" fillId="0" fontId="8" numFmtId="0" xfId="0" applyAlignment="1" applyBorder="1" applyFont="1">
      <alignment shrinkToFit="0" vertical="center" wrapText="1"/>
    </xf>
    <xf borderId="2" fillId="0" fontId="8" numFmtId="0" xfId="0" applyBorder="1" applyFont="1"/>
    <xf borderId="2" fillId="0" fontId="9" numFmtId="0" xfId="0" applyBorder="1" applyFont="1"/>
    <xf borderId="2" fillId="0" fontId="4" numFmtId="168" xfId="0" applyAlignment="1" applyBorder="1" applyFont="1" applyNumberFormat="1">
      <alignment horizontal="left"/>
    </xf>
    <xf borderId="2" fillId="0" fontId="4" numFmtId="3" xfId="0" applyBorder="1" applyFont="1" applyNumberFormat="1"/>
    <xf borderId="2" fillId="0" fontId="4" numFmtId="0" xfId="0" applyAlignment="1" applyBorder="1" applyFont="1">
      <alignment shrinkToFit="0" wrapText="1"/>
    </xf>
    <xf borderId="2" fillId="0" fontId="4" numFmtId="1" xfId="0" applyBorder="1" applyFont="1" applyNumberFormat="1"/>
    <xf borderId="4" fillId="0" fontId="10" numFmtId="0" xfId="0" applyBorder="1" applyFont="1"/>
    <xf borderId="6" fillId="0" fontId="6" numFmtId="0" xfId="0" applyBorder="1" applyFont="1"/>
    <xf borderId="4" fillId="0" fontId="8" numFmtId="0" xfId="0" applyBorder="1" applyFont="1"/>
    <xf borderId="7" fillId="0" fontId="2" numFmtId="0" xfId="0" applyBorder="1" applyFont="1"/>
    <xf borderId="1" fillId="0" fontId="8" numFmtId="0" xfId="0" applyBorder="1" applyFont="1"/>
    <xf borderId="1" fillId="0" fontId="3" numFmtId="0" xfId="0" applyBorder="1" applyFont="1"/>
    <xf borderId="1" fillId="0" fontId="4" numFmtId="0" xfId="0" applyBorder="1" applyFont="1"/>
    <xf borderId="1" fillId="0" fontId="4" numFmtId="10" xfId="0" applyAlignment="1" applyBorder="1" applyFont="1" applyNumberFormat="1">
      <alignment horizontal="right"/>
    </xf>
    <xf borderId="1" fillId="0" fontId="4" numFmtId="0" xfId="0" applyAlignment="1" applyBorder="1" applyFont="1">
      <alignment shrinkToFit="0" wrapText="1"/>
    </xf>
    <xf borderId="1" fillId="0" fontId="4" numFmtId="169" xfId="0" applyAlignment="1" applyBorder="1" applyFont="1" applyNumberFormat="1">
      <alignment horizontal="right"/>
    </xf>
    <xf borderId="1" fillId="0" fontId="4" numFmtId="10" xfId="0" applyBorder="1" applyFont="1" applyNumberFormat="1"/>
    <xf borderId="1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7" fillId="0" fontId="4" numFmtId="0" xfId="0" applyBorder="1" applyFont="1"/>
    <xf borderId="8" fillId="0" fontId="2" numFmtId="0" xfId="0" applyBorder="1" applyFont="1"/>
    <xf borderId="0" fillId="0" fontId="4" numFmtId="0" xfId="0" applyFont="1"/>
    <xf borderId="9" fillId="0" fontId="2" numFmtId="0" xfId="0" applyBorder="1" applyFont="1"/>
    <xf borderId="10" fillId="0" fontId="2" numFmtId="0" xfId="0" applyBorder="1" applyFont="1"/>
    <xf borderId="4" fillId="2" fontId="2" numFmtId="0" xfId="0" applyBorder="1" applyFont="1"/>
    <xf borderId="2" fillId="0" fontId="2" numFmtId="0" xfId="0" applyAlignment="1" applyBorder="1" applyFont="1">
      <alignment horizontal="center" shrinkToFit="0" wrapText="1"/>
    </xf>
    <xf borderId="0" fillId="0" fontId="2" numFmtId="0" xfId="0" applyFont="1"/>
    <xf borderId="2" fillId="0" fontId="3" numFmtId="0" xfId="0" applyAlignment="1" applyBorder="1" applyFont="1">
      <alignment horizontal="right"/>
    </xf>
    <xf borderId="4" fillId="0" fontId="2" numFmtId="0" xfId="0" applyAlignment="1" applyBorder="1" applyFont="1">
      <alignment horizontal="center"/>
    </xf>
    <xf borderId="11" fillId="0" fontId="2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horizontal="center"/>
    </xf>
    <xf borderId="12" fillId="0" fontId="6" numFmtId="0" xfId="0" applyBorder="1" applyFont="1"/>
    <xf borderId="2" fillId="0" fontId="2" numFmtId="166" xfId="0" applyBorder="1" applyFont="1" applyNumberFormat="1"/>
    <xf borderId="2" fillId="0" fontId="1" numFmtId="166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2" numFmtId="9" xfId="0" applyFont="1" applyNumberFormat="1"/>
    <xf borderId="2" fillId="0" fontId="8" numFmtId="166" xfId="0" applyAlignment="1" applyBorder="1" applyFont="1" applyNumberFormat="1">
      <alignment horizontal="right"/>
    </xf>
    <xf borderId="2" fillId="0" fontId="2" numFmtId="166" xfId="0" applyAlignment="1" applyBorder="1" applyFont="1" applyNumberFormat="1">
      <alignment horizontal="right"/>
    </xf>
    <xf borderId="0" fillId="0" fontId="2" numFmtId="1" xfId="0" applyFont="1" applyNumberFormat="1"/>
    <xf borderId="0" fillId="0" fontId="2" numFmtId="3" xfId="0" applyFont="1" applyNumberFormat="1"/>
    <xf borderId="0" fillId="0" fontId="2" numFmtId="166" xfId="0" applyFont="1" applyNumberFormat="1"/>
    <xf borderId="11" fillId="0" fontId="2" numFmtId="166" xfId="0" applyBorder="1" applyFont="1" applyNumberFormat="1"/>
    <xf borderId="4" fillId="0" fontId="2" numFmtId="166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4" fillId="0" fontId="2" numFmtId="1" xfId="0" applyAlignment="1" applyBorder="1" applyFont="1" applyNumberFormat="1">
      <alignment horizontal="center"/>
    </xf>
    <xf borderId="2" fillId="0" fontId="2" numFmtId="10" xfId="0" applyBorder="1" applyFont="1" applyNumberFormat="1"/>
    <xf borderId="2" fillId="0" fontId="2" numFmtId="9" xfId="0" applyBorder="1" applyFont="1" applyNumberFormat="1"/>
    <xf borderId="2" fillId="0" fontId="2" numFmtId="0" xfId="0" applyAlignment="1" applyBorder="1" applyFont="1">
      <alignment horizontal="center" vertical="center"/>
    </xf>
    <xf borderId="4" fillId="0" fontId="2" numFmtId="166" xfId="0" applyAlignment="1" applyBorder="1" applyFont="1" applyNumberFormat="1">
      <alignment horizontal="center"/>
    </xf>
    <xf borderId="13" fillId="0" fontId="2" numFmtId="166" xfId="0" applyAlignment="1" applyBorder="1" applyFont="1" applyNumberFormat="1">
      <alignment horizontal="center"/>
    </xf>
    <xf borderId="13" fillId="0" fontId="6" numFmtId="0" xfId="0" applyBorder="1" applyFont="1"/>
    <xf borderId="14" fillId="3" fontId="1" numFmtId="2" xfId="0" applyBorder="1" applyFill="1" applyFont="1" applyNumberFormat="1"/>
    <xf borderId="2" fillId="0" fontId="2" numFmtId="2" xfId="0" applyBorder="1" applyFont="1" applyNumberFormat="1"/>
    <xf borderId="15" fillId="0" fontId="2" numFmtId="2" xfId="0" applyAlignment="1" applyBorder="1" applyFont="1" applyNumberFormat="1">
      <alignment horizontal="center"/>
    </xf>
    <xf borderId="15" fillId="0" fontId="6" numFmtId="0" xfId="0" applyBorder="1" applyFont="1"/>
    <xf borderId="2" fillId="3" fontId="1" numFmtId="2" xfId="0" applyBorder="1" applyFont="1" applyNumberFormat="1"/>
    <xf borderId="2" fillId="3" fontId="2" numFmtId="166" xfId="0" applyBorder="1" applyFont="1" applyNumberFormat="1"/>
    <xf borderId="2" fillId="4" fontId="2" numFmtId="166" xfId="0" applyBorder="1" applyFill="1" applyFont="1" applyNumberFormat="1"/>
    <xf borderId="16" fillId="3" fontId="2" numFmtId="0" xfId="0" applyBorder="1" applyFont="1"/>
    <xf borderId="17" fillId="0" fontId="2" numFmtId="1" xfId="0" applyAlignment="1" applyBorder="1" applyFont="1" applyNumberFormat="1">
      <alignment horizontal="center"/>
    </xf>
    <xf borderId="18" fillId="0" fontId="2" numFmtId="2" xfId="0" applyAlignment="1" applyBorder="1" applyFont="1" applyNumberFormat="1">
      <alignment horizontal="center" vertical="center"/>
    </xf>
    <xf borderId="19" fillId="0" fontId="6" numFmtId="0" xfId="0" applyBorder="1" applyFont="1"/>
    <xf borderId="20" fillId="0" fontId="6" numFmtId="0" xfId="0" applyBorder="1" applyFont="1"/>
    <xf borderId="4" fillId="0" fontId="1" numFmtId="166" xfId="0" applyAlignment="1" applyBorder="1" applyFont="1" applyNumberFormat="1">
      <alignment horizontal="right"/>
    </xf>
    <xf borderId="2" fillId="0" fontId="2" numFmtId="169" xfId="0" applyBorder="1" applyFont="1" applyNumberFormat="1"/>
    <xf borderId="4" fillId="0" fontId="8" numFmtId="166" xfId="0" applyAlignment="1" applyBorder="1" applyFont="1" applyNumberFormat="1">
      <alignment horizontal="right"/>
    </xf>
    <xf borderId="21" fillId="0" fontId="6" numFmtId="0" xfId="0" applyBorder="1" applyFont="1"/>
    <xf borderId="11" fillId="0" fontId="2" numFmtId="2" xfId="0" applyAlignment="1" applyBorder="1" applyFont="1" applyNumberFormat="1">
      <alignment horizontal="center" vertical="center"/>
    </xf>
    <xf borderId="22" fillId="0" fontId="6" numFmtId="0" xfId="0" applyBorder="1" applyFont="1"/>
    <xf borderId="2" fillId="0" fontId="11" numFmtId="166" xfId="0" applyBorder="1" applyFont="1" applyNumberFormat="1"/>
    <xf borderId="15" fillId="0" fontId="2" numFmtId="2" xfId="0" applyBorder="1" applyFont="1" applyNumberFormat="1"/>
    <xf borderId="2" fillId="3" fontId="2" numFmtId="0" xfId="0" applyBorder="1" applyFont="1"/>
    <xf borderId="0" fillId="0" fontId="12" numFmtId="0" xfId="0" applyAlignment="1" applyFont="1">
      <alignment readingOrder="0"/>
    </xf>
    <xf borderId="2" fillId="3" fontId="1" numFmtId="1" xfId="0" applyBorder="1" applyFont="1" applyNumberFormat="1"/>
    <xf borderId="2" fillId="3" fontId="2" numFmtId="1" xfId="0" applyBorder="1" applyFont="1" applyNumberFormat="1"/>
    <xf borderId="23" fillId="0" fontId="2" numFmtId="0" xfId="0" applyAlignment="1" applyBorder="1" applyFont="1">
      <alignment horizontal="center" shrinkToFit="0" wrapText="1"/>
    </xf>
    <xf borderId="2" fillId="0" fontId="2" numFmtId="1" xfId="0" applyBorder="1" applyFont="1" applyNumberFormat="1"/>
    <xf borderId="2" fillId="0" fontId="1" numFmtId="1" xfId="0" applyBorder="1" applyFont="1" applyNumberFormat="1"/>
    <xf borderId="2" fillId="0" fontId="1" numFmtId="166" xfId="0" applyBorder="1" applyFont="1" applyNumberFormat="1"/>
    <xf borderId="4" fillId="0" fontId="2" numFmtId="166" xfId="0" applyBorder="1" applyFont="1" applyNumberFormat="1"/>
    <xf borderId="11" fillId="3" fontId="8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24" fillId="5" fontId="4" numFmtId="0" xfId="0" applyBorder="1" applyFill="1" applyFont="1"/>
    <xf borderId="2" fillId="5" fontId="4" numFmtId="0" xfId="0" applyBorder="1" applyFont="1"/>
    <xf borderId="5" fillId="0" fontId="4" numFmtId="0" xfId="0" applyBorder="1" applyFont="1"/>
    <xf borderId="11" fillId="3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25" fillId="0" fontId="6" numFmtId="0" xfId="0" applyBorder="1" applyFont="1"/>
    <xf borderId="18" fillId="0" fontId="4" numFmtId="0" xfId="0" applyBorder="1" applyFont="1"/>
    <xf borderId="11" fillId="0" fontId="4" numFmtId="166" xfId="0" applyBorder="1" applyFont="1" applyNumberFormat="1"/>
    <xf borderId="2" fillId="3" fontId="8" numFmtId="0" xfId="0" applyAlignment="1" applyBorder="1" applyFont="1">
      <alignment horizontal="center"/>
    </xf>
    <xf borderId="11" fillId="6" fontId="8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/>
    </xf>
    <xf borderId="11" fillId="6" fontId="2" numFmtId="0" xfId="0" applyAlignment="1" applyBorder="1" applyFont="1">
      <alignment horizontal="center" vertical="center"/>
    </xf>
    <xf borderId="2" fillId="5" fontId="10" numFmtId="0" xfId="0" applyBorder="1" applyFont="1"/>
    <xf borderId="2" fillId="7" fontId="13" numFmtId="0" xfId="0" applyBorder="1" applyFill="1" applyFont="1"/>
    <xf borderId="2" fillId="7" fontId="2" numFmtId="0" xfId="0" applyBorder="1" applyFont="1"/>
    <xf borderId="2" fillId="6" fontId="2" numFmtId="1" xfId="0" applyBorder="1" applyFont="1" applyNumberFormat="1"/>
    <xf borderId="26" fillId="6" fontId="2" numFmtId="1" xfId="0" applyBorder="1" applyFont="1" applyNumberFormat="1"/>
    <xf borderId="4" fillId="0" fontId="2" numFmtId="10" xfId="0" applyBorder="1" applyFont="1" applyNumberFormat="1"/>
    <xf borderId="16" fillId="8" fontId="2" numFmtId="0" xfId="0" applyBorder="1" applyFill="1" applyFont="1"/>
    <xf borderId="0" fillId="0" fontId="2" numFmtId="10" xfId="0" applyFont="1" applyNumberFormat="1"/>
    <xf borderId="0" fillId="0" fontId="14" numFmtId="0" xfId="0" applyFont="1"/>
    <xf borderId="2" fillId="0" fontId="2" numFmtId="170" xfId="0" applyBorder="1" applyFont="1" applyNumberFormat="1"/>
    <xf borderId="22" fillId="0" fontId="2" numFmtId="166" xfId="0" applyBorder="1" applyFont="1" applyNumberFormat="1"/>
    <xf borderId="22" fillId="0" fontId="2" numFmtId="2" xfId="0" applyBorder="1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vertical="center"/>
    </xf>
    <xf borderId="0" fillId="0" fontId="2" numFmtId="171" xfId="0" applyFont="1" applyNumberFormat="1"/>
    <xf borderId="0" fillId="0" fontId="2" numFmtId="172" xfId="0" applyFont="1" applyNumberFormat="1"/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1771650</xdr:colOff>
      <xdr:row>0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8.63"/>
    <col customWidth="1" min="3" max="3" width="8.63"/>
    <col customWidth="1" min="4" max="4" width="31.38"/>
    <col customWidth="1" min="5" max="5" width="18.38"/>
    <col customWidth="1" min="6" max="6" width="23.13"/>
    <col customWidth="1" min="7" max="7" width="24.63"/>
    <col customWidth="1" min="8" max="8" width="27.75"/>
    <col customWidth="1" min="9" max="26" width="8.63"/>
  </cols>
  <sheetData>
    <row r="1" ht="50.25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0</v>
      </c>
      <c r="B2" s="4" t="s">
        <v>1</v>
      </c>
      <c r="C2" s="4" t="s">
        <v>2</v>
      </c>
      <c r="D2" s="5" t="s">
        <v>3</v>
      </c>
      <c r="E2" s="6"/>
      <c r="F2" s="7"/>
      <c r="G2" s="4" t="s">
        <v>4</v>
      </c>
      <c r="H2" s="8" t="s">
        <v>5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0" t="s">
        <v>6</v>
      </c>
      <c r="B3" s="7" t="s">
        <v>7</v>
      </c>
      <c r="C3" s="7">
        <v>2.0</v>
      </c>
      <c r="D3" s="11" t="s">
        <v>8</v>
      </c>
      <c r="E3" s="7"/>
      <c r="F3" s="7"/>
      <c r="G3" s="7" t="s">
        <v>9</v>
      </c>
      <c r="H3" s="7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7"/>
      <c r="B4" s="4" t="s">
        <v>10</v>
      </c>
      <c r="C4" s="4" t="s">
        <v>2</v>
      </c>
      <c r="D4" s="5" t="s">
        <v>3</v>
      </c>
      <c r="E4" s="6"/>
      <c r="F4" s="7"/>
      <c r="G4" s="7"/>
      <c r="H4" s="7"/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7" t="s">
        <v>6</v>
      </c>
      <c r="B5" s="7" t="s">
        <v>7</v>
      </c>
      <c r="C5" s="12">
        <v>2.0</v>
      </c>
      <c r="D5" s="11" t="s">
        <v>11</v>
      </c>
      <c r="E5" s="7"/>
      <c r="F5" s="7"/>
      <c r="G5" s="7" t="s">
        <v>9</v>
      </c>
      <c r="H5" s="7"/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/>
      <c r="B6" s="7"/>
      <c r="C6" s="4"/>
      <c r="D6" s="13" t="s">
        <v>3</v>
      </c>
      <c r="E6" s="14"/>
      <c r="F6" s="7"/>
      <c r="G6" s="7"/>
      <c r="H6" s="7"/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15" t="s">
        <v>12</v>
      </c>
      <c r="C7" s="4" t="s">
        <v>2</v>
      </c>
      <c r="D7" s="16" t="s">
        <v>13</v>
      </c>
      <c r="E7" s="17" t="s">
        <v>14</v>
      </c>
      <c r="F7" s="18"/>
      <c r="G7" s="6"/>
      <c r="H7" s="7"/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 t="s">
        <v>6</v>
      </c>
      <c r="B8" s="7" t="s">
        <v>7</v>
      </c>
      <c r="C8" s="12">
        <v>2.0</v>
      </c>
      <c r="D8" s="11" t="s">
        <v>15</v>
      </c>
      <c r="E8" s="19" t="s">
        <v>16</v>
      </c>
      <c r="F8" s="7"/>
      <c r="G8" s="7" t="s">
        <v>9</v>
      </c>
      <c r="H8" s="7"/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/>
      <c r="B9" s="7"/>
      <c r="C9" s="12"/>
      <c r="D9" s="13" t="s">
        <v>3</v>
      </c>
      <c r="E9" s="14"/>
      <c r="F9" s="7"/>
      <c r="G9" s="7"/>
      <c r="H9" s="7"/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/>
      <c r="B10" s="15" t="s">
        <v>17</v>
      </c>
      <c r="C10" s="4" t="s">
        <v>2</v>
      </c>
      <c r="D10" s="16" t="s">
        <v>13</v>
      </c>
      <c r="E10" s="17" t="s">
        <v>14</v>
      </c>
      <c r="F10" s="16" t="s">
        <v>18</v>
      </c>
      <c r="G10" s="7"/>
      <c r="H10" s="7"/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 t="s">
        <v>6</v>
      </c>
      <c r="B11" s="7" t="s">
        <v>19</v>
      </c>
      <c r="C11" s="12">
        <v>2.0</v>
      </c>
      <c r="D11" s="20" t="s">
        <v>20</v>
      </c>
      <c r="E11" s="21" t="s">
        <v>21</v>
      </c>
      <c r="F11" s="20" t="s">
        <v>22</v>
      </c>
      <c r="G11" s="7" t="s">
        <v>9</v>
      </c>
      <c r="H11" s="7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/>
      <c r="B12" s="7"/>
      <c r="C12" s="12"/>
      <c r="D12" s="7"/>
      <c r="E12" s="7"/>
      <c r="F12" s="7"/>
      <c r="G12" s="7"/>
      <c r="H12" s="7"/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23</v>
      </c>
      <c r="B13" s="7"/>
      <c r="C13" s="4" t="s">
        <v>2</v>
      </c>
      <c r="D13" s="22" t="s">
        <v>24</v>
      </c>
      <c r="E13" s="23" t="s">
        <v>25</v>
      </c>
      <c r="F13" s="5" t="s">
        <v>26</v>
      </c>
      <c r="G13" s="22" t="s">
        <v>27</v>
      </c>
      <c r="H13" s="24" t="s">
        <v>28</v>
      </c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8" t="s">
        <v>29</v>
      </c>
      <c r="B14" s="7" t="s">
        <v>30</v>
      </c>
      <c r="C14" s="25">
        <v>710.0</v>
      </c>
      <c r="D14" s="19" t="s">
        <v>31</v>
      </c>
      <c r="E14" s="26">
        <v>45413.0</v>
      </c>
      <c r="F14" s="10" t="s">
        <v>32</v>
      </c>
      <c r="G14" s="27" t="s">
        <v>33</v>
      </c>
      <c r="H14" s="28" t="s">
        <v>34</v>
      </c>
      <c r="I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/>
      <c r="B15" s="7"/>
      <c r="C15" s="12"/>
      <c r="D15" s="7"/>
      <c r="E15" s="7"/>
      <c r="F15" s="7"/>
      <c r="G15" s="7"/>
      <c r="H15" s="7"/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4" t="s">
        <v>35</v>
      </c>
      <c r="B16" s="7"/>
      <c r="C16" s="25"/>
      <c r="D16" s="29" t="s">
        <v>31</v>
      </c>
      <c r="E16" s="7"/>
      <c r="F16" s="7"/>
      <c r="G16" s="10" t="s">
        <v>36</v>
      </c>
      <c r="H16" s="7"/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4" t="s">
        <v>37</v>
      </c>
      <c r="B17" s="7"/>
      <c r="C17" s="30" t="s">
        <v>38</v>
      </c>
      <c r="D17" s="31"/>
      <c r="E17" s="14"/>
      <c r="F17" s="7">
        <v>2400000.0</v>
      </c>
      <c r="G17" s="10">
        <f>PRODUCT(C17:F17)</f>
        <v>2400000</v>
      </c>
      <c r="H17" s="10" t="s">
        <v>39</v>
      </c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 t="s">
        <v>40</v>
      </c>
      <c r="B18" s="31"/>
      <c r="C18" s="31"/>
      <c r="D18" s="31"/>
      <c r="E18" s="31"/>
      <c r="F18" s="14"/>
      <c r="G18" s="10" t="s">
        <v>41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3"/>
      <c r="B19" s="7"/>
      <c r="C19" s="25"/>
      <c r="D19" s="29" t="s">
        <v>31</v>
      </c>
      <c r="E19" s="7"/>
      <c r="F19" s="7"/>
      <c r="G19" s="10" t="s">
        <v>36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4"/>
      <c r="B21" s="34"/>
      <c r="C21" s="34"/>
      <c r="D21" s="3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5"/>
      <c r="B22" s="36"/>
      <c r="C22" s="37"/>
      <c r="D22" s="3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36"/>
      <c r="C23" s="3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36"/>
      <c r="C24" s="3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36"/>
      <c r="C25" s="39"/>
      <c r="D25" s="3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36"/>
      <c r="C26" s="4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34"/>
      <c r="C27" s="4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5">
    <mergeCell ref="A1:H1"/>
    <mergeCell ref="D6:E6"/>
    <mergeCell ref="D9:E9"/>
    <mergeCell ref="C17:E17"/>
    <mergeCell ref="A18:F1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7.5"/>
    <col customWidth="1" min="3" max="3" width="18.63"/>
    <col customWidth="1" min="4" max="4" width="7.63"/>
    <col customWidth="1" min="5" max="16" width="8.63"/>
    <col customWidth="1" min="17" max="19" width="7.63"/>
    <col customWidth="1" min="20" max="20" width="8.63"/>
    <col customWidth="1" min="21" max="26" width="8.75"/>
  </cols>
  <sheetData>
    <row r="1" ht="14.25" customHeight="1">
      <c r="A1" s="7"/>
      <c r="B1" s="108" t="s">
        <v>160</v>
      </c>
      <c r="C1" s="108">
        <v>15.0</v>
      </c>
      <c r="D1" s="62">
        <v>16.0</v>
      </c>
      <c r="E1" s="62">
        <v>17.0</v>
      </c>
      <c r="F1" s="62">
        <v>18.0</v>
      </c>
      <c r="G1" s="62">
        <v>19.0</v>
      </c>
      <c r="H1" s="62">
        <v>20.0</v>
      </c>
      <c r="I1" s="62">
        <v>21.0</v>
      </c>
      <c r="J1" s="62">
        <v>22.0</v>
      </c>
      <c r="K1" s="62">
        <v>23.0</v>
      </c>
      <c r="L1" s="62">
        <v>24.0</v>
      </c>
      <c r="M1" s="62">
        <v>25.0</v>
      </c>
      <c r="N1" s="62">
        <v>26.0</v>
      </c>
      <c r="O1" s="62">
        <v>27.0</v>
      </c>
      <c r="P1" s="62">
        <v>28.0</v>
      </c>
      <c r="Q1" s="62">
        <v>29.0</v>
      </c>
      <c r="R1" s="62">
        <v>30.0</v>
      </c>
      <c r="S1" s="62">
        <v>31.0</v>
      </c>
    </row>
    <row r="2" ht="14.25" customHeight="1">
      <c r="A2" s="7" t="s">
        <v>115</v>
      </c>
      <c r="B2" s="108" t="s">
        <v>71</v>
      </c>
      <c r="C2" s="62">
        <v>8960.0</v>
      </c>
      <c r="D2" s="62">
        <v>54343.6678029481</v>
      </c>
      <c r="E2" s="62">
        <v>99992.87893944659</v>
      </c>
      <c r="F2" s="62">
        <v>122184.73639661566</v>
      </c>
      <c r="G2" s="62">
        <v>202641.94851217937</v>
      </c>
      <c r="H2" s="62">
        <v>158104.0260426595</v>
      </c>
      <c r="I2" s="62">
        <v>169469.74138954372</v>
      </c>
      <c r="J2" s="62">
        <v>165518.11536395847</v>
      </c>
      <c r="K2" s="62">
        <v>225111.49042529557</v>
      </c>
      <c r="L2" s="62">
        <v>213736.6739949569</v>
      </c>
      <c r="M2" s="62">
        <v>244952.4323346797</v>
      </c>
      <c r="N2" s="62">
        <v>294914.8998375417</v>
      </c>
      <c r="O2" s="62">
        <v>333217.3568354632</v>
      </c>
      <c r="P2" s="62">
        <v>255518.83092112897</v>
      </c>
      <c r="Q2" s="62">
        <v>96942.78635209904</v>
      </c>
      <c r="R2" s="62">
        <v>57016.3827674755</v>
      </c>
      <c r="S2" s="62">
        <v>17089.979182851966</v>
      </c>
    </row>
    <row r="3" ht="14.25" customHeight="1">
      <c r="A3" s="7" t="s">
        <v>116</v>
      </c>
      <c r="B3" s="108" t="s">
        <v>73</v>
      </c>
      <c r="C3" s="62">
        <v>7381.0</v>
      </c>
      <c r="D3" s="62">
        <v>42648.37122092433</v>
      </c>
      <c r="E3" s="62">
        <v>78122.09454543414</v>
      </c>
      <c r="F3" s="62">
        <v>95351.59172230566</v>
      </c>
      <c r="G3" s="62">
        <v>157903.22462261186</v>
      </c>
      <c r="H3" s="62">
        <v>123232.93286818446</v>
      </c>
      <c r="I3" s="62">
        <v>132043.49718560238</v>
      </c>
      <c r="J3" s="62">
        <v>128940.32488756848</v>
      </c>
      <c r="K3" s="62">
        <v>175261.57375441815</v>
      </c>
      <c r="L3" s="62">
        <v>166375.6203648051</v>
      </c>
      <c r="M3" s="62">
        <v>190615.6695741288</v>
      </c>
      <c r="N3" s="62">
        <v>229448.85854046955</v>
      </c>
      <c r="O3" s="62">
        <v>259216.24080442387</v>
      </c>
      <c r="P3" s="62">
        <v>198754.61747422736</v>
      </c>
      <c r="Q3" s="62">
        <v>75388.2574126008</v>
      </c>
      <c r="R3" s="62">
        <v>44334.387957893574</v>
      </c>
      <c r="S3" s="62">
        <v>13280.518503186351</v>
      </c>
    </row>
    <row r="4" ht="14.25" customHeight="1">
      <c r="A4" s="7" t="s">
        <v>117</v>
      </c>
      <c r="B4" s="108" t="s">
        <v>75</v>
      </c>
      <c r="C4" s="62">
        <v>3295.0</v>
      </c>
      <c r="D4" s="62">
        <v>19039.36887651837</v>
      </c>
      <c r="E4" s="62">
        <v>34875.859267196196</v>
      </c>
      <c r="F4" s="62">
        <v>42567.60575914363</v>
      </c>
      <c r="G4" s="62">
        <v>70492.44755142703</v>
      </c>
      <c r="H4" s="62">
        <v>55014.645163958434</v>
      </c>
      <c r="I4" s="62">
        <v>58947.93918321388</v>
      </c>
      <c r="J4" s="62">
        <v>57562.600838778126</v>
      </c>
      <c r="K4" s="62">
        <v>78241.73611352862</v>
      </c>
      <c r="L4" s="62">
        <v>74274.80105823648</v>
      </c>
      <c r="M4" s="62">
        <v>85096.26002032682</v>
      </c>
      <c r="N4" s="62">
        <v>102432.5108376585</v>
      </c>
      <c r="O4" s="62">
        <v>115721.5258504566</v>
      </c>
      <c r="P4" s="62">
        <v>88729.73609845563</v>
      </c>
      <c r="Q4" s="62">
        <v>33655.474591351915</v>
      </c>
      <c r="R4" s="62">
        <v>19792.14001335762</v>
      </c>
      <c r="S4" s="62">
        <v>5928.805435363327</v>
      </c>
    </row>
    <row r="5" ht="14.25" customHeight="1">
      <c r="A5" s="7" t="s">
        <v>118</v>
      </c>
      <c r="B5" s="108" t="s">
        <v>77</v>
      </c>
      <c r="C5" s="62">
        <v>5492.0</v>
      </c>
      <c r="D5" s="62">
        <v>31732.58969006927</v>
      </c>
      <c r="E5" s="62">
        <v>58126.71509018479</v>
      </c>
      <c r="F5" s="62">
        <v>70946.2676349459</v>
      </c>
      <c r="G5" s="62">
        <v>117487.64943140402</v>
      </c>
      <c r="H5" s="62">
        <v>91691.28810812657</v>
      </c>
      <c r="I5" s="62">
        <v>98246.75433069517</v>
      </c>
      <c r="J5" s="62">
        <v>95937.83307913912</v>
      </c>
      <c r="K5" s="62">
        <v>130403.03495607091</v>
      </c>
      <c r="L5" s="62">
        <v>123791.44508765293</v>
      </c>
      <c r="M5" s="62">
        <v>141827.1785815391</v>
      </c>
      <c r="N5" s="62">
        <v>170720.90850295484</v>
      </c>
      <c r="O5" s="62">
        <v>192869.24791642933</v>
      </c>
      <c r="P5" s="62">
        <v>147882.9078535706</v>
      </c>
      <c r="Q5" s="62">
        <v>56092.44819887397</v>
      </c>
      <c r="R5" s="62">
        <v>32986.89056888348</v>
      </c>
      <c r="S5" s="62">
        <v>9881.332938892989</v>
      </c>
    </row>
    <row r="6" ht="14.25" customHeight="1">
      <c r="A6" s="7" t="s">
        <v>119</v>
      </c>
      <c r="B6" s="108" t="s">
        <v>79</v>
      </c>
      <c r="C6" s="62">
        <v>4280.0</v>
      </c>
      <c r="D6" s="62">
        <v>49733.00026163799</v>
      </c>
      <c r="E6" s="62">
        <v>57361.567540308606</v>
      </c>
      <c r="F6" s="62">
        <v>93057.94162713783</v>
      </c>
      <c r="G6" s="62">
        <v>56539.14175278407</v>
      </c>
      <c r="H6" s="62">
        <v>64607.98596175296</v>
      </c>
      <c r="I6" s="62">
        <v>74860.28143437885</v>
      </c>
      <c r="J6" s="62">
        <v>66331.64793550741</v>
      </c>
      <c r="K6" s="62">
        <v>82012.48098322292</v>
      </c>
      <c r="L6" s="62">
        <v>86691.23241527009</v>
      </c>
      <c r="M6" s="62">
        <v>99800.75892879989</v>
      </c>
      <c r="N6" s="62">
        <v>130445.66222953863</v>
      </c>
      <c r="O6" s="62">
        <v>103216.62218251915</v>
      </c>
      <c r="P6" s="62">
        <v>104605.8399480778</v>
      </c>
      <c r="Q6" s="62">
        <v>39757.358533009814</v>
      </c>
      <c r="R6" s="62">
        <v>23401.457394553396</v>
      </c>
      <c r="S6" s="62">
        <v>7045.556256096977</v>
      </c>
    </row>
    <row r="7" ht="14.25" customHeight="1">
      <c r="A7" s="7" t="s">
        <v>120</v>
      </c>
      <c r="B7" s="108" t="s">
        <v>81</v>
      </c>
      <c r="C7" s="62">
        <v>2567.0</v>
      </c>
      <c r="D7" s="62">
        <v>15807.739481546494</v>
      </c>
      <c r="E7" s="62">
        <v>17947.252487825826</v>
      </c>
      <c r="F7" s="62">
        <v>28325.272610737993</v>
      </c>
      <c r="G7" s="62">
        <v>17524.461314658227</v>
      </c>
      <c r="H7" s="62">
        <v>19798.06335041661</v>
      </c>
      <c r="I7" s="62">
        <v>22713.252549681038</v>
      </c>
      <c r="J7" s="62">
        <v>20115.855692921068</v>
      </c>
      <c r="K7" s="62">
        <v>24625.101439614366</v>
      </c>
      <c r="L7" s="62">
        <v>25874.556427491865</v>
      </c>
      <c r="M7" s="62">
        <v>29598.260624065355</v>
      </c>
      <c r="N7" s="62">
        <v>38507.55246151337</v>
      </c>
      <c r="O7" s="62">
        <v>30441.93038825901</v>
      </c>
      <c r="P7" s="62">
        <v>30755.998956101535</v>
      </c>
      <c r="Q7" s="62">
        <v>11630.742764412327</v>
      </c>
      <c r="R7" s="62">
        <v>6830.641343343596</v>
      </c>
      <c r="S7" s="62">
        <v>2030.5399222748656</v>
      </c>
    </row>
    <row r="8" ht="14.25" customHeight="1">
      <c r="A8" s="7" t="s">
        <v>121</v>
      </c>
      <c r="B8" s="108" t="s">
        <v>83</v>
      </c>
      <c r="C8" s="62">
        <v>1253.0</v>
      </c>
      <c r="D8" s="62">
        <v>15345.82379431128</v>
      </c>
      <c r="E8" s="62">
        <v>18342.406724255336</v>
      </c>
      <c r="F8" s="62">
        <v>29567.002032058663</v>
      </c>
      <c r="G8" s="62">
        <v>19485.444826523475</v>
      </c>
      <c r="H8" s="62">
        <v>22574.022447427655</v>
      </c>
      <c r="I8" s="62">
        <v>26297.354503834937</v>
      </c>
      <c r="J8" s="62">
        <v>24514.933232220763</v>
      </c>
      <c r="K8" s="62">
        <v>29824.564795022554</v>
      </c>
      <c r="L8" s="62">
        <v>32141.255749676166</v>
      </c>
      <c r="M8" s="62">
        <v>36932.19591302577</v>
      </c>
      <c r="N8" s="62">
        <v>46569.23151026184</v>
      </c>
      <c r="O8" s="62">
        <v>39146.51127361465</v>
      </c>
      <c r="P8" s="62">
        <v>40268.72269860003</v>
      </c>
      <c r="Q8" s="62">
        <v>21951.609364053682</v>
      </c>
      <c r="R8" s="62">
        <v>17151.50794298495</v>
      </c>
      <c r="S8" s="62">
        <v>12351.406521916218</v>
      </c>
    </row>
    <row r="9" ht="14.25" customHeight="1">
      <c r="A9" s="7" t="s">
        <v>122</v>
      </c>
      <c r="B9" s="108" t="s">
        <v>85</v>
      </c>
      <c r="C9" s="62">
        <v>2862.0</v>
      </c>
      <c r="D9" s="62">
        <v>25742.210358695822</v>
      </c>
      <c r="E9" s="62">
        <v>37938.697755772046</v>
      </c>
      <c r="F9" s="62">
        <v>52397.59109386969</v>
      </c>
      <c r="G9" s="62">
        <v>44857.516768044385</v>
      </c>
      <c r="H9" s="62">
        <v>51100.44455995645</v>
      </c>
      <c r="I9" s="62">
        <v>54978.20619264114</v>
      </c>
      <c r="J9" s="62">
        <v>51304.09896390441</v>
      </c>
      <c r="K9" s="62">
        <v>62121.817397451516</v>
      </c>
      <c r="L9" s="62">
        <v>67651.6485911443</v>
      </c>
      <c r="M9" s="62">
        <v>78218.88927596607</v>
      </c>
      <c r="N9" s="62">
        <v>97627.6336533053</v>
      </c>
      <c r="O9" s="62">
        <v>81248.79025637079</v>
      </c>
      <c r="P9" s="62">
        <v>82765.68380696408</v>
      </c>
      <c r="Q9" s="62">
        <v>31716.112339411382</v>
      </c>
      <c r="R9" s="62">
        <v>18736.013156159686</v>
      </c>
      <c r="S9" s="62">
        <v>5755.913972907991</v>
      </c>
    </row>
    <row r="10" ht="14.25" customHeight="1">
      <c r="A10" s="7" t="s">
        <v>123</v>
      </c>
      <c r="B10" s="108" t="s">
        <v>87</v>
      </c>
      <c r="C10" s="62">
        <v>960.0</v>
      </c>
      <c r="D10" s="62">
        <v>11103.129942887947</v>
      </c>
      <c r="E10" s="62">
        <v>16520.90182804007</v>
      </c>
      <c r="F10" s="62">
        <v>22939.06952890987</v>
      </c>
      <c r="G10" s="62">
        <v>19623.48236384088</v>
      </c>
      <c r="H10" s="62">
        <v>22406.810979042384</v>
      </c>
      <c r="I10" s="62">
        <v>24143.82367921336</v>
      </c>
      <c r="J10" s="62">
        <v>22540.77141989713</v>
      </c>
      <c r="K10" s="62">
        <v>27347.17067848335</v>
      </c>
      <c r="L10" s="62">
        <v>29821.9112792582</v>
      </c>
      <c r="M10" s="62">
        <v>34524.73684726317</v>
      </c>
      <c r="N10" s="62">
        <v>43129.04901939021</v>
      </c>
      <c r="O10" s="62">
        <v>35901.94204874796</v>
      </c>
      <c r="P10" s="62">
        <v>36594.724635686194</v>
      </c>
      <c r="Q10" s="62">
        <v>14036.95538767525</v>
      </c>
      <c r="R10" s="62">
        <v>8295.757672006232</v>
      </c>
      <c r="S10" s="62">
        <v>2554.5599563372134</v>
      </c>
    </row>
    <row r="11" ht="14.25" customHeight="1">
      <c r="A11" s="7" t="s">
        <v>124</v>
      </c>
      <c r="B11" s="108" t="s">
        <v>89</v>
      </c>
      <c r="C11" s="62">
        <f>C10</f>
        <v>960</v>
      </c>
      <c r="D11" s="62">
        <f t="shared" ref="D11:S11" si="1">D10+SUM(D6:D8)</f>
        <v>91989.69348</v>
      </c>
      <c r="E11" s="62">
        <f t="shared" si="1"/>
        <v>110172.1286</v>
      </c>
      <c r="F11" s="62">
        <f t="shared" si="1"/>
        <v>173889.2858</v>
      </c>
      <c r="G11" s="62">
        <f t="shared" si="1"/>
        <v>113172.5303</v>
      </c>
      <c r="H11" s="62">
        <f t="shared" si="1"/>
        <v>129386.8827</v>
      </c>
      <c r="I11" s="62">
        <f t="shared" si="1"/>
        <v>148014.7122</v>
      </c>
      <c r="J11" s="62">
        <f t="shared" si="1"/>
        <v>133503.2083</v>
      </c>
      <c r="K11" s="62">
        <f t="shared" si="1"/>
        <v>163809.3179</v>
      </c>
      <c r="L11" s="62">
        <f t="shared" si="1"/>
        <v>174528.9559</v>
      </c>
      <c r="M11" s="62">
        <f t="shared" si="1"/>
        <v>200855.9523</v>
      </c>
      <c r="N11" s="62">
        <f t="shared" si="1"/>
        <v>258651.4952</v>
      </c>
      <c r="O11" s="62">
        <f t="shared" si="1"/>
        <v>208707.0059</v>
      </c>
      <c r="P11" s="62">
        <f t="shared" si="1"/>
        <v>212225.2862</v>
      </c>
      <c r="Q11" s="62">
        <f t="shared" si="1"/>
        <v>87376.66605</v>
      </c>
      <c r="R11" s="62">
        <f t="shared" si="1"/>
        <v>55679.36435</v>
      </c>
      <c r="S11" s="62">
        <f t="shared" si="1"/>
        <v>23982.06266</v>
      </c>
    </row>
    <row r="12" ht="14.25" customHeight="1">
      <c r="B12" s="69"/>
      <c r="C12" s="69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ht="14.25" customHeight="1">
      <c r="B13" s="69"/>
      <c r="C13" s="69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ht="14.25" customHeight="1">
      <c r="A14" s="7"/>
      <c r="B14" s="108" t="s">
        <v>161</v>
      </c>
      <c r="C14" s="110">
        <v>15.0</v>
      </c>
      <c r="D14" s="110">
        <v>16.0</v>
      </c>
      <c r="E14" s="110">
        <v>17.0</v>
      </c>
      <c r="F14" s="110">
        <v>18.0</v>
      </c>
      <c r="G14" s="110">
        <v>19.0</v>
      </c>
      <c r="H14" s="110">
        <v>20.0</v>
      </c>
      <c r="I14" s="110">
        <v>21.0</v>
      </c>
      <c r="J14" s="110">
        <v>22.0</v>
      </c>
      <c r="K14" s="110">
        <v>23.0</v>
      </c>
      <c r="L14" s="110">
        <v>24.0</v>
      </c>
      <c r="M14" s="110">
        <v>25.0</v>
      </c>
      <c r="N14" s="110">
        <v>26.0</v>
      </c>
      <c r="O14" s="110">
        <v>27.0</v>
      </c>
      <c r="P14" s="110">
        <v>28.0</v>
      </c>
      <c r="Q14" s="110">
        <v>29.0</v>
      </c>
      <c r="R14" s="110">
        <v>30.0</v>
      </c>
      <c r="S14" s="110">
        <v>31.0</v>
      </c>
      <c r="T14" s="7" t="s">
        <v>68</v>
      </c>
    </row>
    <row r="15" ht="14.25" customHeight="1">
      <c r="A15" s="7" t="s">
        <v>115</v>
      </c>
      <c r="B15" s="108" t="s">
        <v>71</v>
      </c>
      <c r="C15" s="62">
        <f t="shared" ref="C15:S15" si="2">C2*10*50*0.016/1000</f>
        <v>71.68</v>
      </c>
      <c r="D15" s="62">
        <f t="shared" si="2"/>
        <v>434.7493424</v>
      </c>
      <c r="E15" s="62">
        <f t="shared" si="2"/>
        <v>799.9430315</v>
      </c>
      <c r="F15" s="62">
        <f t="shared" si="2"/>
        <v>977.4778912</v>
      </c>
      <c r="G15" s="62">
        <f t="shared" si="2"/>
        <v>1621.135588</v>
      </c>
      <c r="H15" s="62">
        <f t="shared" si="2"/>
        <v>1264.832208</v>
      </c>
      <c r="I15" s="62">
        <f t="shared" si="2"/>
        <v>1355.757931</v>
      </c>
      <c r="J15" s="62">
        <f t="shared" si="2"/>
        <v>1324.144923</v>
      </c>
      <c r="K15" s="62">
        <f t="shared" si="2"/>
        <v>1800.891923</v>
      </c>
      <c r="L15" s="62">
        <f t="shared" si="2"/>
        <v>1709.893392</v>
      </c>
      <c r="M15" s="62">
        <f t="shared" si="2"/>
        <v>1959.619459</v>
      </c>
      <c r="N15" s="62">
        <f t="shared" si="2"/>
        <v>2359.319199</v>
      </c>
      <c r="O15" s="62">
        <f t="shared" si="2"/>
        <v>2665.738855</v>
      </c>
      <c r="P15" s="62">
        <f t="shared" si="2"/>
        <v>2044.150647</v>
      </c>
      <c r="Q15" s="62">
        <f t="shared" si="2"/>
        <v>775.5422908</v>
      </c>
      <c r="R15" s="62">
        <f t="shared" si="2"/>
        <v>456.1310621</v>
      </c>
      <c r="S15" s="62">
        <f t="shared" si="2"/>
        <v>136.7198335</v>
      </c>
      <c r="T15" s="7"/>
    </row>
    <row r="16" ht="14.25" customHeight="1">
      <c r="A16" s="7" t="s">
        <v>116</v>
      </c>
      <c r="B16" s="108" t="s">
        <v>73</v>
      </c>
      <c r="C16" s="62">
        <f t="shared" ref="C16:S16" si="3">C3*5*100*0.016/1000</f>
        <v>59.048</v>
      </c>
      <c r="D16" s="62">
        <f t="shared" si="3"/>
        <v>341.1869698</v>
      </c>
      <c r="E16" s="62">
        <f t="shared" si="3"/>
        <v>624.9767564</v>
      </c>
      <c r="F16" s="62">
        <f t="shared" si="3"/>
        <v>762.8127338</v>
      </c>
      <c r="G16" s="62">
        <f t="shared" si="3"/>
        <v>1263.225797</v>
      </c>
      <c r="H16" s="62">
        <f t="shared" si="3"/>
        <v>985.8634629</v>
      </c>
      <c r="I16" s="62">
        <f t="shared" si="3"/>
        <v>1056.347977</v>
      </c>
      <c r="J16" s="62">
        <f t="shared" si="3"/>
        <v>1031.522599</v>
      </c>
      <c r="K16" s="62">
        <f t="shared" si="3"/>
        <v>1402.09259</v>
      </c>
      <c r="L16" s="62">
        <f t="shared" si="3"/>
        <v>1331.004963</v>
      </c>
      <c r="M16" s="62">
        <f t="shared" si="3"/>
        <v>1524.925357</v>
      </c>
      <c r="N16" s="62">
        <f t="shared" si="3"/>
        <v>1835.590868</v>
      </c>
      <c r="O16" s="62">
        <f t="shared" si="3"/>
        <v>2073.729926</v>
      </c>
      <c r="P16" s="62">
        <f t="shared" si="3"/>
        <v>1590.03694</v>
      </c>
      <c r="Q16" s="62">
        <f t="shared" si="3"/>
        <v>603.1060593</v>
      </c>
      <c r="R16" s="62">
        <f t="shared" si="3"/>
        <v>354.6751037</v>
      </c>
      <c r="S16" s="62">
        <f t="shared" si="3"/>
        <v>106.244148</v>
      </c>
      <c r="T16" s="7"/>
    </row>
    <row r="17" ht="14.25" customHeight="1">
      <c r="A17" s="7" t="s">
        <v>117</v>
      </c>
      <c r="B17" s="108" t="s">
        <v>75</v>
      </c>
      <c r="C17" s="62">
        <f t="shared" ref="C17:S17" si="4">C4*24*20*0.016/1000</f>
        <v>25.3056</v>
      </c>
      <c r="D17" s="62">
        <f t="shared" si="4"/>
        <v>146.222353</v>
      </c>
      <c r="E17" s="62">
        <f t="shared" si="4"/>
        <v>267.8465992</v>
      </c>
      <c r="F17" s="62">
        <f t="shared" si="4"/>
        <v>326.9192122</v>
      </c>
      <c r="G17" s="62">
        <f t="shared" si="4"/>
        <v>541.3819972</v>
      </c>
      <c r="H17" s="62">
        <f t="shared" si="4"/>
        <v>422.5124749</v>
      </c>
      <c r="I17" s="62">
        <f t="shared" si="4"/>
        <v>452.7201729</v>
      </c>
      <c r="J17" s="62">
        <f t="shared" si="4"/>
        <v>442.0807744</v>
      </c>
      <c r="K17" s="62">
        <f t="shared" si="4"/>
        <v>600.8965334</v>
      </c>
      <c r="L17" s="62">
        <f t="shared" si="4"/>
        <v>570.4304721</v>
      </c>
      <c r="M17" s="62">
        <f t="shared" si="4"/>
        <v>653.539277</v>
      </c>
      <c r="N17" s="62">
        <f t="shared" si="4"/>
        <v>786.6816832</v>
      </c>
      <c r="O17" s="62">
        <f t="shared" si="4"/>
        <v>888.7413185</v>
      </c>
      <c r="P17" s="62">
        <f t="shared" si="4"/>
        <v>681.4443732</v>
      </c>
      <c r="Q17" s="62">
        <f t="shared" si="4"/>
        <v>258.4740449</v>
      </c>
      <c r="R17" s="62">
        <f t="shared" si="4"/>
        <v>152.0036353</v>
      </c>
      <c r="S17" s="62">
        <f t="shared" si="4"/>
        <v>45.53322574</v>
      </c>
      <c r="T17" s="7"/>
    </row>
    <row r="18" ht="14.25" customHeight="1">
      <c r="A18" s="7" t="s">
        <v>118</v>
      </c>
      <c r="B18" s="108" t="s">
        <v>77</v>
      </c>
      <c r="C18" s="62">
        <f t="shared" ref="C18:S18" si="5">C5*24*24*0.016/1000</f>
        <v>50.614272</v>
      </c>
      <c r="D18" s="62">
        <f t="shared" si="5"/>
        <v>292.4475466</v>
      </c>
      <c r="E18" s="62">
        <f t="shared" si="5"/>
        <v>535.6958063</v>
      </c>
      <c r="F18" s="62">
        <f t="shared" si="5"/>
        <v>653.8408025</v>
      </c>
      <c r="G18" s="62">
        <f t="shared" si="5"/>
        <v>1082.766177</v>
      </c>
      <c r="H18" s="62">
        <f t="shared" si="5"/>
        <v>845.0269112</v>
      </c>
      <c r="I18" s="62">
        <f t="shared" si="5"/>
        <v>905.4420879</v>
      </c>
      <c r="J18" s="62">
        <f t="shared" si="5"/>
        <v>884.1630697</v>
      </c>
      <c r="K18" s="62">
        <f t="shared" si="5"/>
        <v>1201.79437</v>
      </c>
      <c r="L18" s="62">
        <f t="shared" si="5"/>
        <v>1140.861958</v>
      </c>
      <c r="M18" s="62">
        <f t="shared" si="5"/>
        <v>1307.079278</v>
      </c>
      <c r="N18" s="62">
        <f t="shared" si="5"/>
        <v>1573.363893</v>
      </c>
      <c r="O18" s="62">
        <f t="shared" si="5"/>
        <v>1777.482989</v>
      </c>
      <c r="P18" s="62">
        <f t="shared" si="5"/>
        <v>1362.888879</v>
      </c>
      <c r="Q18" s="62">
        <f t="shared" si="5"/>
        <v>516.9480026</v>
      </c>
      <c r="R18" s="62">
        <f t="shared" si="5"/>
        <v>304.0071835</v>
      </c>
      <c r="S18" s="62">
        <f t="shared" si="5"/>
        <v>91.06636436</v>
      </c>
      <c r="T18" s="7"/>
    </row>
    <row r="19" ht="14.25" customHeight="1">
      <c r="A19" s="7" t="s">
        <v>119</v>
      </c>
      <c r="B19" s="108" t="s">
        <v>79</v>
      </c>
      <c r="C19" s="62">
        <f t="shared" ref="C19:S19" si="6">C6*40*15*0.0025/1000</f>
        <v>6.42</v>
      </c>
      <c r="D19" s="62">
        <f t="shared" si="6"/>
        <v>74.59950039</v>
      </c>
      <c r="E19" s="62">
        <f t="shared" si="6"/>
        <v>86.04235131</v>
      </c>
      <c r="F19" s="62">
        <f t="shared" si="6"/>
        <v>139.5869124</v>
      </c>
      <c r="G19" s="62">
        <f t="shared" si="6"/>
        <v>84.80871263</v>
      </c>
      <c r="H19" s="62">
        <f t="shared" si="6"/>
        <v>96.91197894</v>
      </c>
      <c r="I19" s="62">
        <f t="shared" si="6"/>
        <v>112.2904222</v>
      </c>
      <c r="J19" s="62">
        <f t="shared" si="6"/>
        <v>99.4974719</v>
      </c>
      <c r="K19" s="62">
        <f t="shared" si="6"/>
        <v>123.0187215</v>
      </c>
      <c r="L19" s="62">
        <f t="shared" si="6"/>
        <v>130.0368486</v>
      </c>
      <c r="M19" s="62">
        <f t="shared" si="6"/>
        <v>149.7011384</v>
      </c>
      <c r="N19" s="62">
        <f t="shared" si="6"/>
        <v>195.6684933</v>
      </c>
      <c r="O19" s="62">
        <f t="shared" si="6"/>
        <v>154.8249333</v>
      </c>
      <c r="P19" s="62">
        <f t="shared" si="6"/>
        <v>156.9087599</v>
      </c>
      <c r="Q19" s="62">
        <f t="shared" si="6"/>
        <v>59.6360378</v>
      </c>
      <c r="R19" s="62">
        <f t="shared" si="6"/>
        <v>35.10218609</v>
      </c>
      <c r="S19" s="62">
        <f t="shared" si="6"/>
        <v>10.56833438</v>
      </c>
      <c r="T19" s="7"/>
    </row>
    <row r="20" ht="14.25" customHeight="1">
      <c r="A20" s="7" t="s">
        <v>120</v>
      </c>
      <c r="B20" s="108" t="s">
        <v>81</v>
      </c>
      <c r="C20" s="62">
        <f t="shared" ref="C20:S20" si="7">C7*24*50*0.0025/1000</f>
        <v>7.701</v>
      </c>
      <c r="D20" s="62">
        <f t="shared" si="7"/>
        <v>47.42321844</v>
      </c>
      <c r="E20" s="62">
        <f t="shared" si="7"/>
        <v>53.84175746</v>
      </c>
      <c r="F20" s="62">
        <f t="shared" si="7"/>
        <v>84.97581783</v>
      </c>
      <c r="G20" s="62">
        <f t="shared" si="7"/>
        <v>52.57338394</v>
      </c>
      <c r="H20" s="62">
        <f t="shared" si="7"/>
        <v>59.39419005</v>
      </c>
      <c r="I20" s="62">
        <f t="shared" si="7"/>
        <v>68.13975765</v>
      </c>
      <c r="J20" s="62">
        <f t="shared" si="7"/>
        <v>60.34756708</v>
      </c>
      <c r="K20" s="62">
        <f t="shared" si="7"/>
        <v>73.87530432</v>
      </c>
      <c r="L20" s="62">
        <f t="shared" si="7"/>
        <v>77.62366928</v>
      </c>
      <c r="M20" s="62">
        <f t="shared" si="7"/>
        <v>88.79478187</v>
      </c>
      <c r="N20" s="62">
        <f t="shared" si="7"/>
        <v>115.5226574</v>
      </c>
      <c r="O20" s="62">
        <f t="shared" si="7"/>
        <v>91.32579116</v>
      </c>
      <c r="P20" s="62">
        <f t="shared" si="7"/>
        <v>92.26799687</v>
      </c>
      <c r="Q20" s="62">
        <f t="shared" si="7"/>
        <v>34.89222829</v>
      </c>
      <c r="R20" s="62">
        <f t="shared" si="7"/>
        <v>20.49192403</v>
      </c>
      <c r="S20" s="62">
        <f t="shared" si="7"/>
        <v>6.091619767</v>
      </c>
      <c r="T20" s="7"/>
    </row>
    <row r="21" ht="14.25" customHeight="1">
      <c r="A21" s="7" t="s">
        <v>121</v>
      </c>
      <c r="B21" s="108" t="s">
        <v>83</v>
      </c>
      <c r="C21" s="62">
        <f t="shared" ref="C21:S21" si="8">C8*12*100*0.0025/1000</f>
        <v>3.759</v>
      </c>
      <c r="D21" s="62">
        <f t="shared" si="8"/>
        <v>46.03747138</v>
      </c>
      <c r="E21" s="62">
        <f t="shared" si="8"/>
        <v>55.02722017</v>
      </c>
      <c r="F21" s="62">
        <f t="shared" si="8"/>
        <v>88.7010061</v>
      </c>
      <c r="G21" s="62">
        <f t="shared" si="8"/>
        <v>58.45633448</v>
      </c>
      <c r="H21" s="62">
        <f t="shared" si="8"/>
        <v>67.72206734</v>
      </c>
      <c r="I21" s="62">
        <f t="shared" si="8"/>
        <v>78.89206351</v>
      </c>
      <c r="J21" s="62">
        <f t="shared" si="8"/>
        <v>73.5447997</v>
      </c>
      <c r="K21" s="62">
        <f t="shared" si="8"/>
        <v>89.47369439</v>
      </c>
      <c r="L21" s="62">
        <f t="shared" si="8"/>
        <v>96.42376725</v>
      </c>
      <c r="M21" s="62">
        <f t="shared" si="8"/>
        <v>110.7965877</v>
      </c>
      <c r="N21" s="62">
        <f t="shared" si="8"/>
        <v>139.7076945</v>
      </c>
      <c r="O21" s="62">
        <f t="shared" si="8"/>
        <v>117.4395338</v>
      </c>
      <c r="P21" s="62">
        <f t="shared" si="8"/>
        <v>120.8061681</v>
      </c>
      <c r="Q21" s="62">
        <f t="shared" si="8"/>
        <v>65.85482809</v>
      </c>
      <c r="R21" s="62">
        <f t="shared" si="8"/>
        <v>51.45452383</v>
      </c>
      <c r="S21" s="62">
        <f t="shared" si="8"/>
        <v>37.05421957</v>
      </c>
      <c r="T21" s="7"/>
    </row>
    <row r="22" ht="14.25" customHeight="1">
      <c r="A22" s="7" t="s">
        <v>122</v>
      </c>
      <c r="B22" s="108" t="s">
        <v>85</v>
      </c>
      <c r="C22" s="62">
        <f t="shared" ref="C22:S22" si="9">C9*60*15*0.001/1000</f>
        <v>2.5758</v>
      </c>
      <c r="D22" s="62">
        <f t="shared" si="9"/>
        <v>23.16798932</v>
      </c>
      <c r="E22" s="62">
        <f t="shared" si="9"/>
        <v>34.14482798</v>
      </c>
      <c r="F22" s="62">
        <f t="shared" si="9"/>
        <v>47.15783198</v>
      </c>
      <c r="G22" s="62">
        <f t="shared" si="9"/>
        <v>40.37176509</v>
      </c>
      <c r="H22" s="62">
        <f t="shared" si="9"/>
        <v>45.9904001</v>
      </c>
      <c r="I22" s="62">
        <f t="shared" si="9"/>
        <v>49.48038557</v>
      </c>
      <c r="J22" s="62">
        <f t="shared" si="9"/>
        <v>46.17368907</v>
      </c>
      <c r="K22" s="62">
        <f t="shared" si="9"/>
        <v>55.90963566</v>
      </c>
      <c r="L22" s="62">
        <f t="shared" si="9"/>
        <v>60.88648373</v>
      </c>
      <c r="M22" s="62">
        <f t="shared" si="9"/>
        <v>70.39700035</v>
      </c>
      <c r="N22" s="62">
        <f t="shared" si="9"/>
        <v>87.86487029</v>
      </c>
      <c r="O22" s="62">
        <f t="shared" si="9"/>
        <v>73.12391123</v>
      </c>
      <c r="P22" s="62">
        <f t="shared" si="9"/>
        <v>74.48911543</v>
      </c>
      <c r="Q22" s="62">
        <f t="shared" si="9"/>
        <v>28.54450111</v>
      </c>
      <c r="R22" s="62">
        <f t="shared" si="9"/>
        <v>16.86241184</v>
      </c>
      <c r="S22" s="62">
        <f t="shared" si="9"/>
        <v>5.180322576</v>
      </c>
      <c r="T22" s="7"/>
    </row>
    <row r="23" ht="14.25" customHeight="1">
      <c r="A23" s="7" t="s">
        <v>123</v>
      </c>
      <c r="B23" s="108" t="s">
        <v>87</v>
      </c>
      <c r="C23" s="62">
        <f t="shared" ref="C23:S23" si="10">C10*60*20*0.001/1000</f>
        <v>1.152</v>
      </c>
      <c r="D23" s="62">
        <f t="shared" si="10"/>
        <v>13.32375593</v>
      </c>
      <c r="E23" s="62">
        <f t="shared" si="10"/>
        <v>19.82508219</v>
      </c>
      <c r="F23" s="62">
        <f t="shared" si="10"/>
        <v>27.52688343</v>
      </c>
      <c r="G23" s="62">
        <f t="shared" si="10"/>
        <v>23.54817884</v>
      </c>
      <c r="H23" s="62">
        <f t="shared" si="10"/>
        <v>26.88817317</v>
      </c>
      <c r="I23" s="62">
        <f t="shared" si="10"/>
        <v>28.97258842</v>
      </c>
      <c r="J23" s="62">
        <f t="shared" si="10"/>
        <v>27.0489257</v>
      </c>
      <c r="K23" s="62">
        <f t="shared" si="10"/>
        <v>32.81660481</v>
      </c>
      <c r="L23" s="62">
        <f t="shared" si="10"/>
        <v>35.78629354</v>
      </c>
      <c r="M23" s="62">
        <f t="shared" si="10"/>
        <v>41.42968422</v>
      </c>
      <c r="N23" s="62">
        <f t="shared" si="10"/>
        <v>51.75485882</v>
      </c>
      <c r="O23" s="62">
        <f t="shared" si="10"/>
        <v>43.08233046</v>
      </c>
      <c r="P23" s="62">
        <f t="shared" si="10"/>
        <v>43.91366956</v>
      </c>
      <c r="Q23" s="62">
        <f t="shared" si="10"/>
        <v>16.84434647</v>
      </c>
      <c r="R23" s="62">
        <f t="shared" si="10"/>
        <v>9.954909206</v>
      </c>
      <c r="S23" s="62">
        <f t="shared" si="10"/>
        <v>3.065471948</v>
      </c>
      <c r="T23" s="7"/>
    </row>
    <row r="24" ht="14.25" customHeight="1">
      <c r="A24" s="7" t="s">
        <v>124</v>
      </c>
      <c r="B24" s="108" t="s">
        <v>89</v>
      </c>
      <c r="C24" s="62">
        <f t="shared" ref="C24:S24" si="11">C11*50*24*0.001/1000</f>
        <v>1.152</v>
      </c>
      <c r="D24" s="62">
        <f t="shared" si="11"/>
        <v>110.3876322</v>
      </c>
      <c r="E24" s="62">
        <f t="shared" si="11"/>
        <v>132.2065543</v>
      </c>
      <c r="F24" s="62">
        <f t="shared" si="11"/>
        <v>208.667143</v>
      </c>
      <c r="G24" s="62">
        <f t="shared" si="11"/>
        <v>135.8070363</v>
      </c>
      <c r="H24" s="62">
        <f t="shared" si="11"/>
        <v>155.2642593</v>
      </c>
      <c r="I24" s="62">
        <f t="shared" si="11"/>
        <v>177.6176546</v>
      </c>
      <c r="J24" s="62">
        <f t="shared" si="11"/>
        <v>160.2038499</v>
      </c>
      <c r="K24" s="62">
        <f t="shared" si="11"/>
        <v>196.5711815</v>
      </c>
      <c r="L24" s="62">
        <f t="shared" si="11"/>
        <v>209.434747</v>
      </c>
      <c r="M24" s="62">
        <f t="shared" si="11"/>
        <v>241.0271428</v>
      </c>
      <c r="N24" s="62">
        <f t="shared" si="11"/>
        <v>310.3817943</v>
      </c>
      <c r="O24" s="62">
        <f t="shared" si="11"/>
        <v>250.4484071</v>
      </c>
      <c r="P24" s="62">
        <f t="shared" si="11"/>
        <v>254.6703435</v>
      </c>
      <c r="Q24" s="62">
        <f t="shared" si="11"/>
        <v>104.8519993</v>
      </c>
      <c r="R24" s="62">
        <f t="shared" si="11"/>
        <v>66.81523722</v>
      </c>
      <c r="S24" s="62">
        <f t="shared" si="11"/>
        <v>28.77847519</v>
      </c>
      <c r="T24" s="7"/>
    </row>
    <row r="25" ht="14.25" customHeight="1">
      <c r="A25" s="7"/>
      <c r="B25" s="108" t="s">
        <v>162</v>
      </c>
      <c r="C25" s="62">
        <f t="shared" ref="C25:S25" si="12">SUM(C15:C24)</f>
        <v>229.407672</v>
      </c>
      <c r="D25" s="62">
        <f t="shared" si="12"/>
        <v>1529.545779</v>
      </c>
      <c r="E25" s="62">
        <f t="shared" si="12"/>
        <v>2609.549987</v>
      </c>
      <c r="F25" s="62">
        <f t="shared" si="12"/>
        <v>3317.666234</v>
      </c>
      <c r="G25" s="62">
        <f t="shared" si="12"/>
        <v>4904.074971</v>
      </c>
      <c r="H25" s="62">
        <f t="shared" si="12"/>
        <v>3970.406126</v>
      </c>
      <c r="I25" s="62">
        <f t="shared" si="12"/>
        <v>4285.661041</v>
      </c>
      <c r="J25" s="62">
        <f t="shared" si="12"/>
        <v>4148.727669</v>
      </c>
      <c r="K25" s="62">
        <f t="shared" si="12"/>
        <v>5577.340559</v>
      </c>
      <c r="L25" s="62">
        <f t="shared" si="12"/>
        <v>5362.382594</v>
      </c>
      <c r="M25" s="62">
        <f t="shared" si="12"/>
        <v>6147.309705</v>
      </c>
      <c r="N25" s="62">
        <f t="shared" si="12"/>
        <v>7455.856012</v>
      </c>
      <c r="O25" s="62">
        <f t="shared" si="12"/>
        <v>8135.937995</v>
      </c>
      <c r="P25" s="62">
        <f t="shared" si="12"/>
        <v>6421.576893</v>
      </c>
      <c r="Q25" s="62">
        <f t="shared" si="12"/>
        <v>2464.694339</v>
      </c>
      <c r="R25" s="62">
        <f t="shared" si="12"/>
        <v>1467.498177</v>
      </c>
      <c r="S25" s="62">
        <f t="shared" si="12"/>
        <v>470.302015</v>
      </c>
      <c r="T25" s="7"/>
    </row>
    <row r="26" ht="14.25" customHeight="1">
      <c r="A26" s="7"/>
      <c r="B26" s="108" t="s">
        <v>163</v>
      </c>
      <c r="C26" s="62">
        <f t="shared" ref="C26:S26" si="13">C25*7/4</f>
        <v>401.463426</v>
      </c>
      <c r="D26" s="62">
        <f t="shared" si="13"/>
        <v>2676.705114</v>
      </c>
      <c r="E26" s="62">
        <f t="shared" si="13"/>
        <v>4566.712477</v>
      </c>
      <c r="F26" s="62">
        <f t="shared" si="13"/>
        <v>5805.91591</v>
      </c>
      <c r="G26" s="62">
        <f t="shared" si="13"/>
        <v>8582.131199</v>
      </c>
      <c r="H26" s="62">
        <f t="shared" si="13"/>
        <v>6948.210721</v>
      </c>
      <c r="I26" s="62">
        <f t="shared" si="13"/>
        <v>7499.906822</v>
      </c>
      <c r="J26" s="62">
        <f t="shared" si="13"/>
        <v>7260.273422</v>
      </c>
      <c r="K26" s="62">
        <f t="shared" si="13"/>
        <v>9760.345978</v>
      </c>
      <c r="L26" s="62">
        <f t="shared" si="13"/>
        <v>9384.16954</v>
      </c>
      <c r="M26" s="62">
        <f t="shared" si="13"/>
        <v>10757.79198</v>
      </c>
      <c r="N26" s="62">
        <f t="shared" si="13"/>
        <v>13047.74802</v>
      </c>
      <c r="O26" s="62">
        <f t="shared" si="13"/>
        <v>14237.89149</v>
      </c>
      <c r="P26" s="62">
        <f t="shared" si="13"/>
        <v>11237.75956</v>
      </c>
      <c r="Q26" s="62">
        <f t="shared" si="13"/>
        <v>4313.215093</v>
      </c>
      <c r="R26" s="62">
        <f t="shared" si="13"/>
        <v>2568.121809</v>
      </c>
      <c r="S26" s="62">
        <f t="shared" si="13"/>
        <v>823.0285263</v>
      </c>
      <c r="T26" s="62">
        <f>SUM(C26:S26)</f>
        <v>119871.3911</v>
      </c>
    </row>
    <row r="27" ht="14.25" customHeight="1"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ht="14.25" customHeight="1"/>
    <row r="29" ht="14.25" customHeight="1">
      <c r="B29" s="69" t="s">
        <v>164</v>
      </c>
      <c r="C29" s="142">
        <f>710*3*7072000</f>
        <v>15063360000</v>
      </c>
    </row>
    <row r="30" ht="14.25" customHeight="1">
      <c r="B30" s="69" t="s">
        <v>165</v>
      </c>
      <c r="C30" s="71">
        <f>(SUM('capacity adjust'!C19:F19,'capacity adjust'!C36:F36,'capacity adjust'!C42:E42,'capacity adjust'!C54:F54,'capacity adjust'!C65:E65,'capacity adjust'!C76:E76)-SUM('capacity adjust'!C14:F14,'capacity adjust'!C25:F25,'capacity adjust'!C31:E31,'capacity adjust'!C49:F49,'capacity adjust'!C60:E60,'capacity adjust'!C71:E71))/1000</f>
        <v>8497.655064</v>
      </c>
    </row>
    <row r="31" ht="14.25" customHeight="1">
      <c r="B31" s="69" t="s">
        <v>166</v>
      </c>
      <c r="C31" s="143">
        <f>200*C30</f>
        <v>1699531.013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5.13"/>
    <col customWidth="1" min="3" max="3" width="23.63"/>
    <col customWidth="1" min="4" max="4" width="35.38"/>
  </cols>
  <sheetData>
    <row r="1">
      <c r="A1" s="42" t="s">
        <v>42</v>
      </c>
      <c r="B1" s="42" t="s">
        <v>43</v>
      </c>
      <c r="C1" s="42" t="s">
        <v>44</v>
      </c>
      <c r="D1" s="42" t="s">
        <v>45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3" t="s">
        <v>46</v>
      </c>
      <c r="B2" s="44" t="s">
        <v>47</v>
      </c>
      <c r="C2" s="45" t="s">
        <v>48</v>
      </c>
      <c r="D2" s="46" t="s">
        <v>49</v>
      </c>
      <c r="E2" s="4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6"/>
      <c r="B3" s="44" t="s">
        <v>50</v>
      </c>
      <c r="C3" s="45" t="s">
        <v>51</v>
      </c>
      <c r="D3" s="6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6"/>
      <c r="B4" s="44" t="s">
        <v>52</v>
      </c>
      <c r="C4" s="45" t="s">
        <v>53</v>
      </c>
      <c r="D4" s="6"/>
      <c r="E4" s="47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6"/>
      <c r="B5" s="44" t="s">
        <v>54</v>
      </c>
      <c r="C5" s="45" t="s">
        <v>55</v>
      </c>
      <c r="D5" s="46" t="s">
        <v>56</v>
      </c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6"/>
      <c r="B6" s="44" t="s">
        <v>57</v>
      </c>
      <c r="C6" s="45" t="s">
        <v>58</v>
      </c>
      <c r="D6" s="6"/>
      <c r="E6" s="47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9"/>
      <c r="B7" s="33"/>
      <c r="C7" s="50"/>
      <c r="D7" s="5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1" t="s">
        <v>59</v>
      </c>
      <c r="C8" s="2"/>
      <c r="D8" s="2"/>
      <c r="E8" s="52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2"/>
      <c r="B9" s="2"/>
      <c r="C9" s="33"/>
      <c r="D9" s="3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8:B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42.13"/>
    <col customWidth="1" min="3" max="5" width="12.75"/>
    <col customWidth="1" min="6" max="6" width="15.63"/>
    <col customWidth="1" min="7" max="18" width="12.75"/>
    <col customWidth="1" min="19" max="21" width="13.63"/>
  </cols>
  <sheetData>
    <row r="1">
      <c r="A1" s="54" t="s">
        <v>60</v>
      </c>
      <c r="B1" s="14"/>
      <c r="C1" s="7"/>
      <c r="D1" s="7"/>
      <c r="E1" s="7"/>
      <c r="F1" s="55" t="s">
        <v>61</v>
      </c>
      <c r="G1" s="7"/>
      <c r="H1" s="7"/>
      <c r="I1" s="7"/>
      <c r="J1" s="7"/>
      <c r="K1" s="7"/>
      <c r="L1" s="7"/>
      <c r="M1" s="7"/>
      <c r="N1" s="7"/>
      <c r="O1" s="7"/>
      <c r="P1" s="55" t="s">
        <v>61</v>
      </c>
      <c r="Q1" s="7"/>
      <c r="R1" s="7"/>
      <c r="S1" s="7"/>
      <c r="T1" s="56"/>
      <c r="U1" s="56"/>
    </row>
    <row r="2">
      <c r="A2" s="18" t="s">
        <v>62</v>
      </c>
      <c r="B2" s="57" t="s">
        <v>63</v>
      </c>
      <c r="C2" s="58" t="s">
        <v>64</v>
      </c>
      <c r="D2" s="31"/>
      <c r="E2" s="31"/>
      <c r="F2" s="31"/>
      <c r="G2" s="31"/>
      <c r="H2" s="14"/>
      <c r="I2" s="58" t="s">
        <v>65</v>
      </c>
      <c r="J2" s="31"/>
      <c r="K2" s="31"/>
      <c r="L2" s="31"/>
      <c r="M2" s="14"/>
      <c r="N2" s="58" t="s">
        <v>66</v>
      </c>
      <c r="O2" s="31"/>
      <c r="P2" s="31"/>
      <c r="Q2" s="31"/>
      <c r="R2" s="31"/>
      <c r="S2" s="14"/>
      <c r="T2" s="56"/>
      <c r="U2" s="56"/>
    </row>
    <row r="3">
      <c r="A3" s="7"/>
      <c r="B3" s="57" t="s">
        <v>67</v>
      </c>
      <c r="C3" s="59">
        <v>18.0</v>
      </c>
      <c r="D3" s="59">
        <v>19.0</v>
      </c>
      <c r="E3" s="59">
        <v>20.0</v>
      </c>
      <c r="F3" s="59">
        <v>21.0</v>
      </c>
      <c r="G3" s="59">
        <v>22.0</v>
      </c>
      <c r="H3" s="59" t="s">
        <v>68</v>
      </c>
      <c r="I3" s="59">
        <v>23.0</v>
      </c>
      <c r="J3" s="59">
        <v>24.0</v>
      </c>
      <c r="K3" s="59">
        <v>25.0</v>
      </c>
      <c r="L3" s="59">
        <v>26.0</v>
      </c>
      <c r="M3" s="59" t="s">
        <v>68</v>
      </c>
      <c r="N3" s="59">
        <v>27.0</v>
      </c>
      <c r="O3" s="59">
        <v>28.0</v>
      </c>
      <c r="P3" s="59">
        <v>29.0</v>
      </c>
      <c r="Q3" s="59">
        <v>30.0</v>
      </c>
      <c r="R3" s="59">
        <v>31.0</v>
      </c>
      <c r="S3" s="59" t="s">
        <v>68</v>
      </c>
      <c r="T3" s="60"/>
      <c r="U3" s="60"/>
      <c r="X3" s="59">
        <v>21.0</v>
      </c>
      <c r="Y3" s="59" t="s">
        <v>68</v>
      </c>
      <c r="AA3" s="59">
        <v>29.0</v>
      </c>
      <c r="AB3" s="59" t="s">
        <v>68</v>
      </c>
    </row>
    <row r="4">
      <c r="A4" s="7" t="s">
        <v>69</v>
      </c>
      <c r="B4" s="7" t="s">
        <v>70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56"/>
      <c r="U4" s="56"/>
      <c r="W4" s="7" t="s">
        <v>69</v>
      </c>
      <c r="X4" s="61"/>
      <c r="Y4" s="61"/>
      <c r="AA4" s="61"/>
      <c r="AB4" s="61"/>
    </row>
    <row r="5">
      <c r="A5" s="7" t="s">
        <v>71</v>
      </c>
      <c r="B5" s="7" t="s">
        <v>72</v>
      </c>
      <c r="C5" s="62">
        <f t="shared" ref="C5:E5" si="1">($H5-$F5)/4</f>
        <v>36771.9919</v>
      </c>
      <c r="D5" s="62">
        <f t="shared" si="1"/>
        <v>36771.9919</v>
      </c>
      <c r="E5" s="62">
        <f t="shared" si="1"/>
        <v>36771.9919</v>
      </c>
      <c r="F5" s="63">
        <v>90150.68982888052</v>
      </c>
      <c r="G5" s="62">
        <f>($H$5-$F$5)/4</f>
        <v>36771.9919</v>
      </c>
      <c r="H5" s="63">
        <v>237238.657444422</v>
      </c>
      <c r="I5" s="62">
        <f t="shared" ref="I5:L5" si="2">$M5/4</f>
        <v>36274.94872</v>
      </c>
      <c r="J5" s="62">
        <f t="shared" si="2"/>
        <v>36274.94872</v>
      </c>
      <c r="K5" s="62">
        <f t="shared" si="2"/>
        <v>36274.94872</v>
      </c>
      <c r="L5" s="62">
        <f t="shared" si="2"/>
        <v>36274.94872</v>
      </c>
      <c r="M5" s="63">
        <v>145099.79487452307</v>
      </c>
      <c r="N5" s="62">
        <f t="shared" ref="N5:O5" si="3">($S5-$P5)/4</f>
        <v>52926.07743</v>
      </c>
      <c r="O5" s="62">
        <f t="shared" si="3"/>
        <v>52926.07743</v>
      </c>
      <c r="P5" s="63">
        <v>267264.7167747317</v>
      </c>
      <c r="Q5" s="62">
        <f t="shared" ref="Q5:R5" si="4">($S$5-$P$5)/4</f>
        <v>52926.07743</v>
      </c>
      <c r="R5" s="62">
        <f t="shared" si="4"/>
        <v>52926.07743</v>
      </c>
      <c r="S5" s="63">
        <v>478969.02647801384</v>
      </c>
      <c r="T5" s="64">
        <f t="shared" ref="T5:T15" si="8">SUM(H5,M5,S5)</f>
        <v>861307.4788</v>
      </c>
      <c r="U5" s="65"/>
      <c r="W5" s="7" t="s">
        <v>71</v>
      </c>
      <c r="X5" s="63">
        <v>90150.68982888052</v>
      </c>
      <c r="Y5" s="63">
        <v>237238.657444422</v>
      </c>
      <c r="Z5" s="66">
        <f t="shared" ref="Z5:Z15" si="9">X5/Y5</f>
        <v>0.38</v>
      </c>
      <c r="AA5" s="63">
        <v>267264.7167747317</v>
      </c>
      <c r="AB5" s="63">
        <v>478969.02647801384</v>
      </c>
      <c r="AC5" s="66">
        <f t="shared" ref="AC5:AC15" si="10">AA5/AB5</f>
        <v>0.558</v>
      </c>
    </row>
    <row r="6">
      <c r="A6" s="7" t="s">
        <v>73</v>
      </c>
      <c r="B6" s="7" t="s">
        <v>74</v>
      </c>
      <c r="C6" s="62">
        <f t="shared" ref="C6:E6" si="5">($H6-$F6)/4</f>
        <v>28600.43815</v>
      </c>
      <c r="D6" s="62">
        <f t="shared" si="5"/>
        <v>28600.43815</v>
      </c>
      <c r="E6" s="62">
        <f t="shared" si="5"/>
        <v>28600.43815</v>
      </c>
      <c r="F6" s="63">
        <v>70117.20320024042</v>
      </c>
      <c r="G6" s="62">
        <f t="shared" ref="G6:G14" si="12">($H6-$F6)/4</f>
        <v>28600.43815</v>
      </c>
      <c r="H6" s="67">
        <v>184518.955790106</v>
      </c>
      <c r="I6" s="62">
        <f t="shared" ref="I6:L6" si="6">$M6/4</f>
        <v>28213.849</v>
      </c>
      <c r="J6" s="62">
        <f t="shared" si="6"/>
        <v>28213.849</v>
      </c>
      <c r="K6" s="62">
        <f t="shared" si="6"/>
        <v>28213.849</v>
      </c>
      <c r="L6" s="62">
        <f t="shared" si="6"/>
        <v>28213.849</v>
      </c>
      <c r="M6" s="63">
        <v>112855.39601351797</v>
      </c>
      <c r="N6" s="62">
        <f t="shared" ref="N6:N14" si="14">($S6-$P6)/4</f>
        <v>41164.72689</v>
      </c>
      <c r="O6" s="62">
        <f>($S$6-$P$6)/4</f>
        <v>41164.72689</v>
      </c>
      <c r="P6" s="63">
        <v>207872.55749145802</v>
      </c>
      <c r="Q6" s="62">
        <f t="shared" ref="Q6:R6" si="7">($S$6-$P$6)/4</f>
        <v>41164.72689</v>
      </c>
      <c r="R6" s="62">
        <f t="shared" si="7"/>
        <v>41164.72689</v>
      </c>
      <c r="S6" s="63">
        <v>372531.46503845527</v>
      </c>
      <c r="T6" s="64">
        <f t="shared" si="8"/>
        <v>669905.8168</v>
      </c>
      <c r="U6" s="65"/>
      <c r="W6" s="7" t="s">
        <v>73</v>
      </c>
      <c r="X6" s="63">
        <v>70117.20320024042</v>
      </c>
      <c r="Y6" s="67">
        <v>184518.955790106</v>
      </c>
      <c r="Z6" s="66">
        <f t="shared" si="9"/>
        <v>0.38</v>
      </c>
      <c r="AA6" s="63">
        <v>207872.55749145802</v>
      </c>
      <c r="AB6" s="63">
        <v>372531.46503845527</v>
      </c>
      <c r="AC6" s="66">
        <f t="shared" si="10"/>
        <v>0.558</v>
      </c>
    </row>
    <row r="7">
      <c r="A7" s="7" t="s">
        <v>75</v>
      </c>
      <c r="B7" s="7" t="s">
        <v>76</v>
      </c>
      <c r="C7" s="62">
        <f t="shared" ref="C7:E7" si="11">($H7-$F7)/4</f>
        <v>12768.05274</v>
      </c>
      <c r="D7" s="62">
        <f t="shared" si="11"/>
        <v>12768.05274</v>
      </c>
      <c r="E7" s="62">
        <f t="shared" si="11"/>
        <v>12768.05274</v>
      </c>
      <c r="F7" s="63">
        <v>31302.32285725018</v>
      </c>
      <c r="G7" s="62">
        <f t="shared" si="12"/>
        <v>12768.05274</v>
      </c>
      <c r="H7" s="63">
        <v>82374.5338348689</v>
      </c>
      <c r="I7" s="62">
        <f t="shared" ref="I7:L7" si="13">$M7/4</f>
        <v>12595.46831</v>
      </c>
      <c r="J7" s="62">
        <f t="shared" si="13"/>
        <v>12595.46831</v>
      </c>
      <c r="K7" s="62">
        <f t="shared" si="13"/>
        <v>12595.46831</v>
      </c>
      <c r="L7" s="62">
        <f t="shared" si="13"/>
        <v>12595.46831</v>
      </c>
      <c r="M7" s="63">
        <v>50381.873220320515</v>
      </c>
      <c r="N7" s="62">
        <f t="shared" si="14"/>
        <v>18377.11022</v>
      </c>
      <c r="O7" s="62">
        <f>($S$7-$P$7)/4</f>
        <v>18377.11022</v>
      </c>
      <c r="P7" s="63">
        <v>92800.24888011518</v>
      </c>
      <c r="Q7" s="62">
        <f t="shared" ref="Q7:R7" si="15">($S$7-$P$7)/4</f>
        <v>18377.11022</v>
      </c>
      <c r="R7" s="62">
        <f t="shared" si="15"/>
        <v>18377.11022</v>
      </c>
      <c r="S7" s="63">
        <v>166308.68974931038</v>
      </c>
      <c r="T7" s="64">
        <f t="shared" si="8"/>
        <v>299065.0968</v>
      </c>
      <c r="U7" s="65"/>
      <c r="W7" s="7" t="s">
        <v>75</v>
      </c>
      <c r="X7" s="63">
        <v>31302.32285725018</v>
      </c>
      <c r="Y7" s="63">
        <v>82374.5338348689</v>
      </c>
      <c r="Z7" s="66">
        <f t="shared" si="9"/>
        <v>0.38</v>
      </c>
      <c r="AA7" s="63">
        <v>92800.24888011518</v>
      </c>
      <c r="AB7" s="63">
        <v>166308.68974931038</v>
      </c>
      <c r="AC7" s="66">
        <f t="shared" si="10"/>
        <v>0.558</v>
      </c>
    </row>
    <row r="8">
      <c r="A8" s="7" t="s">
        <v>77</v>
      </c>
      <c r="B8" s="7" t="s">
        <v>78</v>
      </c>
      <c r="C8" s="62">
        <f t="shared" ref="C8:E8" si="16">($H8-$F8)/4</f>
        <v>21280.08791</v>
      </c>
      <c r="D8" s="62">
        <f t="shared" si="16"/>
        <v>21280.08791</v>
      </c>
      <c r="E8" s="62">
        <f t="shared" si="16"/>
        <v>21280.08791</v>
      </c>
      <c r="F8" s="63">
        <v>52170.53809541696</v>
      </c>
      <c r="G8" s="62">
        <f t="shared" si="12"/>
        <v>21280.08791</v>
      </c>
      <c r="H8" s="63">
        <v>137290.88972478147</v>
      </c>
      <c r="I8" s="62">
        <f t="shared" ref="I8:L8" si="17">$M8/4</f>
        <v>20992.44718</v>
      </c>
      <c r="J8" s="62">
        <f t="shared" si="17"/>
        <v>20992.44718</v>
      </c>
      <c r="K8" s="62">
        <f t="shared" si="17"/>
        <v>20992.44718</v>
      </c>
      <c r="L8" s="62">
        <f t="shared" si="17"/>
        <v>20992.44718</v>
      </c>
      <c r="M8" s="63">
        <v>83969.78870053418</v>
      </c>
      <c r="N8" s="62">
        <f t="shared" si="14"/>
        <v>30628.51703</v>
      </c>
      <c r="O8" s="62">
        <f>($S$8-$P$8)/4</f>
        <v>30628.51703</v>
      </c>
      <c r="P8" s="63">
        <v>154667.08146685862</v>
      </c>
      <c r="Q8" s="62">
        <f t="shared" ref="Q8:R8" si="18">($S$8-$P$8)/4</f>
        <v>30628.51703</v>
      </c>
      <c r="R8" s="62">
        <f t="shared" si="18"/>
        <v>30628.51703</v>
      </c>
      <c r="S8" s="63">
        <v>277181.1495821839</v>
      </c>
      <c r="T8" s="64">
        <f t="shared" si="8"/>
        <v>498441.828</v>
      </c>
      <c r="U8" s="65"/>
      <c r="W8" s="7" t="s">
        <v>77</v>
      </c>
      <c r="X8" s="63">
        <v>52170.53809541696</v>
      </c>
      <c r="Y8" s="63">
        <v>137290.88972478147</v>
      </c>
      <c r="Z8" s="66">
        <f t="shared" si="9"/>
        <v>0.38</v>
      </c>
      <c r="AA8" s="63">
        <v>154667.08146685862</v>
      </c>
      <c r="AB8" s="63">
        <v>277181.1495821839</v>
      </c>
      <c r="AC8" s="66">
        <f t="shared" si="10"/>
        <v>0.558</v>
      </c>
    </row>
    <row r="9">
      <c r="A9" s="7" t="s">
        <v>79</v>
      </c>
      <c r="B9" s="7" t="s">
        <v>80</v>
      </c>
      <c r="C9" s="62">
        <f t="shared" ref="C9:E9" si="19">($H9-$F9)/4</f>
        <v>16544.08408</v>
      </c>
      <c r="D9" s="62">
        <f t="shared" si="19"/>
        <v>16544.08408</v>
      </c>
      <c r="E9" s="62">
        <f t="shared" si="19"/>
        <v>16544.08408</v>
      </c>
      <c r="F9" s="63">
        <v>40559.69001404389</v>
      </c>
      <c r="G9" s="62">
        <f t="shared" si="12"/>
        <v>16544.08408</v>
      </c>
      <c r="H9" s="63">
        <v>106736.02635274707</v>
      </c>
      <c r="I9" s="62">
        <f t="shared" ref="I9:I14" si="23">$M9/4</f>
        <v>16320.45942</v>
      </c>
      <c r="J9" s="62">
        <f t="shared" ref="J9:L9" si="20">$M$9/4</f>
        <v>16320.45942</v>
      </c>
      <c r="K9" s="62">
        <f t="shared" si="20"/>
        <v>16320.45942</v>
      </c>
      <c r="L9" s="62">
        <f t="shared" si="20"/>
        <v>16320.45942</v>
      </c>
      <c r="M9" s="63">
        <v>65281.83769179142</v>
      </c>
      <c r="N9" s="62">
        <f t="shared" si="14"/>
        <v>23811.96747</v>
      </c>
      <c r="O9" s="62">
        <f>($S$9-$P$9)/4</f>
        <v>23811.96747</v>
      </c>
      <c r="P9" s="63">
        <v>120245.04842559304</v>
      </c>
      <c r="Q9" s="62">
        <f t="shared" ref="Q9:R9" si="21">($S$9-$P$9)/4</f>
        <v>23811.96747</v>
      </c>
      <c r="R9" s="62">
        <f t="shared" si="21"/>
        <v>23811.96747</v>
      </c>
      <c r="S9" s="63">
        <v>215492.91832543557</v>
      </c>
      <c r="T9" s="64">
        <f t="shared" si="8"/>
        <v>387510.7824</v>
      </c>
      <c r="U9" s="65"/>
      <c r="W9" s="7" t="s">
        <v>79</v>
      </c>
      <c r="X9" s="63">
        <v>40559.69001404389</v>
      </c>
      <c r="Y9" s="63">
        <v>106736.02635274707</v>
      </c>
      <c r="Z9" s="66">
        <f t="shared" si="9"/>
        <v>0.38</v>
      </c>
      <c r="AA9" s="63">
        <v>120245.04842559304</v>
      </c>
      <c r="AB9" s="63">
        <v>215492.91832543557</v>
      </c>
      <c r="AC9" s="66">
        <f t="shared" si="10"/>
        <v>0.558</v>
      </c>
    </row>
    <row r="10">
      <c r="A10" s="7" t="s">
        <v>81</v>
      </c>
      <c r="B10" s="7" t="s">
        <v>82</v>
      </c>
      <c r="C10" s="62">
        <f t="shared" ref="C10:E10" si="22">($H10-$F10)/4</f>
        <v>4855.329025</v>
      </c>
      <c r="D10" s="62">
        <f t="shared" si="22"/>
        <v>4855.329025</v>
      </c>
      <c r="E10" s="62">
        <f t="shared" si="22"/>
        <v>4855.329025</v>
      </c>
      <c r="F10" s="63">
        <v>11903.38728673027</v>
      </c>
      <c r="G10" s="62">
        <f t="shared" si="12"/>
        <v>4855.329025</v>
      </c>
      <c r="H10" s="63">
        <v>31324.70338613229</v>
      </c>
      <c r="I10" s="62">
        <f t="shared" si="23"/>
        <v>4789.700048</v>
      </c>
      <c r="J10" s="62">
        <f t="shared" ref="J10:L10" si="24">$M$10/4</f>
        <v>4789.700048</v>
      </c>
      <c r="K10" s="62">
        <f t="shared" si="24"/>
        <v>4789.700048</v>
      </c>
      <c r="L10" s="62">
        <f t="shared" si="24"/>
        <v>4789.700048</v>
      </c>
      <c r="M10" s="63">
        <v>19158.80019215618</v>
      </c>
      <c r="N10" s="62">
        <f t="shared" si="14"/>
        <v>6988.294802</v>
      </c>
      <c r="O10" s="62">
        <f>($S$10-$P$10)/4</f>
        <v>6988.294802</v>
      </c>
      <c r="P10" s="63">
        <v>35289.3076901197</v>
      </c>
      <c r="Q10" s="62">
        <f t="shared" ref="Q10:R10" si="25">($S$10-$P$10)/4</f>
        <v>6988.294802</v>
      </c>
      <c r="R10" s="62">
        <f t="shared" si="25"/>
        <v>6988.294802</v>
      </c>
      <c r="S10" s="63">
        <v>63242.48689985609</v>
      </c>
      <c r="T10" s="64">
        <f t="shared" si="8"/>
        <v>113725.9905</v>
      </c>
      <c r="U10" s="65"/>
      <c r="W10" s="7" t="s">
        <v>81</v>
      </c>
      <c r="X10" s="63">
        <v>11903.38728673027</v>
      </c>
      <c r="Y10" s="63">
        <v>31324.70338613229</v>
      </c>
      <c r="Z10" s="66">
        <f t="shared" si="9"/>
        <v>0.38</v>
      </c>
      <c r="AA10" s="63">
        <v>35289.3076901197</v>
      </c>
      <c r="AB10" s="63">
        <v>63242.48689985609</v>
      </c>
      <c r="AC10" s="66">
        <f t="shared" si="10"/>
        <v>0.558</v>
      </c>
    </row>
    <row r="11">
      <c r="A11" s="7" t="s">
        <v>83</v>
      </c>
      <c r="B11" s="7" t="s">
        <v>84</v>
      </c>
      <c r="C11" s="62">
        <f t="shared" ref="C11:E11" si="26">($H11-$F11)/4</f>
        <v>4855.329025</v>
      </c>
      <c r="D11" s="62">
        <f t="shared" si="26"/>
        <v>4855.329025</v>
      </c>
      <c r="E11" s="62">
        <f t="shared" si="26"/>
        <v>4855.329025</v>
      </c>
      <c r="F11" s="63">
        <v>11903.38728673027</v>
      </c>
      <c r="G11" s="62">
        <f t="shared" si="12"/>
        <v>4855.329025</v>
      </c>
      <c r="H11" s="63">
        <v>31324.70338613229</v>
      </c>
      <c r="I11" s="62">
        <f t="shared" si="23"/>
        <v>4789.700048</v>
      </c>
      <c r="J11" s="62">
        <f t="shared" ref="J11:L11" si="27">$M$11/4</f>
        <v>4789.700048</v>
      </c>
      <c r="K11" s="62">
        <f t="shared" si="27"/>
        <v>4789.700048</v>
      </c>
      <c r="L11" s="62">
        <f t="shared" si="27"/>
        <v>4789.700048</v>
      </c>
      <c r="M11" s="63">
        <v>19158.80019215618</v>
      </c>
      <c r="N11" s="62">
        <f t="shared" si="14"/>
        <v>6988.294802</v>
      </c>
      <c r="O11" s="62">
        <f>($S$11-$P$11)/4</f>
        <v>6988.294802</v>
      </c>
      <c r="P11" s="63">
        <v>35289.3076901197</v>
      </c>
      <c r="Q11" s="62">
        <f t="shared" ref="Q11:R11" si="28">($S$11-$P$11)/4</f>
        <v>6988.294802</v>
      </c>
      <c r="R11" s="62">
        <f t="shared" si="28"/>
        <v>6988.294802</v>
      </c>
      <c r="S11" s="63">
        <v>63242.48689985609</v>
      </c>
      <c r="T11" s="64">
        <f t="shared" si="8"/>
        <v>113725.9905</v>
      </c>
      <c r="U11" s="65"/>
      <c r="W11" s="7" t="s">
        <v>83</v>
      </c>
      <c r="X11" s="63">
        <v>11903.38728673027</v>
      </c>
      <c r="Y11" s="63">
        <v>31324.70338613229</v>
      </c>
      <c r="Z11" s="66">
        <f t="shared" si="9"/>
        <v>0.38</v>
      </c>
      <c r="AA11" s="63">
        <v>35289.3076901197</v>
      </c>
      <c r="AB11" s="63">
        <v>63242.48689985609</v>
      </c>
      <c r="AC11" s="66">
        <f t="shared" si="10"/>
        <v>0.558</v>
      </c>
    </row>
    <row r="12">
      <c r="A12" s="7" t="s">
        <v>85</v>
      </c>
      <c r="B12" s="7" t="s">
        <v>86</v>
      </c>
      <c r="C12" s="62">
        <f t="shared" ref="C12:E12" si="29">($H12-$F12)/4</f>
        <v>11090.99521</v>
      </c>
      <c r="D12" s="62">
        <f t="shared" si="29"/>
        <v>11090.99521</v>
      </c>
      <c r="E12" s="62">
        <f t="shared" si="29"/>
        <v>11090.99521</v>
      </c>
      <c r="F12" s="63">
        <v>27190.82695983313</v>
      </c>
      <c r="G12" s="62">
        <f t="shared" si="12"/>
        <v>11090.99521</v>
      </c>
      <c r="H12" s="63">
        <v>71554.80778903456</v>
      </c>
      <c r="I12" s="62">
        <f t="shared" si="23"/>
        <v>10941.07938</v>
      </c>
      <c r="J12" s="62">
        <f t="shared" ref="J12:L12" si="30">$M$12/4</f>
        <v>10941.07938</v>
      </c>
      <c r="K12" s="62">
        <f t="shared" si="30"/>
        <v>10941.07938</v>
      </c>
      <c r="L12" s="62">
        <f t="shared" si="30"/>
        <v>10941.07938</v>
      </c>
      <c r="M12" s="63">
        <v>43764.31752024711</v>
      </c>
      <c r="N12" s="62">
        <f t="shared" si="14"/>
        <v>15963.31449</v>
      </c>
      <c r="O12" s="62">
        <f>($S$12-$P$12)/4</f>
        <v>15963.31449</v>
      </c>
      <c r="P12" s="63">
        <v>80611.12654916647</v>
      </c>
      <c r="Q12" s="62">
        <f t="shared" ref="Q12:R12" si="31">($S$12-$P$12)/4</f>
        <v>15963.31449</v>
      </c>
      <c r="R12" s="62">
        <f t="shared" si="31"/>
        <v>15963.31449</v>
      </c>
      <c r="S12" s="63">
        <v>144464.3844967141</v>
      </c>
      <c r="T12" s="64">
        <f t="shared" si="8"/>
        <v>259783.5098</v>
      </c>
      <c r="U12" s="65"/>
      <c r="W12" s="7" t="s">
        <v>85</v>
      </c>
      <c r="X12" s="63">
        <v>27190.82695983313</v>
      </c>
      <c r="Y12" s="63">
        <v>71554.80778903456</v>
      </c>
      <c r="Z12" s="66">
        <f t="shared" si="9"/>
        <v>0.38</v>
      </c>
      <c r="AA12" s="63">
        <v>80611.12654916647</v>
      </c>
      <c r="AB12" s="63">
        <v>144464.3844967141</v>
      </c>
      <c r="AC12" s="66">
        <f t="shared" si="10"/>
        <v>0.558</v>
      </c>
    </row>
    <row r="13">
      <c r="A13" s="7" t="s">
        <v>87</v>
      </c>
      <c r="B13" s="7" t="s">
        <v>88</v>
      </c>
      <c r="C13" s="62">
        <f t="shared" ref="C13:E13" si="32">($H13-$F13)/4</f>
        <v>4905.632496</v>
      </c>
      <c r="D13" s="62">
        <f t="shared" si="32"/>
        <v>4905.632496</v>
      </c>
      <c r="E13" s="62">
        <f t="shared" si="32"/>
        <v>4905.632496</v>
      </c>
      <c r="F13" s="63">
        <v>12026.711924541576</v>
      </c>
      <c r="G13" s="62">
        <f t="shared" si="12"/>
        <v>4905.632496</v>
      </c>
      <c r="H13" s="63">
        <v>31649.241906688356</v>
      </c>
      <c r="I13" s="62">
        <f t="shared" si="23"/>
        <v>4839.323572</v>
      </c>
      <c r="J13" s="62">
        <f t="shared" ref="J13:L13" si="33">$M$13/4</f>
        <v>4839.323572</v>
      </c>
      <c r="K13" s="62">
        <f t="shared" si="33"/>
        <v>4839.323572</v>
      </c>
      <c r="L13" s="62">
        <f t="shared" si="33"/>
        <v>4839.323572</v>
      </c>
      <c r="M13" s="63">
        <v>19357.294287801607</v>
      </c>
      <c r="N13" s="62">
        <f t="shared" si="14"/>
        <v>7060.696792</v>
      </c>
      <c r="O13" s="62">
        <f>($S$13-$P$13)/4</f>
        <v>7060.696792</v>
      </c>
      <c r="P13" s="63">
        <v>35654.92135828516</v>
      </c>
      <c r="Q13" s="62">
        <f t="shared" ref="Q13:R13" si="34">($S$13-$P$13)/4</f>
        <v>7060.696792</v>
      </c>
      <c r="R13" s="62">
        <f t="shared" si="34"/>
        <v>7060.696792</v>
      </c>
      <c r="S13" s="63">
        <v>63897.708527392766</v>
      </c>
      <c r="T13" s="64">
        <f t="shared" si="8"/>
        <v>114904.2447</v>
      </c>
      <c r="U13" s="65"/>
      <c r="W13" s="7" t="s">
        <v>87</v>
      </c>
      <c r="X13" s="63">
        <v>12026.711924541576</v>
      </c>
      <c r="Y13" s="63">
        <v>31649.241906688356</v>
      </c>
      <c r="Z13" s="66">
        <f t="shared" si="9"/>
        <v>0.38</v>
      </c>
      <c r="AA13" s="63">
        <v>35654.92135828516</v>
      </c>
      <c r="AB13" s="63">
        <v>63897.708527392766</v>
      </c>
      <c r="AC13" s="66">
        <f t="shared" si="10"/>
        <v>0.558</v>
      </c>
    </row>
    <row r="14">
      <c r="A14" s="7" t="s">
        <v>89</v>
      </c>
      <c r="B14" s="7" t="s">
        <v>90</v>
      </c>
      <c r="C14" s="62">
        <f t="shared" ref="C14:E14" si="35">($H14-$F14)/4</f>
        <v>8104.958036</v>
      </c>
      <c r="D14" s="62">
        <f t="shared" si="35"/>
        <v>8104.958036</v>
      </c>
      <c r="E14" s="62">
        <f t="shared" si="35"/>
        <v>8104.958036</v>
      </c>
      <c r="F14" s="63">
        <v>19870.219701416518</v>
      </c>
      <c r="G14" s="62">
        <f t="shared" si="12"/>
        <v>8104.958036</v>
      </c>
      <c r="H14" s="63">
        <v>52290.05184583294</v>
      </c>
      <c r="I14" s="62">
        <f t="shared" si="23"/>
        <v>7995.404162</v>
      </c>
      <c r="J14" s="62">
        <f t="shared" ref="J14:L14" si="36">$M$14/4</f>
        <v>7995.404162</v>
      </c>
      <c r="K14" s="62">
        <f t="shared" si="36"/>
        <v>7995.404162</v>
      </c>
      <c r="L14" s="62">
        <f t="shared" si="36"/>
        <v>7995.404162</v>
      </c>
      <c r="M14" s="63">
        <v>31981.61664941135</v>
      </c>
      <c r="N14" s="62">
        <f t="shared" si="14"/>
        <v>11665.49905</v>
      </c>
      <c r="O14" s="62">
        <f>($S$14-$P$14)/4</f>
        <v>11665.49905</v>
      </c>
      <c r="P14" s="63">
        <v>58908.13093977548</v>
      </c>
      <c r="Q14" s="62">
        <f t="shared" ref="Q14:R14" si="37">($S$14-$P$14)/4</f>
        <v>11665.49905</v>
      </c>
      <c r="R14" s="62">
        <f t="shared" si="37"/>
        <v>11665.49905</v>
      </c>
      <c r="S14" s="63">
        <v>105570.12713221414</v>
      </c>
      <c r="T14" s="64">
        <f t="shared" si="8"/>
        <v>189841.7956</v>
      </c>
      <c r="U14" s="65"/>
      <c r="W14" s="7" t="s">
        <v>89</v>
      </c>
      <c r="X14" s="63">
        <v>19870.219701416518</v>
      </c>
      <c r="Y14" s="63">
        <v>52290.05184583294</v>
      </c>
      <c r="Z14" s="66">
        <f t="shared" si="9"/>
        <v>0.38</v>
      </c>
      <c r="AA14" s="63">
        <v>58908.13093977548</v>
      </c>
      <c r="AB14" s="63">
        <v>105570.12713221414</v>
      </c>
      <c r="AC14" s="66">
        <f t="shared" si="10"/>
        <v>0.558</v>
      </c>
    </row>
    <row r="15">
      <c r="A15" s="7" t="s">
        <v>91</v>
      </c>
      <c r="B15" s="7"/>
      <c r="C15" s="68">
        <f t="shared" ref="C15:E15" si="38">SUM(C5:C14)</f>
        <v>149776.8986</v>
      </c>
      <c r="D15" s="68">
        <f t="shared" si="38"/>
        <v>149776.8986</v>
      </c>
      <c r="E15" s="68">
        <f t="shared" si="38"/>
        <v>149776.8986</v>
      </c>
      <c r="F15" s="63">
        <v>367194.97715508373</v>
      </c>
      <c r="G15" s="68">
        <f>SUM(G5:G14)</f>
        <v>149776.8986</v>
      </c>
      <c r="H15" s="63">
        <v>966302.5714607467</v>
      </c>
      <c r="I15" s="68">
        <f t="shared" ref="I15:L15" si="39">SUM(I5:I14)</f>
        <v>147752.3798</v>
      </c>
      <c r="J15" s="68">
        <f t="shared" si="39"/>
        <v>147752.3798</v>
      </c>
      <c r="K15" s="68">
        <f t="shared" si="39"/>
        <v>147752.3798</v>
      </c>
      <c r="L15" s="68">
        <f t="shared" si="39"/>
        <v>147752.3798</v>
      </c>
      <c r="M15" s="63">
        <v>591009.5193424596</v>
      </c>
      <c r="N15" s="68">
        <f t="shared" ref="N15:O15" si="40">SUM(N5:N14)</f>
        <v>215574.499</v>
      </c>
      <c r="O15" s="68">
        <f t="shared" si="40"/>
        <v>215574.499</v>
      </c>
      <c r="P15" s="67">
        <v>1088602.44726622</v>
      </c>
      <c r="Q15" s="68">
        <f t="shared" ref="Q15:R15" si="41">SUM(Q5:Q14)</f>
        <v>215574.499</v>
      </c>
      <c r="R15" s="68">
        <f t="shared" si="41"/>
        <v>215574.499</v>
      </c>
      <c r="S15" s="63">
        <v>1950900.443129432</v>
      </c>
      <c r="T15" s="64">
        <f t="shared" si="8"/>
        <v>3508212.534</v>
      </c>
      <c r="W15" s="7" t="s">
        <v>91</v>
      </c>
      <c r="X15" s="63">
        <v>367194.97715508373</v>
      </c>
      <c r="Y15" s="63">
        <v>966302.5714607467</v>
      </c>
      <c r="Z15" s="66">
        <f t="shared" si="9"/>
        <v>0.38</v>
      </c>
      <c r="AA15" s="67">
        <v>1088602.44726622</v>
      </c>
      <c r="AB15" s="63">
        <v>1950900.443129432</v>
      </c>
      <c r="AC15" s="66">
        <f t="shared" si="10"/>
        <v>0.558</v>
      </c>
    </row>
    <row r="16" ht="15.0" customHeight="1">
      <c r="H16" s="69"/>
      <c r="M16" s="70"/>
      <c r="S16" s="70"/>
      <c r="T16" s="70"/>
    </row>
    <row r="17" ht="15.0" customHeight="1">
      <c r="D17" s="71"/>
      <c r="Q17" s="71"/>
    </row>
    <row r="18" ht="15.0" customHeight="1">
      <c r="H18" s="70"/>
    </row>
    <row r="20" ht="15.0" customHeight="1">
      <c r="A20" s="18" t="s">
        <v>92</v>
      </c>
      <c r="B20" s="57" t="s">
        <v>63</v>
      </c>
      <c r="C20" s="58" t="s">
        <v>64</v>
      </c>
      <c r="D20" s="31"/>
      <c r="E20" s="31"/>
      <c r="F20" s="31"/>
      <c r="G20" s="31"/>
      <c r="H20" s="14"/>
      <c r="I20" s="58" t="s">
        <v>65</v>
      </c>
      <c r="J20" s="31"/>
      <c r="K20" s="31"/>
      <c r="L20" s="31"/>
      <c r="M20" s="14"/>
      <c r="N20" s="58" t="s">
        <v>66</v>
      </c>
      <c r="O20" s="31"/>
      <c r="P20" s="31"/>
      <c r="Q20" s="31"/>
      <c r="R20" s="31"/>
      <c r="S20" s="14"/>
      <c r="T20" s="56"/>
      <c r="U20" s="56"/>
    </row>
    <row r="21" ht="15.0" customHeight="1">
      <c r="A21" s="7"/>
      <c r="B21" s="57" t="s">
        <v>67</v>
      </c>
      <c r="C21" s="59">
        <v>18.0</v>
      </c>
      <c r="D21" s="59">
        <v>19.0</v>
      </c>
      <c r="E21" s="59">
        <v>20.0</v>
      </c>
      <c r="F21" s="59">
        <v>21.0</v>
      </c>
      <c r="G21" s="59">
        <v>22.0</v>
      </c>
      <c r="H21" s="59" t="s">
        <v>68</v>
      </c>
      <c r="I21" s="59">
        <v>23.0</v>
      </c>
      <c r="J21" s="59">
        <v>24.0</v>
      </c>
      <c r="K21" s="59">
        <v>25.0</v>
      </c>
      <c r="L21" s="59">
        <v>26.0</v>
      </c>
      <c r="M21" s="59" t="s">
        <v>68</v>
      </c>
      <c r="N21" s="59">
        <v>27.0</v>
      </c>
      <c r="O21" s="59">
        <v>28.0</v>
      </c>
      <c r="P21" s="59">
        <v>29.0</v>
      </c>
      <c r="Q21" s="59">
        <v>30.0</v>
      </c>
      <c r="R21" s="59">
        <v>31.0</v>
      </c>
      <c r="S21" s="59" t="s">
        <v>68</v>
      </c>
      <c r="T21" s="60"/>
      <c r="U21" s="60"/>
    </row>
    <row r="22" ht="15.0" customHeight="1">
      <c r="A22" s="7" t="s">
        <v>69</v>
      </c>
      <c r="B22" s="7" t="s">
        <v>70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56"/>
      <c r="U22" s="56"/>
    </row>
    <row r="23" ht="15.0" customHeight="1">
      <c r="A23" s="7" t="s">
        <v>71</v>
      </c>
      <c r="B23" s="7" t="s">
        <v>72</v>
      </c>
      <c r="C23" s="62">
        <f t="shared" ref="C23:S23" si="42">C5*10</f>
        <v>367719.919</v>
      </c>
      <c r="D23" s="62">
        <f t="shared" si="42"/>
        <v>367719.919</v>
      </c>
      <c r="E23" s="62">
        <f t="shared" si="42"/>
        <v>367719.919</v>
      </c>
      <c r="F23" s="62">
        <f t="shared" si="42"/>
        <v>901506.8983</v>
      </c>
      <c r="G23" s="62">
        <f t="shared" si="42"/>
        <v>367719.919</v>
      </c>
      <c r="H23" s="62">
        <f t="shared" si="42"/>
        <v>2372386.574</v>
      </c>
      <c r="I23" s="62">
        <f t="shared" si="42"/>
        <v>362749.4872</v>
      </c>
      <c r="J23" s="62">
        <f t="shared" si="42"/>
        <v>362749.4872</v>
      </c>
      <c r="K23" s="62">
        <f t="shared" si="42"/>
        <v>362749.4872</v>
      </c>
      <c r="L23" s="62">
        <f t="shared" si="42"/>
        <v>362749.4872</v>
      </c>
      <c r="M23" s="62">
        <f t="shared" si="42"/>
        <v>1450997.949</v>
      </c>
      <c r="N23" s="62">
        <f t="shared" si="42"/>
        <v>529260.7743</v>
      </c>
      <c r="O23" s="62">
        <f t="shared" si="42"/>
        <v>529260.7743</v>
      </c>
      <c r="P23" s="62">
        <f t="shared" si="42"/>
        <v>2672647.168</v>
      </c>
      <c r="Q23" s="62">
        <f t="shared" si="42"/>
        <v>529260.7743</v>
      </c>
      <c r="R23" s="62">
        <f t="shared" si="42"/>
        <v>529260.7743</v>
      </c>
      <c r="S23" s="62">
        <f t="shared" si="42"/>
        <v>4789690.265</v>
      </c>
      <c r="T23" s="71"/>
      <c r="U23" s="71"/>
    </row>
    <row r="24" ht="15.0" customHeight="1">
      <c r="A24" s="7" t="s">
        <v>73</v>
      </c>
      <c r="B24" s="7" t="s">
        <v>74</v>
      </c>
      <c r="C24" s="62">
        <f t="shared" ref="C24:S24" si="43">C6*5</f>
        <v>143002.1907</v>
      </c>
      <c r="D24" s="62">
        <f t="shared" si="43"/>
        <v>143002.1907</v>
      </c>
      <c r="E24" s="62">
        <f t="shared" si="43"/>
        <v>143002.1907</v>
      </c>
      <c r="F24" s="62">
        <f t="shared" si="43"/>
        <v>350586.016</v>
      </c>
      <c r="G24" s="62">
        <f t="shared" si="43"/>
        <v>143002.1907</v>
      </c>
      <c r="H24" s="62">
        <f t="shared" si="43"/>
        <v>922594.779</v>
      </c>
      <c r="I24" s="62">
        <f t="shared" si="43"/>
        <v>141069.245</v>
      </c>
      <c r="J24" s="62">
        <f t="shared" si="43"/>
        <v>141069.245</v>
      </c>
      <c r="K24" s="62">
        <f t="shared" si="43"/>
        <v>141069.245</v>
      </c>
      <c r="L24" s="62">
        <f t="shared" si="43"/>
        <v>141069.245</v>
      </c>
      <c r="M24" s="62">
        <f t="shared" si="43"/>
        <v>564276.9801</v>
      </c>
      <c r="N24" s="62">
        <f t="shared" si="43"/>
        <v>205823.6344</v>
      </c>
      <c r="O24" s="62">
        <f t="shared" si="43"/>
        <v>205823.6344</v>
      </c>
      <c r="P24" s="62">
        <f t="shared" si="43"/>
        <v>1039362.787</v>
      </c>
      <c r="Q24" s="62">
        <f t="shared" si="43"/>
        <v>205823.6344</v>
      </c>
      <c r="R24" s="62">
        <f t="shared" si="43"/>
        <v>205823.6344</v>
      </c>
      <c r="S24" s="62">
        <f t="shared" si="43"/>
        <v>1862657.325</v>
      </c>
      <c r="T24" s="71"/>
      <c r="U24" s="71"/>
    </row>
    <row r="25" ht="15.0" customHeight="1">
      <c r="A25" s="7" t="s">
        <v>75</v>
      </c>
      <c r="B25" s="7" t="s">
        <v>76</v>
      </c>
      <c r="C25" s="62">
        <f t="shared" ref="C25:S25" si="44">C7*24</f>
        <v>306433.2659</v>
      </c>
      <c r="D25" s="62">
        <f t="shared" si="44"/>
        <v>306433.2659</v>
      </c>
      <c r="E25" s="62">
        <f t="shared" si="44"/>
        <v>306433.2659</v>
      </c>
      <c r="F25" s="62">
        <f t="shared" si="44"/>
        <v>751255.7486</v>
      </c>
      <c r="G25" s="62">
        <f t="shared" si="44"/>
        <v>306433.2659</v>
      </c>
      <c r="H25" s="62">
        <f t="shared" si="44"/>
        <v>1976988.812</v>
      </c>
      <c r="I25" s="62">
        <f t="shared" si="44"/>
        <v>302291.2393</v>
      </c>
      <c r="J25" s="62">
        <f t="shared" si="44"/>
        <v>302291.2393</v>
      </c>
      <c r="K25" s="62">
        <f t="shared" si="44"/>
        <v>302291.2393</v>
      </c>
      <c r="L25" s="62">
        <f t="shared" si="44"/>
        <v>302291.2393</v>
      </c>
      <c r="M25" s="62">
        <f t="shared" si="44"/>
        <v>1209164.957</v>
      </c>
      <c r="N25" s="62">
        <f t="shared" si="44"/>
        <v>441050.6452</v>
      </c>
      <c r="O25" s="62">
        <f t="shared" si="44"/>
        <v>441050.6452</v>
      </c>
      <c r="P25" s="62">
        <f t="shared" si="44"/>
        <v>2227205.973</v>
      </c>
      <c r="Q25" s="62">
        <f t="shared" si="44"/>
        <v>441050.6452</v>
      </c>
      <c r="R25" s="62">
        <f t="shared" si="44"/>
        <v>441050.6452</v>
      </c>
      <c r="S25" s="62">
        <f t="shared" si="44"/>
        <v>3991408.554</v>
      </c>
      <c r="T25" s="71"/>
      <c r="U25" s="71"/>
    </row>
    <row r="26" ht="15.0" customHeight="1">
      <c r="A26" s="7" t="s">
        <v>77</v>
      </c>
      <c r="B26" s="7" t="s">
        <v>78</v>
      </c>
      <c r="C26" s="62">
        <f t="shared" ref="C26:S26" si="45">C8*24</f>
        <v>510722.1098</v>
      </c>
      <c r="D26" s="62">
        <f t="shared" si="45"/>
        <v>510722.1098</v>
      </c>
      <c r="E26" s="62">
        <f t="shared" si="45"/>
        <v>510722.1098</v>
      </c>
      <c r="F26" s="62">
        <f t="shared" si="45"/>
        <v>1252092.914</v>
      </c>
      <c r="G26" s="62">
        <f t="shared" si="45"/>
        <v>510722.1098</v>
      </c>
      <c r="H26" s="62">
        <f t="shared" si="45"/>
        <v>3294981.353</v>
      </c>
      <c r="I26" s="62">
        <f t="shared" si="45"/>
        <v>503818.7322</v>
      </c>
      <c r="J26" s="62">
        <f t="shared" si="45"/>
        <v>503818.7322</v>
      </c>
      <c r="K26" s="62">
        <f t="shared" si="45"/>
        <v>503818.7322</v>
      </c>
      <c r="L26" s="62">
        <f t="shared" si="45"/>
        <v>503818.7322</v>
      </c>
      <c r="M26" s="62">
        <f t="shared" si="45"/>
        <v>2015274.929</v>
      </c>
      <c r="N26" s="62">
        <f t="shared" si="45"/>
        <v>735084.4087</v>
      </c>
      <c r="O26" s="62">
        <f t="shared" si="45"/>
        <v>735084.4087</v>
      </c>
      <c r="P26" s="62">
        <f t="shared" si="45"/>
        <v>3712009.955</v>
      </c>
      <c r="Q26" s="62">
        <f t="shared" si="45"/>
        <v>735084.4087</v>
      </c>
      <c r="R26" s="62">
        <f t="shared" si="45"/>
        <v>735084.4087</v>
      </c>
      <c r="S26" s="62">
        <f t="shared" si="45"/>
        <v>6652347.59</v>
      </c>
      <c r="T26" s="71"/>
      <c r="U26" s="71"/>
    </row>
    <row r="27" ht="15.0" customHeight="1">
      <c r="A27" s="7" t="s">
        <v>79</v>
      </c>
      <c r="B27" s="7" t="s">
        <v>80</v>
      </c>
      <c r="C27" s="62">
        <f t="shared" ref="C27:S27" si="46">C9*40</f>
        <v>661763.3634</v>
      </c>
      <c r="D27" s="62">
        <f t="shared" si="46"/>
        <v>661763.3634</v>
      </c>
      <c r="E27" s="62">
        <f t="shared" si="46"/>
        <v>661763.3634</v>
      </c>
      <c r="F27" s="62">
        <f t="shared" si="46"/>
        <v>1622387.601</v>
      </c>
      <c r="G27" s="62">
        <f t="shared" si="46"/>
        <v>661763.3634</v>
      </c>
      <c r="H27" s="62">
        <f t="shared" si="46"/>
        <v>4269441.054</v>
      </c>
      <c r="I27" s="62">
        <f t="shared" si="46"/>
        <v>652818.3769</v>
      </c>
      <c r="J27" s="62">
        <f t="shared" si="46"/>
        <v>652818.3769</v>
      </c>
      <c r="K27" s="62">
        <f t="shared" si="46"/>
        <v>652818.3769</v>
      </c>
      <c r="L27" s="62">
        <f t="shared" si="46"/>
        <v>652818.3769</v>
      </c>
      <c r="M27" s="62">
        <f t="shared" si="46"/>
        <v>2611273.508</v>
      </c>
      <c r="N27" s="62">
        <f t="shared" si="46"/>
        <v>952478.699</v>
      </c>
      <c r="O27" s="62">
        <f t="shared" si="46"/>
        <v>952478.699</v>
      </c>
      <c r="P27" s="62">
        <f t="shared" si="46"/>
        <v>4809801.937</v>
      </c>
      <c r="Q27" s="62">
        <f t="shared" si="46"/>
        <v>952478.699</v>
      </c>
      <c r="R27" s="62">
        <f t="shared" si="46"/>
        <v>952478.699</v>
      </c>
      <c r="S27" s="62">
        <f t="shared" si="46"/>
        <v>8619716.733</v>
      </c>
      <c r="T27" s="71"/>
      <c r="U27" s="71"/>
    </row>
    <row r="28" ht="15.0" customHeight="1">
      <c r="A28" s="7" t="s">
        <v>81</v>
      </c>
      <c r="B28" s="7" t="s">
        <v>82</v>
      </c>
      <c r="C28" s="62">
        <f t="shared" ref="C28:S28" si="47">C10*24</f>
        <v>116527.8966</v>
      </c>
      <c r="D28" s="62">
        <f t="shared" si="47"/>
        <v>116527.8966</v>
      </c>
      <c r="E28" s="62">
        <f t="shared" si="47"/>
        <v>116527.8966</v>
      </c>
      <c r="F28" s="62">
        <f t="shared" si="47"/>
        <v>285681.2949</v>
      </c>
      <c r="G28" s="62">
        <f t="shared" si="47"/>
        <v>116527.8966</v>
      </c>
      <c r="H28" s="62">
        <f t="shared" si="47"/>
        <v>751792.8813</v>
      </c>
      <c r="I28" s="62">
        <f t="shared" si="47"/>
        <v>114952.8012</v>
      </c>
      <c r="J28" s="62">
        <f t="shared" si="47"/>
        <v>114952.8012</v>
      </c>
      <c r="K28" s="62">
        <f t="shared" si="47"/>
        <v>114952.8012</v>
      </c>
      <c r="L28" s="62">
        <f t="shared" si="47"/>
        <v>114952.8012</v>
      </c>
      <c r="M28" s="62">
        <f t="shared" si="47"/>
        <v>459811.2046</v>
      </c>
      <c r="N28" s="62">
        <f t="shared" si="47"/>
        <v>167719.0753</v>
      </c>
      <c r="O28" s="62">
        <f t="shared" si="47"/>
        <v>167719.0753</v>
      </c>
      <c r="P28" s="62">
        <f t="shared" si="47"/>
        <v>846943.3846</v>
      </c>
      <c r="Q28" s="62">
        <f t="shared" si="47"/>
        <v>167719.0753</v>
      </c>
      <c r="R28" s="62">
        <f t="shared" si="47"/>
        <v>167719.0753</v>
      </c>
      <c r="S28" s="62">
        <f t="shared" si="47"/>
        <v>1517819.686</v>
      </c>
      <c r="T28" s="71"/>
      <c r="U28" s="71"/>
    </row>
    <row r="29" ht="15.0" customHeight="1">
      <c r="A29" s="7" t="s">
        <v>83</v>
      </c>
      <c r="B29" s="7" t="s">
        <v>84</v>
      </c>
      <c r="C29" s="62">
        <f t="shared" ref="C29:S29" si="48">C11*12</f>
        <v>58263.9483</v>
      </c>
      <c r="D29" s="62">
        <f t="shared" si="48"/>
        <v>58263.9483</v>
      </c>
      <c r="E29" s="62">
        <f t="shared" si="48"/>
        <v>58263.9483</v>
      </c>
      <c r="F29" s="62">
        <f t="shared" si="48"/>
        <v>142840.6474</v>
      </c>
      <c r="G29" s="62">
        <f t="shared" si="48"/>
        <v>58263.9483</v>
      </c>
      <c r="H29" s="62">
        <f t="shared" si="48"/>
        <v>375896.4406</v>
      </c>
      <c r="I29" s="62">
        <f t="shared" si="48"/>
        <v>57476.40058</v>
      </c>
      <c r="J29" s="62">
        <f t="shared" si="48"/>
        <v>57476.40058</v>
      </c>
      <c r="K29" s="62">
        <f t="shared" si="48"/>
        <v>57476.40058</v>
      </c>
      <c r="L29" s="62">
        <f t="shared" si="48"/>
        <v>57476.40058</v>
      </c>
      <c r="M29" s="62">
        <f t="shared" si="48"/>
        <v>229905.6023</v>
      </c>
      <c r="N29" s="62">
        <f t="shared" si="48"/>
        <v>83859.53763</v>
      </c>
      <c r="O29" s="62">
        <f t="shared" si="48"/>
        <v>83859.53763</v>
      </c>
      <c r="P29" s="62">
        <f t="shared" si="48"/>
        <v>423471.6923</v>
      </c>
      <c r="Q29" s="62">
        <f t="shared" si="48"/>
        <v>83859.53763</v>
      </c>
      <c r="R29" s="62">
        <f t="shared" si="48"/>
        <v>83859.53763</v>
      </c>
      <c r="S29" s="62">
        <f t="shared" si="48"/>
        <v>758909.8428</v>
      </c>
      <c r="T29" s="71"/>
      <c r="U29" s="71"/>
    </row>
    <row r="30" ht="15.0" customHeight="1">
      <c r="A30" s="7" t="s">
        <v>85</v>
      </c>
      <c r="B30" s="7" t="s">
        <v>86</v>
      </c>
      <c r="C30" s="62">
        <f t="shared" ref="C30:S30" si="49">C12*60</f>
        <v>665459.7124</v>
      </c>
      <c r="D30" s="62">
        <f t="shared" si="49"/>
        <v>665459.7124</v>
      </c>
      <c r="E30" s="62">
        <f t="shared" si="49"/>
        <v>665459.7124</v>
      </c>
      <c r="F30" s="62">
        <f t="shared" si="49"/>
        <v>1631449.618</v>
      </c>
      <c r="G30" s="62">
        <f t="shared" si="49"/>
        <v>665459.7124</v>
      </c>
      <c r="H30" s="62">
        <f t="shared" si="49"/>
        <v>4293288.467</v>
      </c>
      <c r="I30" s="62">
        <f t="shared" si="49"/>
        <v>656464.7628</v>
      </c>
      <c r="J30" s="62">
        <f t="shared" si="49"/>
        <v>656464.7628</v>
      </c>
      <c r="K30" s="62">
        <f t="shared" si="49"/>
        <v>656464.7628</v>
      </c>
      <c r="L30" s="62">
        <f t="shared" si="49"/>
        <v>656464.7628</v>
      </c>
      <c r="M30" s="62">
        <f t="shared" si="49"/>
        <v>2625859.051</v>
      </c>
      <c r="N30" s="62">
        <f t="shared" si="49"/>
        <v>957798.8692</v>
      </c>
      <c r="O30" s="62">
        <f t="shared" si="49"/>
        <v>957798.8692</v>
      </c>
      <c r="P30" s="62">
        <f t="shared" si="49"/>
        <v>4836667.593</v>
      </c>
      <c r="Q30" s="62">
        <f t="shared" si="49"/>
        <v>957798.8692</v>
      </c>
      <c r="R30" s="62">
        <f t="shared" si="49"/>
        <v>957798.8692</v>
      </c>
      <c r="S30" s="62">
        <f t="shared" si="49"/>
        <v>8667863.07</v>
      </c>
      <c r="T30" s="71"/>
      <c r="U30" s="71"/>
    </row>
    <row r="31" ht="15.0" customHeight="1">
      <c r="A31" s="7" t="s">
        <v>87</v>
      </c>
      <c r="B31" s="7" t="s">
        <v>88</v>
      </c>
      <c r="C31" s="62">
        <f t="shared" ref="C31:S31" si="50">C13*60</f>
        <v>294337.9497</v>
      </c>
      <c r="D31" s="62">
        <f t="shared" si="50"/>
        <v>294337.9497</v>
      </c>
      <c r="E31" s="62">
        <f t="shared" si="50"/>
        <v>294337.9497</v>
      </c>
      <c r="F31" s="62">
        <f t="shared" si="50"/>
        <v>721602.7155</v>
      </c>
      <c r="G31" s="62">
        <f t="shared" si="50"/>
        <v>294337.9497</v>
      </c>
      <c r="H31" s="62">
        <f t="shared" si="50"/>
        <v>1898954.514</v>
      </c>
      <c r="I31" s="62">
        <f t="shared" si="50"/>
        <v>290359.4143</v>
      </c>
      <c r="J31" s="62">
        <f t="shared" si="50"/>
        <v>290359.4143</v>
      </c>
      <c r="K31" s="62">
        <f t="shared" si="50"/>
        <v>290359.4143</v>
      </c>
      <c r="L31" s="62">
        <f t="shared" si="50"/>
        <v>290359.4143</v>
      </c>
      <c r="M31" s="62">
        <f t="shared" si="50"/>
        <v>1161437.657</v>
      </c>
      <c r="N31" s="62">
        <f t="shared" si="50"/>
        <v>423641.8075</v>
      </c>
      <c r="O31" s="62">
        <f t="shared" si="50"/>
        <v>423641.8075</v>
      </c>
      <c r="P31" s="62">
        <f t="shared" si="50"/>
        <v>2139295.281</v>
      </c>
      <c r="Q31" s="62">
        <f t="shared" si="50"/>
        <v>423641.8075</v>
      </c>
      <c r="R31" s="62">
        <f t="shared" si="50"/>
        <v>423641.8075</v>
      </c>
      <c r="S31" s="62">
        <f t="shared" si="50"/>
        <v>3833862.512</v>
      </c>
      <c r="T31" s="71"/>
      <c r="U31" s="71"/>
    </row>
    <row r="32" ht="15.0" customHeight="1">
      <c r="A32" s="7" t="s">
        <v>89</v>
      </c>
      <c r="B32" s="7" t="s">
        <v>90</v>
      </c>
      <c r="C32" s="62">
        <f t="shared" ref="C32:S32" si="51">C14*50</f>
        <v>405247.9018</v>
      </c>
      <c r="D32" s="62">
        <f t="shared" si="51"/>
        <v>405247.9018</v>
      </c>
      <c r="E32" s="62">
        <f t="shared" si="51"/>
        <v>405247.9018</v>
      </c>
      <c r="F32" s="62">
        <f t="shared" si="51"/>
        <v>993510.9851</v>
      </c>
      <c r="G32" s="62">
        <f t="shared" si="51"/>
        <v>405247.9018</v>
      </c>
      <c r="H32" s="62">
        <f t="shared" si="51"/>
        <v>2614502.592</v>
      </c>
      <c r="I32" s="62">
        <f t="shared" si="51"/>
        <v>399770.2081</v>
      </c>
      <c r="J32" s="62">
        <f t="shared" si="51"/>
        <v>399770.2081</v>
      </c>
      <c r="K32" s="62">
        <f t="shared" si="51"/>
        <v>399770.2081</v>
      </c>
      <c r="L32" s="62">
        <f t="shared" si="51"/>
        <v>399770.2081</v>
      </c>
      <c r="M32" s="62">
        <f t="shared" si="51"/>
        <v>1599080.832</v>
      </c>
      <c r="N32" s="62">
        <f t="shared" si="51"/>
        <v>583274.9524</v>
      </c>
      <c r="O32" s="62">
        <f t="shared" si="51"/>
        <v>583274.9524</v>
      </c>
      <c r="P32" s="62">
        <f t="shared" si="51"/>
        <v>2945406.547</v>
      </c>
      <c r="Q32" s="62">
        <f t="shared" si="51"/>
        <v>583274.9524</v>
      </c>
      <c r="R32" s="62">
        <f t="shared" si="51"/>
        <v>583274.9524</v>
      </c>
      <c r="S32" s="72">
        <f t="shared" si="51"/>
        <v>5278506.357</v>
      </c>
      <c r="T32" s="71"/>
      <c r="U32" s="71"/>
    </row>
    <row r="33" ht="15.0" customHeight="1">
      <c r="A33" s="7" t="s">
        <v>91</v>
      </c>
      <c r="B33" s="7"/>
      <c r="C33" s="68">
        <f t="shared" ref="C33:S33" si="52">SUM(C23:C32)</f>
        <v>3529478.258</v>
      </c>
      <c r="D33" s="68">
        <f t="shared" si="52"/>
        <v>3529478.258</v>
      </c>
      <c r="E33" s="68">
        <f t="shared" si="52"/>
        <v>3529478.258</v>
      </c>
      <c r="F33" s="68">
        <f t="shared" si="52"/>
        <v>8652914.438</v>
      </c>
      <c r="G33" s="68">
        <f t="shared" si="52"/>
        <v>3529478.258</v>
      </c>
      <c r="H33" s="68">
        <f t="shared" si="52"/>
        <v>22770827.47</v>
      </c>
      <c r="I33" s="68">
        <f t="shared" si="52"/>
        <v>3481770.668</v>
      </c>
      <c r="J33" s="68">
        <f t="shared" si="52"/>
        <v>3481770.668</v>
      </c>
      <c r="K33" s="68">
        <f t="shared" si="52"/>
        <v>3481770.668</v>
      </c>
      <c r="L33" s="68">
        <f t="shared" si="52"/>
        <v>3481770.668</v>
      </c>
      <c r="M33" s="68">
        <f t="shared" si="52"/>
        <v>13927082.67</v>
      </c>
      <c r="N33" s="68">
        <f t="shared" si="52"/>
        <v>5079992.404</v>
      </c>
      <c r="O33" s="68">
        <f t="shared" si="52"/>
        <v>5079992.404</v>
      </c>
      <c r="P33" s="68">
        <f t="shared" si="52"/>
        <v>25652812.32</v>
      </c>
      <c r="Q33" s="68">
        <f t="shared" si="52"/>
        <v>5079992.404</v>
      </c>
      <c r="R33" s="73">
        <f t="shared" si="52"/>
        <v>5079992.404</v>
      </c>
      <c r="S33" s="68">
        <f t="shared" si="52"/>
        <v>45972781.93</v>
      </c>
      <c r="T33" s="74"/>
      <c r="U33" s="74"/>
      <c r="V33" s="75"/>
    </row>
    <row r="37" ht="15.0" customHeight="1">
      <c r="A37" s="18" t="s">
        <v>93</v>
      </c>
      <c r="B37" s="57" t="s">
        <v>63</v>
      </c>
      <c r="C37" s="58" t="s">
        <v>64</v>
      </c>
      <c r="D37" s="31"/>
      <c r="E37" s="31"/>
      <c r="F37" s="31"/>
      <c r="G37" s="31"/>
      <c r="H37" s="14"/>
      <c r="I37" s="58" t="s">
        <v>65</v>
      </c>
      <c r="J37" s="31"/>
      <c r="K37" s="31"/>
      <c r="L37" s="31"/>
      <c r="M37" s="14"/>
      <c r="N37" s="58" t="s">
        <v>66</v>
      </c>
      <c r="O37" s="31"/>
      <c r="P37" s="31"/>
      <c r="Q37" s="31"/>
      <c r="R37" s="31"/>
      <c r="S37" s="14"/>
      <c r="T37" s="56"/>
      <c r="U37" s="56"/>
    </row>
    <row r="38" ht="15.0" customHeight="1">
      <c r="A38" s="7"/>
      <c r="B38" s="57" t="s">
        <v>67</v>
      </c>
      <c r="C38" s="59">
        <v>18.0</v>
      </c>
      <c r="D38" s="59">
        <v>19.0</v>
      </c>
      <c r="E38" s="59">
        <v>20.0</v>
      </c>
      <c r="F38" s="59">
        <v>21.0</v>
      </c>
      <c r="G38" s="59">
        <v>22.0</v>
      </c>
      <c r="H38" s="59" t="s">
        <v>68</v>
      </c>
      <c r="I38" s="59">
        <v>23.0</v>
      </c>
      <c r="J38" s="59">
        <v>24.0</v>
      </c>
      <c r="K38" s="59">
        <v>25.0</v>
      </c>
      <c r="L38" s="59">
        <v>26.0</v>
      </c>
      <c r="M38" s="59" t="s">
        <v>68</v>
      </c>
      <c r="N38" s="59">
        <v>27.0</v>
      </c>
      <c r="O38" s="59">
        <v>28.0</v>
      </c>
      <c r="P38" s="59">
        <v>29.0</v>
      </c>
      <c r="Q38" s="59">
        <v>30.0</v>
      </c>
      <c r="R38" s="59">
        <v>31.0</v>
      </c>
      <c r="S38" s="59" t="s">
        <v>68</v>
      </c>
      <c r="T38" s="60"/>
      <c r="U38" s="60"/>
    </row>
    <row r="39" ht="15.0" customHeight="1">
      <c r="A39" s="7" t="s">
        <v>69</v>
      </c>
      <c r="B39" s="7" t="s">
        <v>70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56"/>
      <c r="U39" s="56"/>
    </row>
    <row r="40" ht="15.0" customHeight="1">
      <c r="A40" s="7" t="s">
        <v>71</v>
      </c>
      <c r="B40" s="7" t="s">
        <v>72</v>
      </c>
      <c r="C40" s="62">
        <f t="shared" ref="C40:S40" si="53">C23*50</f>
        <v>18385995.95</v>
      </c>
      <c r="D40" s="62">
        <f t="shared" si="53"/>
        <v>18385995.95</v>
      </c>
      <c r="E40" s="62">
        <f t="shared" si="53"/>
        <v>18385995.95</v>
      </c>
      <c r="F40" s="62">
        <f t="shared" si="53"/>
        <v>45075344.91</v>
      </c>
      <c r="G40" s="62">
        <f t="shared" si="53"/>
        <v>18385995.95</v>
      </c>
      <c r="H40" s="62">
        <f t="shared" si="53"/>
        <v>118619328.7</v>
      </c>
      <c r="I40" s="62">
        <f t="shared" si="53"/>
        <v>18137474.36</v>
      </c>
      <c r="J40" s="62">
        <f t="shared" si="53"/>
        <v>18137474.36</v>
      </c>
      <c r="K40" s="62">
        <f t="shared" si="53"/>
        <v>18137474.36</v>
      </c>
      <c r="L40" s="62">
        <f t="shared" si="53"/>
        <v>18137474.36</v>
      </c>
      <c r="M40" s="62">
        <f t="shared" si="53"/>
        <v>72549897.44</v>
      </c>
      <c r="N40" s="62">
        <f t="shared" si="53"/>
        <v>26463038.71</v>
      </c>
      <c r="O40" s="62">
        <f t="shared" si="53"/>
        <v>26463038.71</v>
      </c>
      <c r="P40" s="62">
        <f t="shared" si="53"/>
        <v>133632358.4</v>
      </c>
      <c r="Q40" s="62">
        <f t="shared" si="53"/>
        <v>26463038.71</v>
      </c>
      <c r="R40" s="62">
        <f t="shared" si="53"/>
        <v>26463038.71</v>
      </c>
      <c r="S40" s="62">
        <f t="shared" si="53"/>
        <v>239484513.2</v>
      </c>
      <c r="T40" s="71"/>
      <c r="U40" s="71"/>
    </row>
    <row r="41" ht="15.0" customHeight="1">
      <c r="A41" s="7" t="s">
        <v>73</v>
      </c>
      <c r="B41" s="7" t="s">
        <v>74</v>
      </c>
      <c r="C41" s="62">
        <f t="shared" ref="C41:S41" si="54">C24*100</f>
        <v>14300219.07</v>
      </c>
      <c r="D41" s="62">
        <f t="shared" si="54"/>
        <v>14300219.07</v>
      </c>
      <c r="E41" s="62">
        <f t="shared" si="54"/>
        <v>14300219.07</v>
      </c>
      <c r="F41" s="62">
        <f t="shared" si="54"/>
        <v>35058601.6</v>
      </c>
      <c r="G41" s="62">
        <f t="shared" si="54"/>
        <v>14300219.07</v>
      </c>
      <c r="H41" s="62">
        <f t="shared" si="54"/>
        <v>92259477.9</v>
      </c>
      <c r="I41" s="62">
        <f t="shared" si="54"/>
        <v>14106924.5</v>
      </c>
      <c r="J41" s="62">
        <f t="shared" si="54"/>
        <v>14106924.5</v>
      </c>
      <c r="K41" s="62">
        <f t="shared" si="54"/>
        <v>14106924.5</v>
      </c>
      <c r="L41" s="62">
        <f t="shared" si="54"/>
        <v>14106924.5</v>
      </c>
      <c r="M41" s="62">
        <f t="shared" si="54"/>
        <v>56427698.01</v>
      </c>
      <c r="N41" s="62">
        <f t="shared" si="54"/>
        <v>20582363.44</v>
      </c>
      <c r="O41" s="62">
        <f t="shared" si="54"/>
        <v>20582363.44</v>
      </c>
      <c r="P41" s="62">
        <f t="shared" si="54"/>
        <v>103936278.7</v>
      </c>
      <c r="Q41" s="62">
        <f t="shared" si="54"/>
        <v>20582363.44</v>
      </c>
      <c r="R41" s="62">
        <f t="shared" si="54"/>
        <v>20582363.44</v>
      </c>
      <c r="S41" s="62">
        <f t="shared" si="54"/>
        <v>186265732.5</v>
      </c>
      <c r="T41" s="71"/>
      <c r="U41" s="71"/>
    </row>
    <row r="42" ht="15.0" customHeight="1">
      <c r="A42" s="7" t="s">
        <v>75</v>
      </c>
      <c r="B42" s="7" t="s">
        <v>76</v>
      </c>
      <c r="C42" s="62">
        <f t="shared" ref="C42:S42" si="55">C25*20</f>
        <v>6128665.317</v>
      </c>
      <c r="D42" s="62">
        <f t="shared" si="55"/>
        <v>6128665.317</v>
      </c>
      <c r="E42" s="62">
        <f t="shared" si="55"/>
        <v>6128665.317</v>
      </c>
      <c r="F42" s="62">
        <f t="shared" si="55"/>
        <v>15025114.97</v>
      </c>
      <c r="G42" s="62">
        <f t="shared" si="55"/>
        <v>6128665.317</v>
      </c>
      <c r="H42" s="62">
        <f t="shared" si="55"/>
        <v>39539776.24</v>
      </c>
      <c r="I42" s="62">
        <f t="shared" si="55"/>
        <v>6045824.786</v>
      </c>
      <c r="J42" s="62">
        <f t="shared" si="55"/>
        <v>6045824.786</v>
      </c>
      <c r="K42" s="62">
        <f t="shared" si="55"/>
        <v>6045824.786</v>
      </c>
      <c r="L42" s="62">
        <f t="shared" si="55"/>
        <v>6045824.786</v>
      </c>
      <c r="M42" s="62">
        <f t="shared" si="55"/>
        <v>24183299.15</v>
      </c>
      <c r="N42" s="62">
        <f t="shared" si="55"/>
        <v>8821012.904</v>
      </c>
      <c r="O42" s="62">
        <f t="shared" si="55"/>
        <v>8821012.904</v>
      </c>
      <c r="P42" s="62">
        <f t="shared" si="55"/>
        <v>44544119.46</v>
      </c>
      <c r="Q42" s="62">
        <f t="shared" si="55"/>
        <v>8821012.904</v>
      </c>
      <c r="R42" s="62">
        <f t="shared" si="55"/>
        <v>8821012.904</v>
      </c>
      <c r="S42" s="62">
        <f t="shared" si="55"/>
        <v>79828171.08</v>
      </c>
      <c r="T42" s="71"/>
      <c r="U42" s="71"/>
    </row>
    <row r="43" ht="15.0" customHeight="1">
      <c r="A43" s="7" t="s">
        <v>77</v>
      </c>
      <c r="B43" s="7" t="s">
        <v>78</v>
      </c>
      <c r="C43" s="62">
        <f t="shared" ref="C43:S43" si="56">C26*24</f>
        <v>12257330.63</v>
      </c>
      <c r="D43" s="62">
        <f t="shared" si="56"/>
        <v>12257330.63</v>
      </c>
      <c r="E43" s="62">
        <f t="shared" si="56"/>
        <v>12257330.63</v>
      </c>
      <c r="F43" s="62">
        <f t="shared" si="56"/>
        <v>30050229.94</v>
      </c>
      <c r="G43" s="62">
        <f t="shared" si="56"/>
        <v>12257330.63</v>
      </c>
      <c r="H43" s="62">
        <f t="shared" si="56"/>
        <v>79079552.48</v>
      </c>
      <c r="I43" s="62">
        <f t="shared" si="56"/>
        <v>12091649.57</v>
      </c>
      <c r="J43" s="62">
        <f t="shared" si="56"/>
        <v>12091649.57</v>
      </c>
      <c r="K43" s="62">
        <f t="shared" si="56"/>
        <v>12091649.57</v>
      </c>
      <c r="L43" s="62">
        <f t="shared" si="56"/>
        <v>12091649.57</v>
      </c>
      <c r="M43" s="62">
        <f t="shared" si="56"/>
        <v>48366598.29</v>
      </c>
      <c r="N43" s="62">
        <f t="shared" si="56"/>
        <v>17642025.81</v>
      </c>
      <c r="O43" s="62">
        <f t="shared" si="56"/>
        <v>17642025.81</v>
      </c>
      <c r="P43" s="62">
        <f t="shared" si="56"/>
        <v>89088238.92</v>
      </c>
      <c r="Q43" s="62">
        <f t="shared" si="56"/>
        <v>17642025.81</v>
      </c>
      <c r="R43" s="62">
        <f t="shared" si="56"/>
        <v>17642025.81</v>
      </c>
      <c r="S43" s="62">
        <f t="shared" si="56"/>
        <v>159656342.2</v>
      </c>
      <c r="T43" s="71"/>
      <c r="U43" s="71"/>
    </row>
    <row r="44" ht="15.0" customHeight="1">
      <c r="A44" s="7" t="s">
        <v>79</v>
      </c>
      <c r="B44" s="7" t="s">
        <v>80</v>
      </c>
      <c r="C44" s="62">
        <f t="shared" ref="C44:S44" si="57">C27*15</f>
        <v>9926450.451</v>
      </c>
      <c r="D44" s="62">
        <f t="shared" si="57"/>
        <v>9926450.451</v>
      </c>
      <c r="E44" s="62">
        <f t="shared" si="57"/>
        <v>9926450.451</v>
      </c>
      <c r="F44" s="62">
        <f t="shared" si="57"/>
        <v>24335814.01</v>
      </c>
      <c r="G44" s="62">
        <f t="shared" si="57"/>
        <v>9926450.451</v>
      </c>
      <c r="H44" s="62">
        <f t="shared" si="57"/>
        <v>64041615.81</v>
      </c>
      <c r="I44" s="62">
        <f t="shared" si="57"/>
        <v>9792275.654</v>
      </c>
      <c r="J44" s="62">
        <f t="shared" si="57"/>
        <v>9792275.654</v>
      </c>
      <c r="K44" s="62">
        <f t="shared" si="57"/>
        <v>9792275.654</v>
      </c>
      <c r="L44" s="62">
        <f t="shared" si="57"/>
        <v>9792275.654</v>
      </c>
      <c r="M44" s="62">
        <f t="shared" si="57"/>
        <v>39169102.62</v>
      </c>
      <c r="N44" s="62">
        <f t="shared" si="57"/>
        <v>14287180.48</v>
      </c>
      <c r="O44" s="62">
        <f t="shared" si="57"/>
        <v>14287180.48</v>
      </c>
      <c r="P44" s="62">
        <f t="shared" si="57"/>
        <v>72147029.06</v>
      </c>
      <c r="Q44" s="62">
        <f t="shared" si="57"/>
        <v>14287180.48</v>
      </c>
      <c r="R44" s="62">
        <f t="shared" si="57"/>
        <v>14287180.48</v>
      </c>
      <c r="S44" s="62">
        <f t="shared" si="57"/>
        <v>129295751</v>
      </c>
      <c r="T44" s="71"/>
      <c r="U44" s="71"/>
    </row>
    <row r="45" ht="15.0" customHeight="1">
      <c r="A45" s="7" t="s">
        <v>81</v>
      </c>
      <c r="B45" s="7" t="s">
        <v>82</v>
      </c>
      <c r="C45" s="62">
        <f t="shared" ref="C45:S45" si="58">C28*50</f>
        <v>5826394.83</v>
      </c>
      <c r="D45" s="62">
        <f t="shared" si="58"/>
        <v>5826394.83</v>
      </c>
      <c r="E45" s="62">
        <f t="shared" si="58"/>
        <v>5826394.83</v>
      </c>
      <c r="F45" s="62">
        <f t="shared" si="58"/>
        <v>14284064.74</v>
      </c>
      <c r="G45" s="62">
        <f t="shared" si="58"/>
        <v>5826394.83</v>
      </c>
      <c r="H45" s="62">
        <f t="shared" si="58"/>
        <v>37589644.06</v>
      </c>
      <c r="I45" s="62">
        <f t="shared" si="58"/>
        <v>5747640.058</v>
      </c>
      <c r="J45" s="62">
        <f t="shared" si="58"/>
        <v>5747640.058</v>
      </c>
      <c r="K45" s="62">
        <f t="shared" si="58"/>
        <v>5747640.058</v>
      </c>
      <c r="L45" s="62">
        <f t="shared" si="58"/>
        <v>5747640.058</v>
      </c>
      <c r="M45" s="62">
        <f t="shared" si="58"/>
        <v>22990560.23</v>
      </c>
      <c r="N45" s="62">
        <f t="shared" si="58"/>
        <v>8385953.763</v>
      </c>
      <c r="O45" s="62">
        <f t="shared" si="58"/>
        <v>8385953.763</v>
      </c>
      <c r="P45" s="62">
        <f t="shared" si="58"/>
        <v>42347169.23</v>
      </c>
      <c r="Q45" s="62">
        <f t="shared" si="58"/>
        <v>8385953.763</v>
      </c>
      <c r="R45" s="62">
        <f t="shared" si="58"/>
        <v>8385953.763</v>
      </c>
      <c r="S45" s="62">
        <f t="shared" si="58"/>
        <v>75890984.28</v>
      </c>
      <c r="T45" s="71"/>
      <c r="U45" s="71"/>
    </row>
    <row r="46" ht="15.0" customHeight="1">
      <c r="A46" s="7" t="s">
        <v>83</v>
      </c>
      <c r="B46" s="7" t="s">
        <v>84</v>
      </c>
      <c r="C46" s="62">
        <f t="shared" ref="C46:S46" si="59">C29*100</f>
        <v>5826394.83</v>
      </c>
      <c r="D46" s="62">
        <f t="shared" si="59"/>
        <v>5826394.83</v>
      </c>
      <c r="E46" s="62">
        <f t="shared" si="59"/>
        <v>5826394.83</v>
      </c>
      <c r="F46" s="62">
        <f t="shared" si="59"/>
        <v>14284064.74</v>
      </c>
      <c r="G46" s="62">
        <f t="shared" si="59"/>
        <v>5826394.83</v>
      </c>
      <c r="H46" s="62">
        <f t="shared" si="59"/>
        <v>37589644.06</v>
      </c>
      <c r="I46" s="62">
        <f t="shared" si="59"/>
        <v>5747640.058</v>
      </c>
      <c r="J46" s="62">
        <f t="shared" si="59"/>
        <v>5747640.058</v>
      </c>
      <c r="K46" s="62">
        <f t="shared" si="59"/>
        <v>5747640.058</v>
      </c>
      <c r="L46" s="62">
        <f t="shared" si="59"/>
        <v>5747640.058</v>
      </c>
      <c r="M46" s="62">
        <f t="shared" si="59"/>
        <v>22990560.23</v>
      </c>
      <c r="N46" s="62">
        <f t="shared" si="59"/>
        <v>8385953.763</v>
      </c>
      <c r="O46" s="62">
        <f t="shared" si="59"/>
        <v>8385953.763</v>
      </c>
      <c r="P46" s="62">
        <f t="shared" si="59"/>
        <v>42347169.23</v>
      </c>
      <c r="Q46" s="62">
        <f t="shared" si="59"/>
        <v>8385953.763</v>
      </c>
      <c r="R46" s="62">
        <f t="shared" si="59"/>
        <v>8385953.763</v>
      </c>
      <c r="S46" s="62">
        <f t="shared" si="59"/>
        <v>75890984.28</v>
      </c>
      <c r="T46" s="71"/>
      <c r="U46" s="71"/>
    </row>
    <row r="47" ht="15.0" customHeight="1">
      <c r="A47" s="7" t="s">
        <v>85</v>
      </c>
      <c r="B47" s="7" t="s">
        <v>86</v>
      </c>
      <c r="C47" s="62">
        <f t="shared" ref="C47:S47" si="60">C30*15</f>
        <v>9981895.687</v>
      </c>
      <c r="D47" s="62">
        <f t="shared" si="60"/>
        <v>9981895.687</v>
      </c>
      <c r="E47" s="62">
        <f t="shared" si="60"/>
        <v>9981895.687</v>
      </c>
      <c r="F47" s="62">
        <f t="shared" si="60"/>
        <v>24471744.26</v>
      </c>
      <c r="G47" s="62">
        <f t="shared" si="60"/>
        <v>9981895.687</v>
      </c>
      <c r="H47" s="62">
        <f t="shared" si="60"/>
        <v>64399327.01</v>
      </c>
      <c r="I47" s="62">
        <f t="shared" si="60"/>
        <v>9846971.442</v>
      </c>
      <c r="J47" s="62">
        <f t="shared" si="60"/>
        <v>9846971.442</v>
      </c>
      <c r="K47" s="62">
        <f t="shared" si="60"/>
        <v>9846971.442</v>
      </c>
      <c r="L47" s="62">
        <f t="shared" si="60"/>
        <v>9846971.442</v>
      </c>
      <c r="M47" s="62">
        <f t="shared" si="60"/>
        <v>39387885.77</v>
      </c>
      <c r="N47" s="62">
        <f t="shared" si="60"/>
        <v>14366983.04</v>
      </c>
      <c r="O47" s="62">
        <f t="shared" si="60"/>
        <v>14366983.04</v>
      </c>
      <c r="P47" s="62">
        <f t="shared" si="60"/>
        <v>72550013.89</v>
      </c>
      <c r="Q47" s="62">
        <f t="shared" si="60"/>
        <v>14366983.04</v>
      </c>
      <c r="R47" s="62">
        <f t="shared" si="60"/>
        <v>14366983.04</v>
      </c>
      <c r="S47" s="62">
        <f t="shared" si="60"/>
        <v>130017946</v>
      </c>
      <c r="T47" s="71"/>
      <c r="U47" s="71"/>
    </row>
    <row r="48" ht="15.0" customHeight="1">
      <c r="A48" s="7" t="s">
        <v>87</v>
      </c>
      <c r="B48" s="7" t="s">
        <v>88</v>
      </c>
      <c r="C48" s="62">
        <f t="shared" ref="C48:S48" si="61">C31*20</f>
        <v>5886758.995</v>
      </c>
      <c r="D48" s="62">
        <f t="shared" si="61"/>
        <v>5886758.995</v>
      </c>
      <c r="E48" s="62">
        <f t="shared" si="61"/>
        <v>5886758.995</v>
      </c>
      <c r="F48" s="62">
        <f t="shared" si="61"/>
        <v>14432054.31</v>
      </c>
      <c r="G48" s="62">
        <f t="shared" si="61"/>
        <v>5886758.995</v>
      </c>
      <c r="H48" s="62">
        <f t="shared" si="61"/>
        <v>37979090.29</v>
      </c>
      <c r="I48" s="62">
        <f t="shared" si="61"/>
        <v>5807188.286</v>
      </c>
      <c r="J48" s="62">
        <f t="shared" si="61"/>
        <v>5807188.286</v>
      </c>
      <c r="K48" s="62">
        <f t="shared" si="61"/>
        <v>5807188.286</v>
      </c>
      <c r="L48" s="62">
        <f t="shared" si="61"/>
        <v>5807188.286</v>
      </c>
      <c r="M48" s="62">
        <f t="shared" si="61"/>
        <v>23228753.15</v>
      </c>
      <c r="N48" s="62">
        <f t="shared" si="61"/>
        <v>8472836.151</v>
      </c>
      <c r="O48" s="62">
        <f t="shared" si="61"/>
        <v>8472836.151</v>
      </c>
      <c r="P48" s="62">
        <f t="shared" si="61"/>
        <v>42785905.63</v>
      </c>
      <c r="Q48" s="62">
        <f t="shared" si="61"/>
        <v>8472836.151</v>
      </c>
      <c r="R48" s="62">
        <f t="shared" si="61"/>
        <v>8472836.151</v>
      </c>
      <c r="S48" s="62">
        <f t="shared" si="61"/>
        <v>76677250.23</v>
      </c>
      <c r="T48" s="71"/>
      <c r="U48" s="71"/>
    </row>
    <row r="49" ht="15.0" customHeight="1">
      <c r="A49" s="7" t="s">
        <v>89</v>
      </c>
      <c r="B49" s="7" t="s">
        <v>90</v>
      </c>
      <c r="C49" s="62">
        <f t="shared" ref="C49:S49" si="62">C32*24</f>
        <v>9725949.643</v>
      </c>
      <c r="D49" s="62">
        <f t="shared" si="62"/>
        <v>9725949.643</v>
      </c>
      <c r="E49" s="62">
        <f t="shared" si="62"/>
        <v>9725949.643</v>
      </c>
      <c r="F49" s="62">
        <f t="shared" si="62"/>
        <v>23844263.64</v>
      </c>
      <c r="G49" s="62">
        <f t="shared" si="62"/>
        <v>9725949.643</v>
      </c>
      <c r="H49" s="62">
        <f t="shared" si="62"/>
        <v>62748062.21</v>
      </c>
      <c r="I49" s="62">
        <f t="shared" si="62"/>
        <v>9594484.995</v>
      </c>
      <c r="J49" s="62">
        <f t="shared" si="62"/>
        <v>9594484.995</v>
      </c>
      <c r="K49" s="62">
        <f t="shared" si="62"/>
        <v>9594484.995</v>
      </c>
      <c r="L49" s="62">
        <f t="shared" si="62"/>
        <v>9594484.995</v>
      </c>
      <c r="M49" s="62">
        <f t="shared" si="62"/>
        <v>38377939.98</v>
      </c>
      <c r="N49" s="62">
        <f t="shared" si="62"/>
        <v>13998598.86</v>
      </c>
      <c r="O49" s="62">
        <f t="shared" si="62"/>
        <v>13998598.86</v>
      </c>
      <c r="P49" s="62">
        <f t="shared" si="62"/>
        <v>70689757.13</v>
      </c>
      <c r="Q49" s="62">
        <f t="shared" si="62"/>
        <v>13998598.86</v>
      </c>
      <c r="R49" s="62">
        <f t="shared" si="62"/>
        <v>13998598.86</v>
      </c>
      <c r="S49" s="62">
        <f t="shared" si="62"/>
        <v>126684152.6</v>
      </c>
      <c r="T49" s="71"/>
      <c r="U49" s="71"/>
    </row>
    <row r="50" ht="15.0" customHeight="1">
      <c r="A50" s="7" t="s">
        <v>91</v>
      </c>
      <c r="B50" s="7"/>
      <c r="C50" s="68">
        <f t="shared" ref="C50:S50" si="63">SUM(C40:C49)</f>
        <v>98246055.41</v>
      </c>
      <c r="D50" s="68">
        <f t="shared" si="63"/>
        <v>98246055.41</v>
      </c>
      <c r="E50" s="68">
        <f t="shared" si="63"/>
        <v>98246055.41</v>
      </c>
      <c r="F50" s="68">
        <f t="shared" si="63"/>
        <v>240861297.1</v>
      </c>
      <c r="G50" s="68">
        <f t="shared" si="63"/>
        <v>98246055.41</v>
      </c>
      <c r="H50" s="68">
        <f t="shared" si="63"/>
        <v>633845518.8</v>
      </c>
      <c r="I50" s="68">
        <f t="shared" si="63"/>
        <v>96918073.71</v>
      </c>
      <c r="J50" s="68">
        <f t="shared" si="63"/>
        <v>96918073.71</v>
      </c>
      <c r="K50" s="68">
        <f t="shared" si="63"/>
        <v>96918073.71</v>
      </c>
      <c r="L50" s="68">
        <f t="shared" si="63"/>
        <v>96918073.71</v>
      </c>
      <c r="M50" s="68">
        <f t="shared" si="63"/>
        <v>387672294.9</v>
      </c>
      <c r="N50" s="68">
        <f t="shared" si="63"/>
        <v>141405946.9</v>
      </c>
      <c r="O50" s="68">
        <f t="shared" si="63"/>
        <v>141405946.9</v>
      </c>
      <c r="P50" s="68">
        <f t="shared" si="63"/>
        <v>714068039.7</v>
      </c>
      <c r="Q50" s="68">
        <f t="shared" si="63"/>
        <v>141405946.9</v>
      </c>
      <c r="R50" s="68">
        <f t="shared" si="63"/>
        <v>141405946.9</v>
      </c>
      <c r="S50" s="68">
        <f t="shared" si="63"/>
        <v>1279691827</v>
      </c>
      <c r="T50" s="74"/>
      <c r="U50" s="74"/>
    </row>
    <row r="53" ht="15.0" customHeight="1">
      <c r="A53" s="18" t="s">
        <v>7</v>
      </c>
      <c r="B53" s="57" t="s">
        <v>63</v>
      </c>
      <c r="C53" s="58" t="s">
        <v>64</v>
      </c>
      <c r="D53" s="31"/>
      <c r="E53" s="31"/>
      <c r="F53" s="31"/>
      <c r="G53" s="31"/>
      <c r="H53" s="14"/>
      <c r="I53" s="58" t="s">
        <v>65</v>
      </c>
      <c r="J53" s="31"/>
      <c r="K53" s="31"/>
      <c r="L53" s="31"/>
      <c r="M53" s="14"/>
      <c r="N53" s="58" t="s">
        <v>66</v>
      </c>
      <c r="O53" s="31"/>
      <c r="P53" s="31"/>
      <c r="Q53" s="31"/>
      <c r="R53" s="31"/>
      <c r="S53" s="14"/>
      <c r="T53" s="56"/>
      <c r="U53" s="56"/>
    </row>
    <row r="54" ht="15.0" customHeight="1">
      <c r="A54" s="7"/>
      <c r="B54" s="57" t="s">
        <v>67</v>
      </c>
      <c r="C54" s="59">
        <v>18.0</v>
      </c>
      <c r="D54" s="59">
        <v>19.0</v>
      </c>
      <c r="E54" s="59">
        <v>20.0</v>
      </c>
      <c r="F54" s="59">
        <v>21.0</v>
      </c>
      <c r="G54" s="59">
        <v>22.0</v>
      </c>
      <c r="H54" s="59" t="s">
        <v>68</v>
      </c>
      <c r="I54" s="59">
        <v>23.0</v>
      </c>
      <c r="J54" s="59">
        <v>24.0</v>
      </c>
      <c r="K54" s="59">
        <v>25.0</v>
      </c>
      <c r="L54" s="59">
        <v>26.0</v>
      </c>
      <c r="M54" s="59" t="s">
        <v>68</v>
      </c>
      <c r="N54" s="59">
        <v>27.0</v>
      </c>
      <c r="O54" s="59">
        <v>28.0</v>
      </c>
      <c r="P54" s="59">
        <v>29.0</v>
      </c>
      <c r="Q54" s="59">
        <v>30.0</v>
      </c>
      <c r="R54" s="59">
        <v>31.0</v>
      </c>
      <c r="S54" s="59" t="s">
        <v>68</v>
      </c>
      <c r="T54" s="60"/>
      <c r="U54" s="60"/>
    </row>
    <row r="55" ht="15.0" customHeight="1">
      <c r="A55" s="7" t="s">
        <v>69</v>
      </c>
      <c r="B55" s="7" t="s">
        <v>70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56"/>
      <c r="U55" s="56"/>
    </row>
    <row r="56" ht="15.0" customHeight="1">
      <c r="A56" s="7" t="s">
        <v>71</v>
      </c>
      <c r="B56" s="7" t="s">
        <v>72</v>
      </c>
      <c r="C56" s="62">
        <f t="shared" ref="C56:S56" si="64">C40*0.016</f>
        <v>294175.9352</v>
      </c>
      <c r="D56" s="62">
        <f t="shared" si="64"/>
        <v>294175.9352</v>
      </c>
      <c r="E56" s="62">
        <f t="shared" si="64"/>
        <v>294175.9352</v>
      </c>
      <c r="F56" s="62">
        <f t="shared" si="64"/>
        <v>721205.5186</v>
      </c>
      <c r="G56" s="62">
        <f t="shared" si="64"/>
        <v>294175.9352</v>
      </c>
      <c r="H56" s="62">
        <f t="shared" si="64"/>
        <v>1897909.26</v>
      </c>
      <c r="I56" s="62">
        <f t="shared" si="64"/>
        <v>290199.5897</v>
      </c>
      <c r="J56" s="62">
        <f t="shared" si="64"/>
        <v>290199.5897</v>
      </c>
      <c r="K56" s="62">
        <f t="shared" si="64"/>
        <v>290199.5897</v>
      </c>
      <c r="L56" s="62">
        <f t="shared" si="64"/>
        <v>290199.5897</v>
      </c>
      <c r="M56" s="62">
        <f t="shared" si="64"/>
        <v>1160798.359</v>
      </c>
      <c r="N56" s="62">
        <f t="shared" si="64"/>
        <v>423408.6194</v>
      </c>
      <c r="O56" s="62">
        <f t="shared" si="64"/>
        <v>423408.6194</v>
      </c>
      <c r="P56" s="62">
        <f t="shared" si="64"/>
        <v>2138117.734</v>
      </c>
      <c r="Q56" s="62">
        <f t="shared" si="64"/>
        <v>423408.6194</v>
      </c>
      <c r="R56" s="62">
        <f t="shared" si="64"/>
        <v>423408.6194</v>
      </c>
      <c r="S56" s="62">
        <f t="shared" si="64"/>
        <v>3831752.212</v>
      </c>
      <c r="T56" s="71"/>
      <c r="U56" s="71"/>
    </row>
    <row r="57" ht="15.0" customHeight="1">
      <c r="A57" s="7" t="s">
        <v>73</v>
      </c>
      <c r="B57" s="7" t="s">
        <v>74</v>
      </c>
      <c r="C57" s="62">
        <f t="shared" ref="C57:S57" si="65">C41*0.016</f>
        <v>228803.5052</v>
      </c>
      <c r="D57" s="62">
        <f t="shared" si="65"/>
        <v>228803.5052</v>
      </c>
      <c r="E57" s="62">
        <f t="shared" si="65"/>
        <v>228803.5052</v>
      </c>
      <c r="F57" s="62">
        <f t="shared" si="65"/>
        <v>560937.6256</v>
      </c>
      <c r="G57" s="62">
        <f t="shared" si="65"/>
        <v>228803.5052</v>
      </c>
      <c r="H57" s="62">
        <f t="shared" si="65"/>
        <v>1476151.646</v>
      </c>
      <c r="I57" s="62">
        <f t="shared" si="65"/>
        <v>225710.792</v>
      </c>
      <c r="J57" s="62">
        <f t="shared" si="65"/>
        <v>225710.792</v>
      </c>
      <c r="K57" s="62">
        <f t="shared" si="65"/>
        <v>225710.792</v>
      </c>
      <c r="L57" s="62">
        <f t="shared" si="65"/>
        <v>225710.792</v>
      </c>
      <c r="M57" s="62">
        <f t="shared" si="65"/>
        <v>902843.1681</v>
      </c>
      <c r="N57" s="62">
        <f t="shared" si="65"/>
        <v>329317.8151</v>
      </c>
      <c r="O57" s="62">
        <f t="shared" si="65"/>
        <v>329317.8151</v>
      </c>
      <c r="P57" s="62">
        <f t="shared" si="65"/>
        <v>1662980.46</v>
      </c>
      <c r="Q57" s="62">
        <f t="shared" si="65"/>
        <v>329317.8151</v>
      </c>
      <c r="R57" s="62">
        <f t="shared" si="65"/>
        <v>329317.8151</v>
      </c>
      <c r="S57" s="62">
        <f t="shared" si="65"/>
        <v>2980251.72</v>
      </c>
      <c r="T57" s="71"/>
      <c r="U57" s="71"/>
    </row>
    <row r="58" ht="15.0" customHeight="1">
      <c r="A58" s="7" t="s">
        <v>75</v>
      </c>
      <c r="B58" s="7" t="s">
        <v>76</v>
      </c>
      <c r="C58" s="62">
        <f t="shared" ref="C58:S58" si="66">C42*0.016</f>
        <v>98058.64508</v>
      </c>
      <c r="D58" s="62">
        <f t="shared" si="66"/>
        <v>98058.64508</v>
      </c>
      <c r="E58" s="62">
        <f t="shared" si="66"/>
        <v>98058.64508</v>
      </c>
      <c r="F58" s="62">
        <f t="shared" si="66"/>
        <v>240401.8395</v>
      </c>
      <c r="G58" s="62">
        <f t="shared" si="66"/>
        <v>98058.64508</v>
      </c>
      <c r="H58" s="62">
        <f t="shared" si="66"/>
        <v>632636.4199</v>
      </c>
      <c r="I58" s="62">
        <f t="shared" si="66"/>
        <v>96733.19658</v>
      </c>
      <c r="J58" s="62">
        <f t="shared" si="66"/>
        <v>96733.19658</v>
      </c>
      <c r="K58" s="62">
        <f t="shared" si="66"/>
        <v>96733.19658</v>
      </c>
      <c r="L58" s="62">
        <f t="shared" si="66"/>
        <v>96733.19658</v>
      </c>
      <c r="M58" s="62">
        <f t="shared" si="66"/>
        <v>386932.7863</v>
      </c>
      <c r="N58" s="62">
        <f t="shared" si="66"/>
        <v>141136.2065</v>
      </c>
      <c r="O58" s="62">
        <f t="shared" si="66"/>
        <v>141136.2065</v>
      </c>
      <c r="P58" s="62">
        <f t="shared" si="66"/>
        <v>712705.9114</v>
      </c>
      <c r="Q58" s="62">
        <f t="shared" si="66"/>
        <v>141136.2065</v>
      </c>
      <c r="R58" s="62">
        <f t="shared" si="66"/>
        <v>141136.2065</v>
      </c>
      <c r="S58" s="62">
        <f t="shared" si="66"/>
        <v>1277250.737</v>
      </c>
      <c r="T58" s="71"/>
      <c r="U58" s="71"/>
    </row>
    <row r="59" ht="15.0" customHeight="1">
      <c r="A59" s="7" t="s">
        <v>77</v>
      </c>
      <c r="B59" s="7" t="s">
        <v>78</v>
      </c>
      <c r="C59" s="62">
        <f t="shared" ref="C59:S59" si="67">C43*0.016</f>
        <v>196117.2902</v>
      </c>
      <c r="D59" s="62">
        <f t="shared" si="67"/>
        <v>196117.2902</v>
      </c>
      <c r="E59" s="62">
        <f t="shared" si="67"/>
        <v>196117.2902</v>
      </c>
      <c r="F59" s="62">
        <f t="shared" si="67"/>
        <v>480803.6791</v>
      </c>
      <c r="G59" s="62">
        <f t="shared" si="67"/>
        <v>196117.2902</v>
      </c>
      <c r="H59" s="62">
        <f t="shared" si="67"/>
        <v>1265272.84</v>
      </c>
      <c r="I59" s="62">
        <f t="shared" si="67"/>
        <v>193466.3932</v>
      </c>
      <c r="J59" s="62">
        <f t="shared" si="67"/>
        <v>193466.3932</v>
      </c>
      <c r="K59" s="62">
        <f t="shared" si="67"/>
        <v>193466.3932</v>
      </c>
      <c r="L59" s="62">
        <f t="shared" si="67"/>
        <v>193466.3932</v>
      </c>
      <c r="M59" s="62">
        <f t="shared" si="67"/>
        <v>773865.5727</v>
      </c>
      <c r="N59" s="62">
        <f t="shared" si="67"/>
        <v>282272.4129</v>
      </c>
      <c r="O59" s="62">
        <f t="shared" si="67"/>
        <v>282272.4129</v>
      </c>
      <c r="P59" s="62">
        <f t="shared" si="67"/>
        <v>1425411.823</v>
      </c>
      <c r="Q59" s="62">
        <f t="shared" si="67"/>
        <v>282272.4129</v>
      </c>
      <c r="R59" s="62">
        <f t="shared" si="67"/>
        <v>282272.4129</v>
      </c>
      <c r="S59" s="62">
        <f t="shared" si="67"/>
        <v>2554501.475</v>
      </c>
      <c r="T59" s="71"/>
      <c r="U59" s="71"/>
    </row>
    <row r="60" ht="15.0" customHeight="1">
      <c r="A60" s="7" t="s">
        <v>79</v>
      </c>
      <c r="B60" s="7" t="s">
        <v>80</v>
      </c>
      <c r="C60" s="62">
        <f t="shared" ref="C60:S60" si="68">C44*0.0025</f>
        <v>24816.12613</v>
      </c>
      <c r="D60" s="62">
        <f t="shared" si="68"/>
        <v>24816.12613</v>
      </c>
      <c r="E60" s="62">
        <f t="shared" si="68"/>
        <v>24816.12613</v>
      </c>
      <c r="F60" s="62">
        <f t="shared" si="68"/>
        <v>60839.53502</v>
      </c>
      <c r="G60" s="62">
        <f t="shared" si="68"/>
        <v>24816.12613</v>
      </c>
      <c r="H60" s="62">
        <f t="shared" si="68"/>
        <v>160104.0395</v>
      </c>
      <c r="I60" s="62">
        <f t="shared" si="68"/>
        <v>24480.68913</v>
      </c>
      <c r="J60" s="62">
        <f t="shared" si="68"/>
        <v>24480.68913</v>
      </c>
      <c r="K60" s="62">
        <f t="shared" si="68"/>
        <v>24480.68913</v>
      </c>
      <c r="L60" s="62">
        <f t="shared" si="68"/>
        <v>24480.68913</v>
      </c>
      <c r="M60" s="62">
        <f t="shared" si="68"/>
        <v>97922.75654</v>
      </c>
      <c r="N60" s="62">
        <f t="shared" si="68"/>
        <v>35717.95121</v>
      </c>
      <c r="O60" s="62">
        <f t="shared" si="68"/>
        <v>35717.95121</v>
      </c>
      <c r="P60" s="62">
        <f t="shared" si="68"/>
        <v>180367.5726</v>
      </c>
      <c r="Q60" s="62">
        <f t="shared" si="68"/>
        <v>35717.95121</v>
      </c>
      <c r="R60" s="62">
        <f t="shared" si="68"/>
        <v>35717.95121</v>
      </c>
      <c r="S60" s="62">
        <f t="shared" si="68"/>
        <v>323239.3775</v>
      </c>
      <c r="T60" s="71"/>
      <c r="U60" s="71"/>
    </row>
    <row r="61" ht="15.0" customHeight="1">
      <c r="A61" s="7" t="s">
        <v>81</v>
      </c>
      <c r="B61" s="7" t="s">
        <v>82</v>
      </c>
      <c r="C61" s="62">
        <f t="shared" ref="C61:S61" si="69">C45*0.0025</f>
        <v>14565.98707</v>
      </c>
      <c r="D61" s="62">
        <f t="shared" si="69"/>
        <v>14565.98707</v>
      </c>
      <c r="E61" s="62">
        <f t="shared" si="69"/>
        <v>14565.98707</v>
      </c>
      <c r="F61" s="62">
        <f t="shared" si="69"/>
        <v>35710.16186</v>
      </c>
      <c r="G61" s="62">
        <f t="shared" si="69"/>
        <v>14565.98707</v>
      </c>
      <c r="H61" s="62">
        <f t="shared" si="69"/>
        <v>93974.11016</v>
      </c>
      <c r="I61" s="62">
        <f t="shared" si="69"/>
        <v>14369.10014</v>
      </c>
      <c r="J61" s="62">
        <f t="shared" si="69"/>
        <v>14369.10014</v>
      </c>
      <c r="K61" s="62">
        <f t="shared" si="69"/>
        <v>14369.10014</v>
      </c>
      <c r="L61" s="62">
        <f t="shared" si="69"/>
        <v>14369.10014</v>
      </c>
      <c r="M61" s="62">
        <f t="shared" si="69"/>
        <v>57476.40058</v>
      </c>
      <c r="N61" s="62">
        <f t="shared" si="69"/>
        <v>20964.88441</v>
      </c>
      <c r="O61" s="62">
        <f t="shared" si="69"/>
        <v>20964.88441</v>
      </c>
      <c r="P61" s="62">
        <f t="shared" si="69"/>
        <v>105867.9231</v>
      </c>
      <c r="Q61" s="62">
        <f t="shared" si="69"/>
        <v>20964.88441</v>
      </c>
      <c r="R61" s="62">
        <f t="shared" si="69"/>
        <v>20964.88441</v>
      </c>
      <c r="S61" s="62">
        <f t="shared" si="69"/>
        <v>189727.4607</v>
      </c>
      <c r="T61" s="71"/>
      <c r="U61" s="71"/>
    </row>
    <row r="62" ht="15.0" customHeight="1">
      <c r="A62" s="7" t="s">
        <v>83</v>
      </c>
      <c r="B62" s="7" t="s">
        <v>84</v>
      </c>
      <c r="C62" s="62">
        <f t="shared" ref="C62:S62" si="70">C46*0.0025</f>
        <v>14565.98707</v>
      </c>
      <c r="D62" s="62">
        <f t="shared" si="70"/>
        <v>14565.98707</v>
      </c>
      <c r="E62" s="62">
        <f t="shared" si="70"/>
        <v>14565.98707</v>
      </c>
      <c r="F62" s="62">
        <f t="shared" si="70"/>
        <v>35710.16186</v>
      </c>
      <c r="G62" s="62">
        <f t="shared" si="70"/>
        <v>14565.98707</v>
      </c>
      <c r="H62" s="62">
        <f t="shared" si="70"/>
        <v>93974.11016</v>
      </c>
      <c r="I62" s="62">
        <f t="shared" si="70"/>
        <v>14369.10014</v>
      </c>
      <c r="J62" s="62">
        <f t="shared" si="70"/>
        <v>14369.10014</v>
      </c>
      <c r="K62" s="62">
        <f t="shared" si="70"/>
        <v>14369.10014</v>
      </c>
      <c r="L62" s="62">
        <f t="shared" si="70"/>
        <v>14369.10014</v>
      </c>
      <c r="M62" s="62">
        <f t="shared" si="70"/>
        <v>57476.40058</v>
      </c>
      <c r="N62" s="62">
        <f t="shared" si="70"/>
        <v>20964.88441</v>
      </c>
      <c r="O62" s="62">
        <f t="shared" si="70"/>
        <v>20964.88441</v>
      </c>
      <c r="P62" s="62">
        <f t="shared" si="70"/>
        <v>105867.9231</v>
      </c>
      <c r="Q62" s="62">
        <f t="shared" si="70"/>
        <v>20964.88441</v>
      </c>
      <c r="R62" s="62">
        <f t="shared" si="70"/>
        <v>20964.88441</v>
      </c>
      <c r="S62" s="62">
        <f t="shared" si="70"/>
        <v>189727.4607</v>
      </c>
      <c r="T62" s="71"/>
      <c r="U62" s="71"/>
    </row>
    <row r="63" ht="15.0" customHeight="1">
      <c r="A63" s="7" t="s">
        <v>85</v>
      </c>
      <c r="B63" s="7" t="s">
        <v>86</v>
      </c>
      <c r="C63" s="62">
        <f t="shared" ref="C63:S63" si="71">C47*0.001</f>
        <v>9981.895687</v>
      </c>
      <c r="D63" s="62">
        <f t="shared" si="71"/>
        <v>9981.895687</v>
      </c>
      <c r="E63" s="62">
        <f t="shared" si="71"/>
        <v>9981.895687</v>
      </c>
      <c r="F63" s="62">
        <f t="shared" si="71"/>
        <v>24471.74426</v>
      </c>
      <c r="G63" s="62">
        <f t="shared" si="71"/>
        <v>9981.895687</v>
      </c>
      <c r="H63" s="62">
        <f t="shared" si="71"/>
        <v>64399.32701</v>
      </c>
      <c r="I63" s="62">
        <f t="shared" si="71"/>
        <v>9846.971442</v>
      </c>
      <c r="J63" s="62">
        <f t="shared" si="71"/>
        <v>9846.971442</v>
      </c>
      <c r="K63" s="62">
        <f t="shared" si="71"/>
        <v>9846.971442</v>
      </c>
      <c r="L63" s="62">
        <f t="shared" si="71"/>
        <v>9846.971442</v>
      </c>
      <c r="M63" s="62">
        <f t="shared" si="71"/>
        <v>39387.88577</v>
      </c>
      <c r="N63" s="62">
        <f t="shared" si="71"/>
        <v>14366.98304</v>
      </c>
      <c r="O63" s="62">
        <f t="shared" si="71"/>
        <v>14366.98304</v>
      </c>
      <c r="P63" s="62">
        <f t="shared" si="71"/>
        <v>72550.01389</v>
      </c>
      <c r="Q63" s="62">
        <f t="shared" si="71"/>
        <v>14366.98304</v>
      </c>
      <c r="R63" s="62">
        <f t="shared" si="71"/>
        <v>14366.98304</v>
      </c>
      <c r="S63" s="62">
        <f t="shared" si="71"/>
        <v>130017.946</v>
      </c>
      <c r="T63" s="71"/>
      <c r="U63" s="71"/>
    </row>
    <row r="64" ht="15.0" customHeight="1">
      <c r="A64" s="7" t="s">
        <v>87</v>
      </c>
      <c r="B64" s="7" t="s">
        <v>88</v>
      </c>
      <c r="C64" s="62">
        <f t="shared" ref="C64:S64" si="72">C48*0.001</f>
        <v>5886.758995</v>
      </c>
      <c r="D64" s="62">
        <f t="shared" si="72"/>
        <v>5886.758995</v>
      </c>
      <c r="E64" s="62">
        <f t="shared" si="72"/>
        <v>5886.758995</v>
      </c>
      <c r="F64" s="62">
        <f t="shared" si="72"/>
        <v>14432.05431</v>
      </c>
      <c r="G64" s="62">
        <f t="shared" si="72"/>
        <v>5886.758995</v>
      </c>
      <c r="H64" s="62">
        <f t="shared" si="72"/>
        <v>37979.09029</v>
      </c>
      <c r="I64" s="62">
        <f t="shared" si="72"/>
        <v>5807.188286</v>
      </c>
      <c r="J64" s="62">
        <f t="shared" si="72"/>
        <v>5807.188286</v>
      </c>
      <c r="K64" s="62">
        <f t="shared" si="72"/>
        <v>5807.188286</v>
      </c>
      <c r="L64" s="62">
        <f t="shared" si="72"/>
        <v>5807.188286</v>
      </c>
      <c r="M64" s="62">
        <f t="shared" si="72"/>
        <v>23228.75315</v>
      </c>
      <c r="N64" s="62">
        <f t="shared" si="72"/>
        <v>8472.836151</v>
      </c>
      <c r="O64" s="62">
        <f t="shared" si="72"/>
        <v>8472.836151</v>
      </c>
      <c r="P64" s="62">
        <f t="shared" si="72"/>
        <v>42785.90563</v>
      </c>
      <c r="Q64" s="62">
        <f t="shared" si="72"/>
        <v>8472.836151</v>
      </c>
      <c r="R64" s="62">
        <f t="shared" si="72"/>
        <v>8472.836151</v>
      </c>
      <c r="S64" s="62">
        <f t="shared" si="72"/>
        <v>76677.25023</v>
      </c>
      <c r="T64" s="71"/>
      <c r="U64" s="71"/>
    </row>
    <row r="65" ht="15.0" customHeight="1">
      <c r="A65" s="7" t="s">
        <v>89</v>
      </c>
      <c r="B65" s="7" t="s">
        <v>90</v>
      </c>
      <c r="C65" s="62">
        <f t="shared" ref="C65:S65" si="73">C49*0.001</f>
        <v>9725.949643</v>
      </c>
      <c r="D65" s="62">
        <f t="shared" si="73"/>
        <v>9725.949643</v>
      </c>
      <c r="E65" s="62">
        <f t="shared" si="73"/>
        <v>9725.949643</v>
      </c>
      <c r="F65" s="62">
        <f t="shared" si="73"/>
        <v>23844.26364</v>
      </c>
      <c r="G65" s="62">
        <f t="shared" si="73"/>
        <v>9725.949643</v>
      </c>
      <c r="H65" s="62">
        <f t="shared" si="73"/>
        <v>62748.06221</v>
      </c>
      <c r="I65" s="62">
        <f t="shared" si="73"/>
        <v>9594.484995</v>
      </c>
      <c r="J65" s="62">
        <f t="shared" si="73"/>
        <v>9594.484995</v>
      </c>
      <c r="K65" s="62">
        <f t="shared" si="73"/>
        <v>9594.484995</v>
      </c>
      <c r="L65" s="62">
        <f t="shared" si="73"/>
        <v>9594.484995</v>
      </c>
      <c r="M65" s="62">
        <f t="shared" si="73"/>
        <v>38377.93998</v>
      </c>
      <c r="N65" s="62">
        <f t="shared" si="73"/>
        <v>13998.59886</v>
      </c>
      <c r="O65" s="62">
        <f t="shared" si="73"/>
        <v>13998.59886</v>
      </c>
      <c r="P65" s="62">
        <f t="shared" si="73"/>
        <v>70689.75713</v>
      </c>
      <c r="Q65" s="62">
        <f t="shared" si="73"/>
        <v>13998.59886</v>
      </c>
      <c r="R65" s="62">
        <f t="shared" si="73"/>
        <v>13998.59886</v>
      </c>
      <c r="S65" s="62">
        <f t="shared" si="73"/>
        <v>126684.1526</v>
      </c>
      <c r="T65" s="71"/>
      <c r="U65" s="71"/>
    </row>
    <row r="66" ht="15.0" customHeight="1">
      <c r="A66" s="7" t="s">
        <v>91</v>
      </c>
      <c r="B66" s="7"/>
      <c r="C66" s="68">
        <f t="shared" ref="C66:S66" si="74">SUM(C56:C65)</f>
        <v>896698.0802</v>
      </c>
      <c r="D66" s="68">
        <f t="shared" si="74"/>
        <v>896698.0802</v>
      </c>
      <c r="E66" s="68">
        <f t="shared" si="74"/>
        <v>896698.0802</v>
      </c>
      <c r="F66" s="68">
        <f t="shared" si="74"/>
        <v>2198356.584</v>
      </c>
      <c r="G66" s="68">
        <f t="shared" si="74"/>
        <v>896698.0802</v>
      </c>
      <c r="H66" s="68">
        <f t="shared" si="74"/>
        <v>5785148.905</v>
      </c>
      <c r="I66" s="68">
        <f t="shared" si="74"/>
        <v>884577.5057</v>
      </c>
      <c r="J66" s="68">
        <f t="shared" si="74"/>
        <v>884577.5057</v>
      </c>
      <c r="K66" s="68">
        <f t="shared" si="74"/>
        <v>884577.5057</v>
      </c>
      <c r="L66" s="68">
        <f t="shared" si="74"/>
        <v>884577.5057</v>
      </c>
      <c r="M66" s="68">
        <f t="shared" si="74"/>
        <v>3538310.023</v>
      </c>
      <c r="N66" s="68">
        <f t="shared" si="74"/>
        <v>1290621.192</v>
      </c>
      <c r="O66" s="68">
        <f t="shared" si="74"/>
        <v>1290621.192</v>
      </c>
      <c r="P66" s="68">
        <f t="shared" si="74"/>
        <v>6517345.024</v>
      </c>
      <c r="Q66" s="68">
        <f t="shared" si="74"/>
        <v>1290621.192</v>
      </c>
      <c r="R66" s="68">
        <f t="shared" si="74"/>
        <v>1290621.192</v>
      </c>
      <c r="S66" s="68">
        <f t="shared" si="74"/>
        <v>11679829.79</v>
      </c>
      <c r="T66" s="74"/>
      <c r="U66" s="74"/>
    </row>
  </sheetData>
  <mergeCells count="85">
    <mergeCell ref="H3:H4"/>
    <mergeCell ref="I3:I4"/>
    <mergeCell ref="J3:J4"/>
    <mergeCell ref="K3:K4"/>
    <mergeCell ref="L3:L4"/>
    <mergeCell ref="M3:M4"/>
    <mergeCell ref="I20:M20"/>
    <mergeCell ref="N3:N4"/>
    <mergeCell ref="O3:O4"/>
    <mergeCell ref="P3:P4"/>
    <mergeCell ref="Q3:Q4"/>
    <mergeCell ref="N20:S20"/>
    <mergeCell ref="R3:R4"/>
    <mergeCell ref="S3:S4"/>
    <mergeCell ref="X3:X4"/>
    <mergeCell ref="Y3:Y4"/>
    <mergeCell ref="AA3:AA4"/>
    <mergeCell ref="AB3:AB4"/>
    <mergeCell ref="A1:B1"/>
    <mergeCell ref="C2:H2"/>
    <mergeCell ref="I2:M2"/>
    <mergeCell ref="N2:S2"/>
    <mergeCell ref="C3:C4"/>
    <mergeCell ref="D3:D4"/>
    <mergeCell ref="E3:E4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C53:H53"/>
    <mergeCell ref="I53:M53"/>
    <mergeCell ref="N53:S53"/>
    <mergeCell ref="C54:C55"/>
    <mergeCell ref="D54:D55"/>
    <mergeCell ref="E54:E55"/>
    <mergeCell ref="F54:F55"/>
    <mergeCell ref="S54:S55"/>
    <mergeCell ref="N21:N22"/>
    <mergeCell ref="O21:O22"/>
    <mergeCell ref="P21:P22"/>
    <mergeCell ref="Q21:Q22"/>
    <mergeCell ref="R21:R22"/>
    <mergeCell ref="S21:S22"/>
    <mergeCell ref="N37:S37"/>
    <mergeCell ref="G21:G22"/>
    <mergeCell ref="H21:H22"/>
    <mergeCell ref="I21:I22"/>
    <mergeCell ref="J21:J22"/>
    <mergeCell ref="K21:K22"/>
    <mergeCell ref="L21:L22"/>
    <mergeCell ref="M21:M22"/>
    <mergeCell ref="I37:M37"/>
    <mergeCell ref="F3:F4"/>
    <mergeCell ref="G3:G4"/>
    <mergeCell ref="C20:H20"/>
    <mergeCell ref="C21:C22"/>
    <mergeCell ref="D21:D22"/>
    <mergeCell ref="E21:E22"/>
    <mergeCell ref="F21:F22"/>
    <mergeCell ref="P38:P39"/>
    <mergeCell ref="Q38:Q39"/>
    <mergeCell ref="R38:R39"/>
    <mergeCell ref="S38:S39"/>
    <mergeCell ref="I38:I39"/>
    <mergeCell ref="J38:J39"/>
    <mergeCell ref="K38:K39"/>
    <mergeCell ref="L38:L39"/>
    <mergeCell ref="M38:M39"/>
    <mergeCell ref="N38:N39"/>
    <mergeCell ref="O38:O39"/>
    <mergeCell ref="C37:H37"/>
    <mergeCell ref="C38:C39"/>
    <mergeCell ref="D38:D39"/>
    <mergeCell ref="E38:E39"/>
    <mergeCell ref="F38:F39"/>
    <mergeCell ref="G38:G39"/>
    <mergeCell ref="H38:H39"/>
    <mergeCell ref="G54:G55"/>
    <mergeCell ref="H54:H5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11.13"/>
    <col customWidth="1" min="4" max="6" width="11.5"/>
    <col customWidth="1" min="7" max="7" width="14.13"/>
    <col customWidth="1" min="8" max="8" width="11.5"/>
    <col customWidth="1" min="9" max="9" width="13.38"/>
    <col customWidth="1" min="10" max="10" width="34.38"/>
    <col customWidth="1" min="11" max="11" width="10.13"/>
    <col customWidth="1" min="12" max="12" width="17.0"/>
    <col customWidth="1" min="13" max="13" width="8.63"/>
    <col customWidth="1" min="14" max="14" width="17.0"/>
    <col customWidth="1" min="15" max="15" width="10.13"/>
    <col customWidth="1" min="16" max="16" width="17.0"/>
    <col customWidth="1" min="17" max="26" width="11.5"/>
  </cols>
  <sheetData>
    <row r="1" ht="14.25" customHeight="1">
      <c r="A1" s="7"/>
      <c r="B1" s="15" t="s">
        <v>94</v>
      </c>
      <c r="C1" s="7"/>
      <c r="D1" s="7"/>
      <c r="E1" s="7"/>
      <c r="I1" s="7"/>
      <c r="J1" s="57" t="s">
        <v>67</v>
      </c>
      <c r="K1" s="76" t="s">
        <v>64</v>
      </c>
      <c r="L1" s="14"/>
      <c r="M1" s="76" t="s">
        <v>95</v>
      </c>
      <c r="N1" s="14"/>
      <c r="O1" s="76" t="s">
        <v>66</v>
      </c>
      <c r="P1" s="14"/>
    </row>
    <row r="2" ht="14.25" customHeight="1">
      <c r="A2" s="15" t="s">
        <v>96</v>
      </c>
      <c r="B2" s="7" t="s">
        <v>64</v>
      </c>
      <c r="C2" s="7" t="s">
        <v>65</v>
      </c>
      <c r="D2" s="7" t="s">
        <v>66</v>
      </c>
      <c r="E2" s="7"/>
      <c r="I2" s="7" t="s">
        <v>69</v>
      </c>
      <c r="J2" s="7" t="s">
        <v>70</v>
      </c>
      <c r="K2" s="7" t="s">
        <v>97</v>
      </c>
      <c r="L2" s="7" t="s">
        <v>98</v>
      </c>
      <c r="M2" s="7" t="s">
        <v>97</v>
      </c>
      <c r="N2" s="7" t="s">
        <v>98</v>
      </c>
      <c r="O2" s="7" t="s">
        <v>97</v>
      </c>
      <c r="P2" s="7" t="s">
        <v>98</v>
      </c>
    </row>
    <row r="3" ht="14.25" customHeight="1">
      <c r="A3" s="15" t="s">
        <v>99</v>
      </c>
      <c r="B3" s="77">
        <v>0.182</v>
      </c>
      <c r="C3" s="77">
        <v>0.138</v>
      </c>
      <c r="D3" s="77">
        <v>0.112</v>
      </c>
      <c r="E3" s="77"/>
      <c r="I3" s="7" t="s">
        <v>71</v>
      </c>
      <c r="J3" s="7" t="s">
        <v>72</v>
      </c>
      <c r="K3" s="68">
        <v>237238.65744442242</v>
      </c>
      <c r="L3" s="78">
        <f t="shared" ref="L3:L6" si="1">K3/SUM($K$3:$K$6)</f>
        <v>0.3698630137</v>
      </c>
      <c r="M3" s="68">
        <v>145099.794874523</v>
      </c>
      <c r="N3" s="78">
        <f t="shared" ref="N3:N6" si="2">M3/SUM($M$3:$M$6)</f>
        <v>0.3698630137</v>
      </c>
      <c r="O3" s="68">
        <v>478969.02647801384</v>
      </c>
      <c r="P3" s="78">
        <f t="shared" ref="P3:P6" si="3">O3/SUM($O$3:$O$6)</f>
        <v>0.3698630137</v>
      </c>
    </row>
    <row r="4" ht="14.25" customHeight="1">
      <c r="A4" s="15" t="s">
        <v>100</v>
      </c>
      <c r="B4" s="77">
        <v>0.061</v>
      </c>
      <c r="C4" s="77">
        <v>0.058</v>
      </c>
      <c r="D4" s="77">
        <v>0.048</v>
      </c>
      <c r="E4" s="77"/>
      <c r="I4" s="7" t="s">
        <v>73</v>
      </c>
      <c r="J4" s="7" t="s">
        <v>74</v>
      </c>
      <c r="K4" s="68">
        <v>184518.955790106</v>
      </c>
      <c r="L4" s="78">
        <f t="shared" si="1"/>
        <v>0.2876712329</v>
      </c>
      <c r="M4" s="68">
        <v>112855.39601351797</v>
      </c>
      <c r="N4" s="78">
        <f t="shared" si="2"/>
        <v>0.2876712329</v>
      </c>
      <c r="O4" s="68">
        <v>372531.46503845527</v>
      </c>
      <c r="P4" s="78">
        <f t="shared" si="3"/>
        <v>0.2876712329</v>
      </c>
    </row>
    <row r="5" ht="14.25" customHeight="1">
      <c r="A5" s="15" t="s">
        <v>101</v>
      </c>
      <c r="B5" s="77">
        <v>0.118</v>
      </c>
      <c r="C5" s="77">
        <v>0.098</v>
      </c>
      <c r="D5" s="77">
        <v>0.088</v>
      </c>
      <c r="E5" s="77"/>
      <c r="I5" s="7" t="s">
        <v>75</v>
      </c>
      <c r="J5" s="7" t="s">
        <v>76</v>
      </c>
      <c r="K5" s="68">
        <v>82374.5338348689</v>
      </c>
      <c r="L5" s="78">
        <f t="shared" si="1"/>
        <v>0.1284246575</v>
      </c>
      <c r="M5" s="68">
        <v>50381.873220320515</v>
      </c>
      <c r="N5" s="78">
        <f t="shared" si="2"/>
        <v>0.1284246575</v>
      </c>
      <c r="O5" s="68">
        <v>166308.68974931038</v>
      </c>
      <c r="P5" s="78">
        <f t="shared" si="3"/>
        <v>0.1284246575</v>
      </c>
    </row>
    <row r="6" ht="14.25" customHeight="1">
      <c r="A6" s="15"/>
      <c r="B6" s="77">
        <f t="shared" ref="B6:D6" si="4">SUM(B3:B5)</f>
        <v>0.361</v>
      </c>
      <c r="C6" s="77">
        <f t="shared" si="4"/>
        <v>0.294</v>
      </c>
      <c r="D6" s="77">
        <f t="shared" si="4"/>
        <v>0.248</v>
      </c>
      <c r="E6" s="77"/>
      <c r="I6" s="7" t="s">
        <v>77</v>
      </c>
      <c r="J6" s="7" t="s">
        <v>78</v>
      </c>
      <c r="K6" s="68">
        <v>137290.88972478147</v>
      </c>
      <c r="L6" s="78">
        <f t="shared" si="1"/>
        <v>0.2140410959</v>
      </c>
      <c r="M6" s="68">
        <v>83969.78870053418</v>
      </c>
      <c r="N6" s="78">
        <f t="shared" si="2"/>
        <v>0.2140410959</v>
      </c>
      <c r="O6" s="68">
        <v>277181.1495821839</v>
      </c>
      <c r="P6" s="78">
        <f t="shared" si="3"/>
        <v>0.2140410959</v>
      </c>
    </row>
    <row r="7" ht="14.25" customHeight="1">
      <c r="I7" s="7" t="s">
        <v>79</v>
      </c>
      <c r="J7" s="7" t="s">
        <v>80</v>
      </c>
      <c r="K7" s="68">
        <v>106736.02635274707</v>
      </c>
      <c r="L7" s="78">
        <f t="shared" ref="L7:L9" si="5">K7/SUM($K$7:$K$9)</f>
        <v>0.6301369863</v>
      </c>
      <c r="M7" s="68">
        <v>65281.83769179142</v>
      </c>
      <c r="N7" s="78">
        <f t="shared" ref="N7:N9" si="6">M7/SUM($M$7:$M$9)</f>
        <v>0.6301369863</v>
      </c>
      <c r="O7" s="68">
        <v>215492.91832543557</v>
      </c>
      <c r="P7" s="78">
        <f t="shared" ref="P7:P9" si="7">O7/SUM($O$7:$O$9)</f>
        <v>0.6301369863</v>
      </c>
    </row>
    <row r="8" ht="14.25" customHeight="1">
      <c r="I8" s="7" t="s">
        <v>81</v>
      </c>
      <c r="J8" s="7" t="s">
        <v>82</v>
      </c>
      <c r="K8" s="68">
        <v>31324.70338613229</v>
      </c>
      <c r="L8" s="78">
        <f t="shared" si="5"/>
        <v>0.1849315068</v>
      </c>
      <c r="M8" s="68">
        <v>19158.80019215618</v>
      </c>
      <c r="N8" s="78">
        <f t="shared" si="6"/>
        <v>0.1849315068</v>
      </c>
      <c r="O8" s="68">
        <v>63242.48689985609</v>
      </c>
      <c r="P8" s="78">
        <f t="shared" si="7"/>
        <v>0.1849315068</v>
      </c>
    </row>
    <row r="9" ht="14.25" customHeight="1">
      <c r="A9" s="15" t="s">
        <v>96</v>
      </c>
      <c r="B9" s="7" t="s">
        <v>64</v>
      </c>
      <c r="C9" s="7" t="s">
        <v>65</v>
      </c>
      <c r="D9" s="7" t="s">
        <v>66</v>
      </c>
      <c r="E9" s="7"/>
      <c r="I9" s="7" t="s">
        <v>83</v>
      </c>
      <c r="J9" s="7" t="s">
        <v>84</v>
      </c>
      <c r="K9" s="68">
        <v>31324.70338613229</v>
      </c>
      <c r="L9" s="78">
        <f t="shared" si="5"/>
        <v>0.1849315068</v>
      </c>
      <c r="M9" s="68">
        <v>19158.80019215618</v>
      </c>
      <c r="N9" s="78">
        <f t="shared" si="6"/>
        <v>0.1849315068</v>
      </c>
      <c r="O9" s="68">
        <v>63242.48689985609</v>
      </c>
      <c r="P9" s="78">
        <f t="shared" si="7"/>
        <v>0.1849315068</v>
      </c>
    </row>
    <row r="10" ht="14.25" customHeight="1">
      <c r="A10" s="15" t="s">
        <v>99</v>
      </c>
      <c r="B10" s="62">
        <f t="shared" ref="B10:B12" si="8">$K$13*B3</f>
        <v>175867.068</v>
      </c>
      <c r="C10" s="62">
        <f t="shared" ref="C10:C12" si="9">$M$13*C3</f>
        <v>81559.31367</v>
      </c>
      <c r="D10" s="62">
        <f t="shared" ref="D10:D12" si="10">$O$13*D3</f>
        <v>218500.8496</v>
      </c>
      <c r="E10" s="62">
        <f t="shared" ref="E10:E13" si="11">SUM(B10:D10)</f>
        <v>475927.2313</v>
      </c>
      <c r="I10" s="7" t="s">
        <v>85</v>
      </c>
      <c r="J10" s="7" t="s">
        <v>86</v>
      </c>
      <c r="K10" s="68">
        <v>71554.80778903456</v>
      </c>
      <c r="L10" s="78">
        <f t="shared" ref="L10:L12" si="12">K10/SUM($K$10:$K$12)</f>
        <v>0.4601769912</v>
      </c>
      <c r="M10" s="68">
        <v>43764.31752024711</v>
      </c>
      <c r="N10" s="78">
        <f t="shared" ref="N10:N12" si="13">M10/SUM($M$10:$M$12)</f>
        <v>0.4601769912</v>
      </c>
      <c r="O10" s="68">
        <v>144464.3844967141</v>
      </c>
      <c r="P10" s="78">
        <f t="shared" ref="P10:P12" si="14">O10/SUM($O$10:$O$12)</f>
        <v>0.4601769912</v>
      </c>
    </row>
    <row r="11" ht="14.25" customHeight="1">
      <c r="A11" s="15" t="s">
        <v>100</v>
      </c>
      <c r="B11" s="62">
        <f t="shared" si="8"/>
        <v>58944.45686</v>
      </c>
      <c r="C11" s="62">
        <f t="shared" si="9"/>
        <v>34278.55212</v>
      </c>
      <c r="D11" s="62">
        <f t="shared" si="10"/>
        <v>93643.22127</v>
      </c>
      <c r="E11" s="62">
        <f t="shared" si="11"/>
        <v>186866.2303</v>
      </c>
      <c r="I11" s="7" t="s">
        <v>87</v>
      </c>
      <c r="J11" s="7" t="s">
        <v>88</v>
      </c>
      <c r="K11" s="68">
        <v>31649.241906688356</v>
      </c>
      <c r="L11" s="78">
        <f t="shared" si="12"/>
        <v>0.203539823</v>
      </c>
      <c r="M11" s="68">
        <v>19357.294287801607</v>
      </c>
      <c r="N11" s="78">
        <f t="shared" si="13"/>
        <v>0.203539823</v>
      </c>
      <c r="O11" s="68">
        <v>63897.708527392766</v>
      </c>
      <c r="P11" s="78">
        <f t="shared" si="14"/>
        <v>0.203539823</v>
      </c>
    </row>
    <row r="12" ht="14.25" customHeight="1">
      <c r="A12" s="15" t="s">
        <v>101</v>
      </c>
      <c r="B12" s="62">
        <f t="shared" si="8"/>
        <v>114023.7034</v>
      </c>
      <c r="C12" s="62">
        <f t="shared" si="9"/>
        <v>57918.9329</v>
      </c>
      <c r="D12" s="62">
        <f t="shared" si="10"/>
        <v>171679.239</v>
      </c>
      <c r="E12" s="62">
        <f t="shared" si="11"/>
        <v>343621.8753</v>
      </c>
      <c r="I12" s="7" t="s">
        <v>89</v>
      </c>
      <c r="J12" s="7" t="s">
        <v>90</v>
      </c>
      <c r="K12" s="68">
        <v>52290.05184583294</v>
      </c>
      <c r="L12" s="78">
        <f t="shared" si="12"/>
        <v>0.3362831858</v>
      </c>
      <c r="M12" s="68">
        <v>31981.61664941135</v>
      </c>
      <c r="N12" s="78">
        <f t="shared" si="13"/>
        <v>0.3362831858</v>
      </c>
      <c r="O12" s="68">
        <v>105570.12713221414</v>
      </c>
      <c r="P12" s="78">
        <f t="shared" si="14"/>
        <v>0.3362831858</v>
      </c>
    </row>
    <row r="13" ht="14.25" customHeight="1">
      <c r="A13" s="15" t="s">
        <v>102</v>
      </c>
      <c r="B13" s="62">
        <f>(1-B6)*K13</f>
        <v>617467.3432</v>
      </c>
      <c r="C13" s="62">
        <f>(1-C6)*M13</f>
        <v>417252.7207</v>
      </c>
      <c r="D13" s="62">
        <f>(1-D6)*O13</f>
        <v>1467077.133</v>
      </c>
      <c r="E13" s="62">
        <f t="shared" si="11"/>
        <v>2501797.197</v>
      </c>
      <c r="I13" s="7" t="s">
        <v>91</v>
      </c>
      <c r="J13" s="7"/>
      <c r="K13" s="68">
        <v>966302.5714607467</v>
      </c>
      <c r="L13" s="7"/>
      <c r="M13" s="68">
        <v>591009.5193424596</v>
      </c>
      <c r="N13" s="7"/>
      <c r="O13" s="68">
        <v>1950900.443129432</v>
      </c>
      <c r="P13" s="7"/>
    </row>
    <row r="14" ht="14.25" customHeight="1"/>
    <row r="15" ht="14.25" customHeight="1"/>
    <row r="16" ht="14.25" customHeight="1"/>
    <row r="17" ht="14.25" customHeight="1">
      <c r="A17" s="15" t="s">
        <v>62</v>
      </c>
      <c r="B17" s="58" t="s">
        <v>99</v>
      </c>
      <c r="C17" s="31"/>
      <c r="D17" s="31"/>
      <c r="E17" s="14"/>
      <c r="G17" s="15" t="s">
        <v>62</v>
      </c>
      <c r="H17" s="58" t="s">
        <v>101</v>
      </c>
      <c r="I17" s="31"/>
      <c r="J17" s="31"/>
      <c r="K17" s="14"/>
    </row>
    <row r="18" ht="14.25" customHeight="1">
      <c r="A18" s="15" t="s">
        <v>103</v>
      </c>
      <c r="B18" s="58" t="s">
        <v>104</v>
      </c>
      <c r="C18" s="14"/>
      <c r="D18" s="7" t="s">
        <v>95</v>
      </c>
      <c r="E18" s="7" t="s">
        <v>66</v>
      </c>
      <c r="G18" s="15" t="s">
        <v>103</v>
      </c>
      <c r="H18" s="58" t="s">
        <v>104</v>
      </c>
      <c r="I18" s="14"/>
      <c r="J18" s="79" t="s">
        <v>95</v>
      </c>
      <c r="K18" s="7" t="s">
        <v>66</v>
      </c>
    </row>
    <row r="19" ht="14.25" customHeight="1">
      <c r="A19" s="7" t="s">
        <v>71</v>
      </c>
      <c r="B19" s="80">
        <f t="shared" ref="B19:B22" si="15">$B$10*(K3/SUM($K$3:$K$6))</f>
        <v>65046.72378</v>
      </c>
      <c r="C19" s="14"/>
      <c r="D19" s="62">
        <f t="shared" ref="D19:D22" si="16">$C$10*(M3/SUM($M$3:$M$6))</f>
        <v>30165.77355</v>
      </c>
      <c r="E19" s="62">
        <f t="shared" ref="E19:E22" si="17">$D$10*(O3/SUM($O$3:$O$6))</f>
        <v>80815.38274</v>
      </c>
      <c r="G19" s="7" t="s">
        <v>71</v>
      </c>
      <c r="H19" s="80">
        <f t="shared" ref="H19:H22" si="18">$B$12*58%*(K3/SUM($K$3:$K$6))</f>
        <v>24460.42734</v>
      </c>
      <c r="I19" s="14"/>
      <c r="J19" s="62">
        <f t="shared" ref="J19:J22" si="19">$C$12*58%*(M3/SUM($M$3:$M$6))</f>
        <v>12424.80122</v>
      </c>
      <c r="K19" s="62">
        <f t="shared" ref="K19:K22" si="20">$D$12*58%*(O3/SUM($O$3:$O$6))</f>
        <v>36828.72442</v>
      </c>
    </row>
    <row r="20" ht="14.25" customHeight="1">
      <c r="A20" s="7" t="s">
        <v>73</v>
      </c>
      <c r="B20" s="80">
        <f t="shared" si="15"/>
        <v>50591.89628</v>
      </c>
      <c r="C20" s="14"/>
      <c r="D20" s="62">
        <f t="shared" si="16"/>
        <v>23462.26832</v>
      </c>
      <c r="E20" s="62">
        <f t="shared" si="17"/>
        <v>62856.4088</v>
      </c>
      <c r="G20" s="7" t="s">
        <v>73</v>
      </c>
      <c r="H20" s="80">
        <f t="shared" si="18"/>
        <v>19024.77682</v>
      </c>
      <c r="I20" s="14"/>
      <c r="J20" s="62">
        <f t="shared" si="19"/>
        <v>9663.734283</v>
      </c>
      <c r="K20" s="62">
        <f t="shared" si="20"/>
        <v>28644.56344</v>
      </c>
    </row>
    <row r="21" ht="14.25" customHeight="1">
      <c r="A21" s="7" t="s">
        <v>75</v>
      </c>
      <c r="B21" s="80">
        <f t="shared" si="15"/>
        <v>22585.66798</v>
      </c>
      <c r="C21" s="14"/>
      <c r="D21" s="62">
        <f t="shared" si="16"/>
        <v>10474.22693</v>
      </c>
      <c r="E21" s="62">
        <f t="shared" si="17"/>
        <v>28060.89678</v>
      </c>
      <c r="G21" s="7" t="s">
        <v>75</v>
      </c>
      <c r="H21" s="80">
        <f t="shared" si="18"/>
        <v>8493.203937</v>
      </c>
      <c r="I21" s="14"/>
      <c r="J21" s="62">
        <f t="shared" si="19"/>
        <v>4314.167091</v>
      </c>
      <c r="K21" s="62">
        <f t="shared" si="20"/>
        <v>12787.75153</v>
      </c>
      <c r="N21" s="71"/>
    </row>
    <row r="22" ht="14.25" customHeight="1">
      <c r="A22" s="7" t="s">
        <v>77</v>
      </c>
      <c r="B22" s="80">
        <f t="shared" si="15"/>
        <v>37642.77997</v>
      </c>
      <c r="C22" s="14"/>
      <c r="D22" s="62">
        <f t="shared" si="16"/>
        <v>17457.04488</v>
      </c>
      <c r="E22" s="62">
        <f t="shared" si="17"/>
        <v>46768.16131</v>
      </c>
      <c r="G22" s="7" t="s">
        <v>77</v>
      </c>
      <c r="H22" s="80">
        <f t="shared" si="18"/>
        <v>14155.3399</v>
      </c>
      <c r="I22" s="14"/>
      <c r="J22" s="62">
        <f t="shared" si="19"/>
        <v>7190.278484</v>
      </c>
      <c r="K22" s="62">
        <f t="shared" si="20"/>
        <v>21312.91922</v>
      </c>
      <c r="N22" s="71"/>
    </row>
    <row r="23" ht="14.25" customHeight="1">
      <c r="A23" s="7" t="s">
        <v>79</v>
      </c>
      <c r="B23" s="58"/>
      <c r="C23" s="14"/>
      <c r="D23" s="62"/>
      <c r="E23" s="62"/>
      <c r="G23" s="7" t="s">
        <v>79</v>
      </c>
      <c r="H23" s="80">
        <f t="shared" ref="H23:H25" si="21">$B$12*23.1%*(K7/SUM($K$7:$K$9))</f>
        <v>16597.47771</v>
      </c>
      <c r="I23" s="14"/>
      <c r="J23" s="62">
        <f t="shared" ref="J23:J25" si="22">$C$12*23.1%*(M7/SUM($M$7:$M$9))</f>
        <v>8430.775081</v>
      </c>
      <c r="K23" s="62">
        <f t="shared" ref="K23:K25" si="23">$D$12*23.1%*(O7/SUM($O$7:$O$9))</f>
        <v>24989.91224</v>
      </c>
      <c r="N23" s="71"/>
    </row>
    <row r="24" ht="14.25" customHeight="1">
      <c r="A24" s="7" t="s">
        <v>81</v>
      </c>
      <c r="B24" s="58"/>
      <c r="C24" s="14"/>
      <c r="D24" s="62"/>
      <c r="E24" s="62"/>
      <c r="G24" s="7" t="s">
        <v>81</v>
      </c>
      <c r="H24" s="80">
        <f t="shared" si="21"/>
        <v>4870.998893</v>
      </c>
      <c r="I24" s="14"/>
      <c r="J24" s="62">
        <f t="shared" si="22"/>
        <v>2474.249209</v>
      </c>
      <c r="K24" s="62">
        <f t="shared" si="23"/>
        <v>7333.995984</v>
      </c>
      <c r="N24" s="71"/>
    </row>
    <row r="25" ht="14.25" customHeight="1">
      <c r="A25" s="7" t="s">
        <v>83</v>
      </c>
      <c r="B25" s="58"/>
      <c r="C25" s="14"/>
      <c r="D25" s="62"/>
      <c r="E25" s="62"/>
      <c r="G25" s="7" t="s">
        <v>83</v>
      </c>
      <c r="H25" s="80">
        <f t="shared" si="21"/>
        <v>4870.998893</v>
      </c>
      <c r="I25" s="14"/>
      <c r="J25" s="62">
        <f t="shared" si="22"/>
        <v>2474.249209</v>
      </c>
      <c r="K25" s="62">
        <f t="shared" si="23"/>
        <v>7333.995984</v>
      </c>
      <c r="N25" s="71"/>
    </row>
    <row r="26" ht="14.25" customHeight="1">
      <c r="A26" s="7" t="s">
        <v>85</v>
      </c>
      <c r="B26" s="58"/>
      <c r="C26" s="14"/>
      <c r="D26" s="62"/>
      <c r="E26" s="62"/>
      <c r="G26" s="7" t="s">
        <v>85</v>
      </c>
      <c r="H26" s="80">
        <f t="shared" ref="H26:H28" si="24">$B$12*18.9%*(K10/SUM($K$10:$K$12))</f>
        <v>9917.035021</v>
      </c>
      <c r="I26" s="14"/>
      <c r="J26" s="62">
        <f t="shared" ref="J26:J28" si="25">$C$12*18.9%*(M10/SUM($M$10:$M$12))</f>
        <v>5037.409491</v>
      </c>
      <c r="K26" s="62">
        <f t="shared" ref="K26:K28" si="26">$D$12*18.9%*(O10/SUM($O$10:$O$12))</f>
        <v>14931.53594</v>
      </c>
    </row>
    <row r="27" ht="14.25" customHeight="1">
      <c r="A27" s="7" t="s">
        <v>87</v>
      </c>
      <c r="B27" s="58"/>
      <c r="C27" s="14"/>
      <c r="D27" s="62"/>
      <c r="E27" s="62"/>
      <c r="G27" s="7" t="s">
        <v>87</v>
      </c>
      <c r="H27" s="80">
        <f t="shared" si="24"/>
        <v>4386.380875</v>
      </c>
      <c r="I27" s="14"/>
      <c r="J27" s="62">
        <f t="shared" si="25"/>
        <v>2228.084967</v>
      </c>
      <c r="K27" s="62">
        <f t="shared" si="26"/>
        <v>6604.333203</v>
      </c>
    </row>
    <row r="28" ht="14.25" customHeight="1">
      <c r="A28" s="7" t="s">
        <v>89</v>
      </c>
      <c r="B28" s="58"/>
      <c r="C28" s="14"/>
      <c r="D28" s="62"/>
      <c r="E28" s="62"/>
      <c r="G28" s="7" t="s">
        <v>89</v>
      </c>
      <c r="H28" s="80">
        <f t="shared" si="24"/>
        <v>7247.064054</v>
      </c>
      <c r="I28" s="14"/>
      <c r="J28" s="62">
        <f t="shared" si="25"/>
        <v>3681.183859</v>
      </c>
      <c r="K28" s="62">
        <f t="shared" si="26"/>
        <v>10911.50703</v>
      </c>
    </row>
    <row r="29" ht="14.25" customHeight="1">
      <c r="B29" s="81">
        <f>SUM(B19:C28)</f>
        <v>175867.068</v>
      </c>
      <c r="C29" s="82"/>
    </row>
    <row r="30" ht="14.25" customHeight="1"/>
    <row r="31" ht="14.25" customHeight="1">
      <c r="A31" s="15" t="s">
        <v>62</v>
      </c>
      <c r="B31" s="58" t="s">
        <v>100</v>
      </c>
      <c r="C31" s="31"/>
      <c r="D31" s="31"/>
      <c r="E31" s="14"/>
      <c r="G31" s="15" t="s">
        <v>62</v>
      </c>
      <c r="H31" s="58" t="s">
        <v>105</v>
      </c>
      <c r="I31" s="31"/>
      <c r="J31" s="31"/>
      <c r="K31" s="14"/>
    </row>
    <row r="32" ht="14.25" customHeight="1">
      <c r="A32" s="15" t="s">
        <v>103</v>
      </c>
      <c r="B32" s="58" t="s">
        <v>104</v>
      </c>
      <c r="C32" s="14"/>
      <c r="D32" s="7" t="s">
        <v>95</v>
      </c>
      <c r="E32" s="7" t="s">
        <v>66</v>
      </c>
      <c r="G32" s="15" t="s">
        <v>103</v>
      </c>
      <c r="H32" s="58" t="s">
        <v>104</v>
      </c>
      <c r="I32" s="14"/>
      <c r="J32" s="79" t="s">
        <v>95</v>
      </c>
      <c r="K32" s="7" t="s">
        <v>66</v>
      </c>
    </row>
    <row r="33" ht="14.25" customHeight="1">
      <c r="A33" s="7" t="s">
        <v>71</v>
      </c>
      <c r="B33" s="80"/>
      <c r="C33" s="14"/>
      <c r="D33" s="62"/>
      <c r="E33" s="62"/>
      <c r="G33" s="7" t="s">
        <v>71</v>
      </c>
      <c r="H33" s="80">
        <f t="shared" ref="H33:H42" si="27">K3-B19-H19-B33</f>
        <v>147731.5063</v>
      </c>
      <c r="I33" s="14"/>
      <c r="J33" s="62">
        <f t="shared" ref="J33:J42" si="28">M3-D19-J19-D33</f>
        <v>102509.2201</v>
      </c>
      <c r="K33" s="62">
        <f t="shared" ref="K33:K42" si="29">O3-E19-K19-E33</f>
        <v>361324.9193</v>
      </c>
      <c r="L33" s="66"/>
    </row>
    <row r="34" ht="14.25" customHeight="1">
      <c r="A34" s="7" t="s">
        <v>73</v>
      </c>
      <c r="B34" s="80"/>
      <c r="C34" s="14"/>
      <c r="D34" s="62"/>
      <c r="E34" s="62"/>
      <c r="G34" s="7" t="s">
        <v>73</v>
      </c>
      <c r="H34" s="80">
        <f t="shared" si="27"/>
        <v>114902.2827</v>
      </c>
      <c r="I34" s="14"/>
      <c r="J34" s="62">
        <f t="shared" si="28"/>
        <v>79729.39341</v>
      </c>
      <c r="K34" s="62">
        <f t="shared" si="29"/>
        <v>281030.4928</v>
      </c>
      <c r="L34" s="66"/>
    </row>
    <row r="35" ht="14.25" customHeight="1">
      <c r="A35" s="7" t="s">
        <v>75</v>
      </c>
      <c r="B35" s="80"/>
      <c r="C35" s="14"/>
      <c r="D35" s="62"/>
      <c r="E35" s="62"/>
      <c r="G35" s="7" t="s">
        <v>75</v>
      </c>
      <c r="H35" s="80">
        <f t="shared" si="27"/>
        <v>51295.66192</v>
      </c>
      <c r="I35" s="14"/>
      <c r="J35" s="62">
        <f t="shared" si="28"/>
        <v>35593.4792</v>
      </c>
      <c r="K35" s="62">
        <f t="shared" si="29"/>
        <v>125460.0414</v>
      </c>
      <c r="L35" s="66"/>
    </row>
    <row r="36" ht="14.25" customHeight="1">
      <c r="A36" s="7" t="s">
        <v>77</v>
      </c>
      <c r="B36" s="80"/>
      <c r="C36" s="14"/>
      <c r="D36" s="62"/>
      <c r="E36" s="62"/>
      <c r="G36" s="7" t="s">
        <v>77</v>
      </c>
      <c r="H36" s="80">
        <f t="shared" si="27"/>
        <v>85492.76986</v>
      </c>
      <c r="I36" s="14"/>
      <c r="J36" s="62">
        <f t="shared" si="28"/>
        <v>59322.46534</v>
      </c>
      <c r="K36" s="62">
        <f t="shared" si="29"/>
        <v>209100.069</v>
      </c>
      <c r="L36" s="66"/>
    </row>
    <row r="37" ht="14.25" customHeight="1">
      <c r="A37" s="7" t="s">
        <v>79</v>
      </c>
      <c r="B37" s="80">
        <f t="shared" ref="B37:B39" si="30">$B$11*72%*(K7/SUM($K$7:$K$9))</f>
        <v>26743.01933</v>
      </c>
      <c r="C37" s="14"/>
      <c r="D37" s="62">
        <f t="shared" ref="D37:D39" si="31">$C$11*72%*(M7/SUM($M$7:$M$9))</f>
        <v>15552.13214</v>
      </c>
      <c r="E37" s="62">
        <f t="shared" ref="E37:E39" si="32">$D$11*72%*(O7/SUM($O$7:$O$9))</f>
        <v>42485.80121</v>
      </c>
      <c r="G37" s="7" t="s">
        <v>79</v>
      </c>
      <c r="H37" s="80">
        <f t="shared" si="27"/>
        <v>63395.52931</v>
      </c>
      <c r="I37" s="14"/>
      <c r="J37" s="62">
        <f t="shared" si="28"/>
        <v>41298.93047</v>
      </c>
      <c r="K37" s="62">
        <f t="shared" si="29"/>
        <v>148017.2049</v>
      </c>
    </row>
    <row r="38" ht="14.25" customHeight="1">
      <c r="A38" s="7" t="s">
        <v>81</v>
      </c>
      <c r="B38" s="80">
        <f t="shared" si="30"/>
        <v>7848.494804</v>
      </c>
      <c r="C38" s="14"/>
      <c r="D38" s="62">
        <f t="shared" si="31"/>
        <v>4564.212693</v>
      </c>
      <c r="E38" s="62">
        <f t="shared" si="32"/>
        <v>12468.65905</v>
      </c>
      <c r="G38" s="7" t="s">
        <v>81</v>
      </c>
      <c r="H38" s="80">
        <f t="shared" si="27"/>
        <v>18605.20969</v>
      </c>
      <c r="I38" s="14"/>
      <c r="J38" s="62">
        <f t="shared" si="28"/>
        <v>12120.33829</v>
      </c>
      <c r="K38" s="62">
        <f t="shared" si="29"/>
        <v>43439.83186</v>
      </c>
    </row>
    <row r="39" ht="14.25" customHeight="1">
      <c r="A39" s="7" t="s">
        <v>83</v>
      </c>
      <c r="B39" s="80">
        <f t="shared" si="30"/>
        <v>7848.494804</v>
      </c>
      <c r="C39" s="14"/>
      <c r="D39" s="62">
        <f t="shared" si="31"/>
        <v>4564.212693</v>
      </c>
      <c r="E39" s="62">
        <f t="shared" si="32"/>
        <v>12468.65905</v>
      </c>
      <c r="G39" s="7" t="s">
        <v>83</v>
      </c>
      <c r="H39" s="80">
        <f t="shared" si="27"/>
        <v>18605.20969</v>
      </c>
      <c r="I39" s="14"/>
      <c r="J39" s="62">
        <f t="shared" si="28"/>
        <v>12120.33829</v>
      </c>
      <c r="K39" s="62">
        <f t="shared" si="29"/>
        <v>43439.83186</v>
      </c>
    </row>
    <row r="40" ht="14.25" customHeight="1">
      <c r="A40" s="7" t="s">
        <v>85</v>
      </c>
      <c r="B40" s="80">
        <f t="shared" ref="B40:B42" si="33">$B$11*28%*(K10/SUM($K$10:$K$12))</f>
        <v>7594.967185</v>
      </c>
      <c r="C40" s="14"/>
      <c r="D40" s="62">
        <f t="shared" ref="D40:D42" si="34">$C$11*28%*(M10/SUM($M$10:$M$12))</f>
        <v>4416.776273</v>
      </c>
      <c r="E40" s="62">
        <f t="shared" ref="E40:E42" si="35">$D$11*28%*(O10/SUM($O$10:$O$12))</f>
        <v>12065.88763</v>
      </c>
      <c r="G40" s="7" t="s">
        <v>85</v>
      </c>
      <c r="H40" s="80">
        <f t="shared" si="27"/>
        <v>54042.80558</v>
      </c>
      <c r="I40" s="14"/>
      <c r="J40" s="62">
        <f t="shared" si="28"/>
        <v>34310.13176</v>
      </c>
      <c r="K40" s="62">
        <f t="shared" si="29"/>
        <v>117466.9609</v>
      </c>
    </row>
    <row r="41" ht="14.25" customHeight="1">
      <c r="A41" s="7" t="s">
        <v>87</v>
      </c>
      <c r="B41" s="80">
        <f t="shared" si="33"/>
        <v>3359.312409</v>
      </c>
      <c r="C41" s="14"/>
      <c r="D41" s="62">
        <f t="shared" si="34"/>
        <v>1953.574121</v>
      </c>
      <c r="E41" s="62">
        <f t="shared" si="35"/>
        <v>5336.834911</v>
      </c>
      <c r="G41" s="7" t="s">
        <v>87</v>
      </c>
      <c r="H41" s="80">
        <f t="shared" si="27"/>
        <v>23903.54862</v>
      </c>
      <c r="I41" s="14"/>
      <c r="J41" s="62">
        <f t="shared" si="28"/>
        <v>15175.6352</v>
      </c>
      <c r="K41" s="62">
        <f t="shared" si="29"/>
        <v>51956.54041</v>
      </c>
    </row>
    <row r="42" ht="14.25" customHeight="1">
      <c r="A42" s="7" t="s">
        <v>89</v>
      </c>
      <c r="B42" s="80">
        <f t="shared" si="33"/>
        <v>5550.168327</v>
      </c>
      <c r="C42" s="14"/>
      <c r="D42" s="62">
        <f t="shared" si="34"/>
        <v>3227.6442</v>
      </c>
      <c r="E42" s="62">
        <f t="shared" si="35"/>
        <v>8817.379419</v>
      </c>
      <c r="G42" s="7" t="s">
        <v>89</v>
      </c>
      <c r="H42" s="80">
        <f t="shared" si="27"/>
        <v>39492.81947</v>
      </c>
      <c r="I42" s="14"/>
      <c r="J42" s="62">
        <f t="shared" si="28"/>
        <v>25072.78859</v>
      </c>
      <c r="K42" s="62">
        <f t="shared" si="29"/>
        <v>85841.24068</v>
      </c>
    </row>
    <row r="43" ht="14.25" customHeight="1">
      <c r="G43" s="7"/>
      <c r="H43" s="80">
        <f>SUM(H33:I42)</f>
        <v>617467.3432</v>
      </c>
      <c r="I43" s="14"/>
      <c r="J43" s="62">
        <f t="shared" ref="J43:K43" si="36">SUM(J33:J42)</f>
        <v>417252.7207</v>
      </c>
      <c r="K43" s="62">
        <f t="shared" si="36"/>
        <v>1467077.133</v>
      </c>
    </row>
    <row r="44" ht="14.25" customHeight="1"/>
    <row r="45" ht="14.25" customHeight="1"/>
    <row r="46" ht="14.25" customHeight="1">
      <c r="D46" s="7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3">
    <mergeCell ref="H40:I40"/>
    <mergeCell ref="H41:I41"/>
    <mergeCell ref="H43:I43"/>
    <mergeCell ref="H33:I33"/>
    <mergeCell ref="H34:I34"/>
    <mergeCell ref="H35:I35"/>
    <mergeCell ref="H36:I36"/>
    <mergeCell ref="H37:I37"/>
    <mergeCell ref="H38:I38"/>
    <mergeCell ref="H39:I39"/>
    <mergeCell ref="H18:I18"/>
    <mergeCell ref="H19:I19"/>
    <mergeCell ref="K1:L1"/>
    <mergeCell ref="M1:N1"/>
    <mergeCell ref="O1:P1"/>
    <mergeCell ref="B17:E17"/>
    <mergeCell ref="H17:K17"/>
    <mergeCell ref="B18:C18"/>
    <mergeCell ref="B19:C19"/>
    <mergeCell ref="B20:C20"/>
    <mergeCell ref="H20:I20"/>
    <mergeCell ref="B21:C21"/>
    <mergeCell ref="H21:I21"/>
    <mergeCell ref="B22:C22"/>
    <mergeCell ref="H22:I22"/>
    <mergeCell ref="H23:I23"/>
    <mergeCell ref="B23:C23"/>
    <mergeCell ref="B24:C24"/>
    <mergeCell ref="B25:C25"/>
    <mergeCell ref="B26:C26"/>
    <mergeCell ref="B27:C27"/>
    <mergeCell ref="B28:C28"/>
    <mergeCell ref="B29:C29"/>
    <mergeCell ref="H24:I24"/>
    <mergeCell ref="H25:I25"/>
    <mergeCell ref="H26:I26"/>
    <mergeCell ref="H27:I27"/>
    <mergeCell ref="H28:I28"/>
    <mergeCell ref="H31:K31"/>
    <mergeCell ref="H32:I32"/>
    <mergeCell ref="B38:C38"/>
    <mergeCell ref="B39:C39"/>
    <mergeCell ref="B40:C40"/>
    <mergeCell ref="B41:C41"/>
    <mergeCell ref="B42:C42"/>
    <mergeCell ref="H42:I42"/>
    <mergeCell ref="B31:E31"/>
    <mergeCell ref="B32:C32"/>
    <mergeCell ref="B33:C33"/>
    <mergeCell ref="B34:C34"/>
    <mergeCell ref="B35:C35"/>
    <mergeCell ref="B36:C36"/>
    <mergeCell ref="B37:C3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1" width="11.5"/>
    <col customWidth="1" min="22" max="22" width="13.38"/>
    <col customWidth="1" min="23" max="23" width="8.63"/>
    <col customWidth="1" min="24" max="24" width="9.5"/>
    <col customWidth="1" min="25" max="25" width="11.75"/>
    <col customWidth="1" min="26" max="28" width="11.5"/>
  </cols>
  <sheetData>
    <row r="1" ht="14.25" customHeight="1">
      <c r="A1" s="83" t="s">
        <v>62</v>
      </c>
      <c r="B1" s="84"/>
      <c r="C1" s="85" t="s">
        <v>64</v>
      </c>
      <c r="D1" s="86"/>
      <c r="E1" s="86"/>
      <c r="F1" s="86"/>
      <c r="G1" s="86"/>
      <c r="H1" s="86"/>
      <c r="I1" s="85" t="s">
        <v>95</v>
      </c>
      <c r="J1" s="86"/>
      <c r="K1" s="86"/>
      <c r="L1" s="86"/>
      <c r="M1" s="86"/>
      <c r="N1" s="85" t="s">
        <v>66</v>
      </c>
      <c r="O1" s="86"/>
      <c r="P1" s="86"/>
      <c r="Q1" s="86"/>
      <c r="R1" s="86"/>
      <c r="S1" s="86"/>
    </row>
    <row r="2" ht="14.25" customHeight="1">
      <c r="A2" s="87" t="s">
        <v>106</v>
      </c>
      <c r="B2" s="87" t="s">
        <v>107</v>
      </c>
      <c r="C2" s="88">
        <v>18.0</v>
      </c>
      <c r="D2" s="88">
        <v>19.0</v>
      </c>
      <c r="E2" s="88">
        <v>20.0</v>
      </c>
      <c r="F2" s="89">
        <v>21.0</v>
      </c>
      <c r="G2" s="88">
        <v>22.0</v>
      </c>
      <c r="H2" s="88" t="s">
        <v>68</v>
      </c>
      <c r="I2" s="88">
        <v>23.0</v>
      </c>
      <c r="J2" s="88">
        <v>24.0</v>
      </c>
      <c r="K2" s="88">
        <v>25.0</v>
      </c>
      <c r="L2" s="88">
        <v>26.0</v>
      </c>
      <c r="M2" s="88" t="s">
        <v>68</v>
      </c>
      <c r="N2" s="88">
        <v>27.0</v>
      </c>
      <c r="O2" s="88">
        <v>28.0</v>
      </c>
      <c r="P2" s="89">
        <v>29.0</v>
      </c>
      <c r="Q2" s="88">
        <v>30.0</v>
      </c>
      <c r="R2" s="88">
        <v>31.0</v>
      </c>
      <c r="S2" s="88" t="s">
        <v>108</v>
      </c>
      <c r="T2" s="90" t="s">
        <v>109</v>
      </c>
      <c r="W2" s="59">
        <v>21.0</v>
      </c>
      <c r="X2" s="91" t="s">
        <v>68</v>
      </c>
      <c r="Y2" s="7"/>
      <c r="Z2" s="59">
        <v>29.0</v>
      </c>
      <c r="AA2" s="59" t="s">
        <v>68</v>
      </c>
      <c r="AB2" s="7"/>
    </row>
    <row r="3" ht="14.25" customHeight="1">
      <c r="A3" s="92" t="s">
        <v>71</v>
      </c>
      <c r="B3" s="84" t="s">
        <v>102</v>
      </c>
      <c r="C3" s="62">
        <f t="shared" ref="C3:E3" si="1">($H$3-$F$3)/4</f>
        <v>22898.38348</v>
      </c>
      <c r="D3" s="62">
        <f t="shared" si="1"/>
        <v>22898.38348</v>
      </c>
      <c r="E3" s="62">
        <f t="shared" si="1"/>
        <v>22898.38348</v>
      </c>
      <c r="F3" s="62">
        <f>H3*38%</f>
        <v>56137.9724</v>
      </c>
      <c r="G3" s="62">
        <f>($H$3-$F$3)/4</f>
        <v>22898.38348</v>
      </c>
      <c r="H3" s="62">
        <v>147731.50632238138</v>
      </c>
      <c r="I3" s="62">
        <f t="shared" ref="I3:L3" si="2">$M$3/4</f>
        <v>25627.30503</v>
      </c>
      <c r="J3" s="62">
        <f t="shared" si="2"/>
        <v>25627.30503</v>
      </c>
      <c r="K3" s="62">
        <f t="shared" si="2"/>
        <v>25627.30503</v>
      </c>
      <c r="L3" s="62">
        <f t="shared" si="2"/>
        <v>25627.30503</v>
      </c>
      <c r="M3" s="62">
        <v>102509.2201044615</v>
      </c>
      <c r="N3" s="62">
        <f t="shared" ref="N3:O3" si="3">($S$3-$P$3)/4</f>
        <v>39926.40358</v>
      </c>
      <c r="O3" s="62">
        <f t="shared" si="3"/>
        <v>39926.40358</v>
      </c>
      <c r="P3" s="62">
        <f>S3*55.8%</f>
        <v>201619.305</v>
      </c>
      <c r="Q3" s="62">
        <f t="shared" ref="Q3:R3" si="4">($S$3-$P$3)/4</f>
        <v>39926.40358</v>
      </c>
      <c r="R3" s="62">
        <f t="shared" si="4"/>
        <v>39926.40358</v>
      </c>
      <c r="S3" s="62">
        <v>361324.91931786</v>
      </c>
      <c r="T3" s="62">
        <f>SUM(H3,M3,S3)</f>
        <v>611565.6457</v>
      </c>
      <c r="V3" s="7" t="s">
        <v>69</v>
      </c>
      <c r="W3" s="61"/>
      <c r="X3" s="93"/>
      <c r="Y3" s="7"/>
      <c r="Z3" s="61"/>
      <c r="AA3" s="61"/>
      <c r="AB3" s="7"/>
    </row>
    <row r="4" ht="14.25" customHeight="1">
      <c r="A4" s="94"/>
      <c r="B4" s="84" t="s">
        <v>99</v>
      </c>
      <c r="C4" s="62"/>
      <c r="D4" s="62"/>
      <c r="E4" s="62">
        <v>65046.72378298782</v>
      </c>
      <c r="F4" s="62"/>
      <c r="G4" s="62"/>
      <c r="H4" s="62"/>
      <c r="I4" s="62"/>
      <c r="J4" s="62">
        <v>30165.77354890417</v>
      </c>
      <c r="K4" s="62"/>
      <c r="L4" s="62"/>
      <c r="M4" s="62"/>
      <c r="N4" s="62"/>
      <c r="O4" s="62">
        <v>80815.38274004661</v>
      </c>
      <c r="P4" s="62"/>
      <c r="Q4" s="62"/>
      <c r="R4" s="62"/>
      <c r="S4" s="62"/>
      <c r="T4" s="7"/>
      <c r="V4" s="7" t="s">
        <v>71</v>
      </c>
      <c r="W4" s="63">
        <v>90150.68982888052</v>
      </c>
      <c r="X4" s="95">
        <v>237238.657444422</v>
      </c>
      <c r="Y4" s="78">
        <f t="shared" ref="Y4:Y14" si="5">W4/X4</f>
        <v>0.38</v>
      </c>
      <c r="Z4" s="63">
        <v>267264.7167747317</v>
      </c>
      <c r="AA4" s="63">
        <v>478969.02647801384</v>
      </c>
      <c r="AB4" s="96">
        <f t="shared" ref="AB4:AB14" si="6">Z4/AA4</f>
        <v>0.558</v>
      </c>
    </row>
    <row r="5" ht="14.25" customHeight="1">
      <c r="A5" s="94"/>
      <c r="B5" s="84" t="s">
        <v>101</v>
      </c>
      <c r="C5" s="62"/>
      <c r="D5" s="62"/>
      <c r="E5" s="62"/>
      <c r="F5" s="62"/>
      <c r="G5" s="62">
        <v>24460.42733905322</v>
      </c>
      <c r="H5" s="62"/>
      <c r="I5" s="62"/>
      <c r="J5" s="62">
        <v>12424.80122115734</v>
      </c>
      <c r="K5" s="62"/>
      <c r="L5" s="62"/>
      <c r="M5" s="62"/>
      <c r="N5" s="62">
        <v>36828.724420106955</v>
      </c>
      <c r="O5" s="62"/>
      <c r="P5" s="62"/>
      <c r="Q5" s="62"/>
      <c r="R5" s="62"/>
      <c r="S5" s="62"/>
      <c r="T5" s="7"/>
      <c r="V5" s="7" t="s">
        <v>73</v>
      </c>
      <c r="W5" s="63">
        <v>70117.20320024042</v>
      </c>
      <c r="X5" s="97">
        <v>184518.955790106</v>
      </c>
      <c r="Y5" s="78">
        <f t="shared" si="5"/>
        <v>0.38</v>
      </c>
      <c r="Z5" s="63">
        <v>207872.55749145802</v>
      </c>
      <c r="AA5" s="63">
        <v>372531.46503845527</v>
      </c>
      <c r="AB5" s="96">
        <f t="shared" si="6"/>
        <v>0.558</v>
      </c>
    </row>
    <row r="6" ht="14.25" customHeight="1">
      <c r="A6" s="94"/>
      <c r="B6" s="84" t="s">
        <v>100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7"/>
      <c r="V6" s="7" t="s">
        <v>75</v>
      </c>
      <c r="W6" s="63">
        <v>31302.32285725018</v>
      </c>
      <c r="X6" s="95">
        <v>82374.5338348689</v>
      </c>
      <c r="Y6" s="78">
        <f t="shared" si="5"/>
        <v>0.38</v>
      </c>
      <c r="Z6" s="63">
        <v>92800.24888011518</v>
      </c>
      <c r="AA6" s="63">
        <v>166308.68974931038</v>
      </c>
      <c r="AB6" s="96">
        <f t="shared" si="6"/>
        <v>0.558</v>
      </c>
    </row>
    <row r="7" ht="14.25" customHeight="1">
      <c r="A7" s="98"/>
      <c r="B7" s="84" t="s">
        <v>68</v>
      </c>
      <c r="C7" s="62">
        <f t="shared" ref="C7:S7" si="7">SUM(C3:C6)</f>
        <v>22898.38348</v>
      </c>
      <c r="D7" s="62">
        <f t="shared" si="7"/>
        <v>22898.38348</v>
      </c>
      <c r="E7" s="62">
        <f t="shared" si="7"/>
        <v>87945.10726</v>
      </c>
      <c r="F7" s="62">
        <f t="shared" si="7"/>
        <v>56137.9724</v>
      </c>
      <c r="G7" s="62">
        <f t="shared" si="7"/>
        <v>47358.81082</v>
      </c>
      <c r="H7" s="62">
        <f t="shared" si="7"/>
        <v>147731.5063</v>
      </c>
      <c r="I7" s="62">
        <f t="shared" si="7"/>
        <v>25627.30503</v>
      </c>
      <c r="J7" s="62">
        <f t="shared" si="7"/>
        <v>68217.8798</v>
      </c>
      <c r="K7" s="62">
        <f t="shared" si="7"/>
        <v>25627.30503</v>
      </c>
      <c r="L7" s="62">
        <f t="shared" si="7"/>
        <v>25627.30503</v>
      </c>
      <c r="M7" s="62">
        <f t="shared" si="7"/>
        <v>102509.2201</v>
      </c>
      <c r="N7" s="62">
        <f t="shared" si="7"/>
        <v>76755.128</v>
      </c>
      <c r="O7" s="62">
        <f t="shared" si="7"/>
        <v>120741.7863</v>
      </c>
      <c r="P7" s="62">
        <f t="shared" si="7"/>
        <v>201619.305</v>
      </c>
      <c r="Q7" s="62">
        <f t="shared" si="7"/>
        <v>39926.40358</v>
      </c>
      <c r="R7" s="62">
        <f t="shared" si="7"/>
        <v>39926.40358</v>
      </c>
      <c r="S7" s="62">
        <f t="shared" si="7"/>
        <v>361324.9193</v>
      </c>
      <c r="T7" s="62"/>
      <c r="V7" s="7" t="s">
        <v>77</v>
      </c>
      <c r="W7" s="63">
        <v>52170.53809541696</v>
      </c>
      <c r="X7" s="95">
        <v>137290.88972478147</v>
      </c>
      <c r="Y7" s="78">
        <f t="shared" si="5"/>
        <v>0.38</v>
      </c>
      <c r="Z7" s="63">
        <v>154667.08146685862</v>
      </c>
      <c r="AA7" s="63">
        <v>277181.1495821839</v>
      </c>
      <c r="AB7" s="96">
        <f t="shared" si="6"/>
        <v>0.558</v>
      </c>
    </row>
    <row r="8" ht="14.25" customHeight="1">
      <c r="A8" s="87" t="s">
        <v>106</v>
      </c>
      <c r="B8" s="87" t="s">
        <v>107</v>
      </c>
      <c r="C8" s="88">
        <v>18.0</v>
      </c>
      <c r="D8" s="88">
        <v>19.0</v>
      </c>
      <c r="E8" s="88">
        <v>20.0</v>
      </c>
      <c r="F8" s="89">
        <v>21.0</v>
      </c>
      <c r="G8" s="88">
        <v>22.0</v>
      </c>
      <c r="H8" s="88" t="s">
        <v>68</v>
      </c>
      <c r="I8" s="88">
        <v>23.0</v>
      </c>
      <c r="J8" s="88">
        <v>24.0</v>
      </c>
      <c r="K8" s="88">
        <v>25.0</v>
      </c>
      <c r="L8" s="88">
        <v>26.0</v>
      </c>
      <c r="M8" s="88" t="s">
        <v>68</v>
      </c>
      <c r="N8" s="88">
        <v>27.0</v>
      </c>
      <c r="O8" s="88">
        <v>28.0</v>
      </c>
      <c r="P8" s="89">
        <v>29.0</v>
      </c>
      <c r="Q8" s="88">
        <v>30.0</v>
      </c>
      <c r="R8" s="88">
        <v>31.0</v>
      </c>
      <c r="S8" s="88" t="s">
        <v>68</v>
      </c>
      <c r="T8" s="7"/>
      <c r="V8" s="7" t="s">
        <v>79</v>
      </c>
      <c r="W8" s="63">
        <v>40559.69001404389</v>
      </c>
      <c r="X8" s="95">
        <v>106736.02635274707</v>
      </c>
      <c r="Y8" s="78">
        <f t="shared" si="5"/>
        <v>0.38</v>
      </c>
      <c r="Z8" s="63">
        <v>120245.04842559304</v>
      </c>
      <c r="AA8" s="63">
        <v>215492.91832543557</v>
      </c>
      <c r="AB8" s="96">
        <f t="shared" si="6"/>
        <v>0.558</v>
      </c>
    </row>
    <row r="9" ht="14.25" customHeight="1">
      <c r="A9" s="92" t="s">
        <v>73</v>
      </c>
      <c r="B9" s="84" t="s">
        <v>102</v>
      </c>
      <c r="C9" s="62">
        <f t="shared" ref="C9:E9" si="8">($H$9-$F$9)/4</f>
        <v>17809.85382</v>
      </c>
      <c r="D9" s="62">
        <f t="shared" si="8"/>
        <v>17809.85382</v>
      </c>
      <c r="E9" s="62">
        <f t="shared" si="8"/>
        <v>17809.85382</v>
      </c>
      <c r="F9" s="62">
        <f>H9*38%</f>
        <v>43662.86742</v>
      </c>
      <c r="G9" s="62">
        <f>($H$9-$F$9)/4</f>
        <v>17809.85382</v>
      </c>
      <c r="H9" s="62">
        <v>114902.2826951853</v>
      </c>
      <c r="I9" s="62">
        <f t="shared" ref="I9:L9" si="9">$M$9/4</f>
        <v>19932.34835</v>
      </c>
      <c r="J9" s="62">
        <f t="shared" si="9"/>
        <v>19932.34835</v>
      </c>
      <c r="K9" s="62">
        <f t="shared" si="9"/>
        <v>19932.34835</v>
      </c>
      <c r="L9" s="62">
        <f t="shared" si="9"/>
        <v>19932.34835</v>
      </c>
      <c r="M9" s="62">
        <v>79729.39341458122</v>
      </c>
      <c r="N9" s="62">
        <f t="shared" ref="N9:O9" si="10">($S$9-$P$9)/4</f>
        <v>31053.86945</v>
      </c>
      <c r="O9" s="62">
        <f t="shared" si="10"/>
        <v>31053.86945</v>
      </c>
      <c r="P9" s="62">
        <f>S9*55.8%</f>
        <v>156815.015</v>
      </c>
      <c r="Q9" s="62">
        <f t="shared" ref="Q9:R9" si="11">($S$9-$P$9)/4</f>
        <v>31053.86945</v>
      </c>
      <c r="R9" s="62">
        <f t="shared" si="11"/>
        <v>31053.86945</v>
      </c>
      <c r="S9" s="62">
        <v>281030.49280278024</v>
      </c>
      <c r="T9" s="62">
        <f>SUM(H9,M9,S9)</f>
        <v>475662.1689</v>
      </c>
      <c r="V9" s="7" t="s">
        <v>81</v>
      </c>
      <c r="W9" s="63">
        <v>11903.38728673027</v>
      </c>
      <c r="X9" s="95">
        <v>31324.70338613229</v>
      </c>
      <c r="Y9" s="78">
        <f t="shared" si="5"/>
        <v>0.38</v>
      </c>
      <c r="Z9" s="63">
        <v>35289.3076901197</v>
      </c>
      <c r="AA9" s="63">
        <v>63242.48689985609</v>
      </c>
      <c r="AB9" s="96">
        <f t="shared" si="6"/>
        <v>0.558</v>
      </c>
    </row>
    <row r="10" ht="14.25" customHeight="1">
      <c r="A10" s="94"/>
      <c r="B10" s="84" t="s">
        <v>99</v>
      </c>
      <c r="C10" s="62"/>
      <c r="D10" s="62"/>
      <c r="E10" s="62">
        <v>50591.896275657105</v>
      </c>
      <c r="F10" s="62"/>
      <c r="G10" s="62"/>
      <c r="H10" s="62"/>
      <c r="I10" s="62"/>
      <c r="J10" s="62">
        <v>23462.268315814366</v>
      </c>
      <c r="K10" s="62"/>
      <c r="L10" s="62"/>
      <c r="M10" s="62"/>
      <c r="N10" s="62"/>
      <c r="O10" s="62">
        <v>62856.408797814045</v>
      </c>
      <c r="P10" s="62"/>
      <c r="Q10" s="62"/>
      <c r="R10" s="62"/>
      <c r="S10" s="62"/>
      <c r="T10" s="7"/>
      <c r="V10" s="7" t="s">
        <v>83</v>
      </c>
      <c r="W10" s="63">
        <v>11903.38728673027</v>
      </c>
      <c r="X10" s="95">
        <v>31324.70338613229</v>
      </c>
      <c r="Y10" s="78">
        <f t="shared" si="5"/>
        <v>0.38</v>
      </c>
      <c r="Z10" s="63">
        <v>35289.3076901197</v>
      </c>
      <c r="AA10" s="63">
        <v>63242.48689985609</v>
      </c>
      <c r="AB10" s="96">
        <f t="shared" si="6"/>
        <v>0.558</v>
      </c>
    </row>
    <row r="11" ht="14.25" customHeight="1">
      <c r="A11" s="94"/>
      <c r="B11" s="84" t="s">
        <v>101</v>
      </c>
      <c r="C11" s="62"/>
      <c r="D11" s="62"/>
      <c r="E11" s="62"/>
      <c r="F11" s="62"/>
      <c r="G11" s="62">
        <v>19024.77681926358</v>
      </c>
      <c r="H11" s="62"/>
      <c r="I11" s="62"/>
      <c r="J11" s="62">
        <v>9663.734283122381</v>
      </c>
      <c r="K11" s="62"/>
      <c r="L11" s="62"/>
      <c r="M11" s="62"/>
      <c r="N11" s="62">
        <v>28644.563437860972</v>
      </c>
      <c r="O11" s="62"/>
      <c r="P11" s="62"/>
      <c r="Q11" s="62"/>
      <c r="R11" s="62"/>
      <c r="S11" s="62"/>
      <c r="T11" s="7"/>
      <c r="V11" s="7" t="s">
        <v>85</v>
      </c>
      <c r="W11" s="63">
        <v>27190.82695983313</v>
      </c>
      <c r="X11" s="95">
        <v>71554.80778903456</v>
      </c>
      <c r="Y11" s="78">
        <f t="shared" si="5"/>
        <v>0.38</v>
      </c>
      <c r="Z11" s="63">
        <v>80611.12654916647</v>
      </c>
      <c r="AA11" s="63">
        <v>144464.3844967141</v>
      </c>
      <c r="AB11" s="96">
        <f t="shared" si="6"/>
        <v>0.558</v>
      </c>
    </row>
    <row r="12" ht="14.25" customHeight="1">
      <c r="A12" s="94"/>
      <c r="B12" s="84" t="s">
        <v>100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7"/>
      <c r="V12" s="7" t="s">
        <v>87</v>
      </c>
      <c r="W12" s="63">
        <v>12026.711924541576</v>
      </c>
      <c r="X12" s="95">
        <v>31649.241906688356</v>
      </c>
      <c r="Y12" s="78">
        <f t="shared" si="5"/>
        <v>0.38</v>
      </c>
      <c r="Z12" s="63">
        <v>35654.92135828516</v>
      </c>
      <c r="AA12" s="63">
        <v>63897.708527392766</v>
      </c>
      <c r="AB12" s="96">
        <f t="shared" si="6"/>
        <v>0.558</v>
      </c>
    </row>
    <row r="13" ht="14.25" customHeight="1">
      <c r="A13" s="98"/>
      <c r="B13" s="84" t="s">
        <v>68</v>
      </c>
      <c r="C13" s="62">
        <f t="shared" ref="C13:S13" si="12">SUM(C9:C12)</f>
        <v>17809.85382</v>
      </c>
      <c r="D13" s="62">
        <f t="shared" si="12"/>
        <v>17809.85382</v>
      </c>
      <c r="E13" s="62">
        <f t="shared" si="12"/>
        <v>68401.75009</v>
      </c>
      <c r="F13" s="62">
        <f t="shared" si="12"/>
        <v>43662.86742</v>
      </c>
      <c r="G13" s="62">
        <f t="shared" si="12"/>
        <v>36834.63064</v>
      </c>
      <c r="H13" s="62">
        <f t="shared" si="12"/>
        <v>114902.2827</v>
      </c>
      <c r="I13" s="62">
        <f t="shared" si="12"/>
        <v>19932.34835</v>
      </c>
      <c r="J13" s="62">
        <f t="shared" si="12"/>
        <v>53058.35095</v>
      </c>
      <c r="K13" s="62">
        <f t="shared" si="12"/>
        <v>19932.34835</v>
      </c>
      <c r="L13" s="62">
        <f t="shared" si="12"/>
        <v>19932.34835</v>
      </c>
      <c r="M13" s="62">
        <f t="shared" si="12"/>
        <v>79729.39341</v>
      </c>
      <c r="N13" s="62">
        <f t="shared" si="12"/>
        <v>59698.43289</v>
      </c>
      <c r="O13" s="62">
        <f t="shared" si="12"/>
        <v>93910.27825</v>
      </c>
      <c r="P13" s="62">
        <f t="shared" si="12"/>
        <v>156815.015</v>
      </c>
      <c r="Q13" s="62">
        <f t="shared" si="12"/>
        <v>31053.86945</v>
      </c>
      <c r="R13" s="62">
        <f t="shared" si="12"/>
        <v>31053.86945</v>
      </c>
      <c r="S13" s="62">
        <f t="shared" si="12"/>
        <v>281030.4928</v>
      </c>
      <c r="T13" s="7"/>
      <c r="V13" s="7" t="s">
        <v>89</v>
      </c>
      <c r="W13" s="63">
        <v>19870.219701416518</v>
      </c>
      <c r="X13" s="95">
        <v>52290.05184583294</v>
      </c>
      <c r="Y13" s="78">
        <f t="shared" si="5"/>
        <v>0.38</v>
      </c>
      <c r="Z13" s="63">
        <v>58908.13093977548</v>
      </c>
      <c r="AA13" s="63">
        <v>105570.12713221414</v>
      </c>
      <c r="AB13" s="96">
        <f t="shared" si="6"/>
        <v>0.558</v>
      </c>
    </row>
    <row r="14" ht="14.25" customHeight="1">
      <c r="A14" s="87" t="s">
        <v>106</v>
      </c>
      <c r="B14" s="87" t="s">
        <v>107</v>
      </c>
      <c r="C14" s="88">
        <v>18.0</v>
      </c>
      <c r="D14" s="88">
        <v>19.0</v>
      </c>
      <c r="E14" s="88">
        <v>20.0</v>
      </c>
      <c r="F14" s="89">
        <v>21.0</v>
      </c>
      <c r="G14" s="88">
        <v>22.0</v>
      </c>
      <c r="H14" s="88" t="s">
        <v>68</v>
      </c>
      <c r="I14" s="88">
        <v>23.0</v>
      </c>
      <c r="J14" s="88">
        <v>24.0</v>
      </c>
      <c r="K14" s="88">
        <v>25.0</v>
      </c>
      <c r="L14" s="88">
        <v>26.0</v>
      </c>
      <c r="M14" s="88" t="s">
        <v>68</v>
      </c>
      <c r="N14" s="88">
        <v>27.0</v>
      </c>
      <c r="O14" s="88">
        <v>28.0</v>
      </c>
      <c r="P14" s="89">
        <v>29.0</v>
      </c>
      <c r="Q14" s="88">
        <v>30.0</v>
      </c>
      <c r="R14" s="88">
        <v>31.0</v>
      </c>
      <c r="S14" s="88" t="s">
        <v>68</v>
      </c>
      <c r="T14" s="7"/>
      <c r="V14" s="7" t="s">
        <v>91</v>
      </c>
      <c r="W14" s="63">
        <v>367194.97715508373</v>
      </c>
      <c r="X14" s="95">
        <v>966302.5714607467</v>
      </c>
      <c r="Y14" s="78">
        <f t="shared" si="5"/>
        <v>0.38</v>
      </c>
      <c r="Z14" s="67">
        <v>1088602.44726622</v>
      </c>
      <c r="AA14" s="63">
        <v>1950900.443129432</v>
      </c>
      <c r="AB14" s="96">
        <f t="shared" si="6"/>
        <v>0.558</v>
      </c>
    </row>
    <row r="15" ht="14.25" customHeight="1">
      <c r="A15" s="92" t="s">
        <v>75</v>
      </c>
      <c r="B15" s="84" t="s">
        <v>102</v>
      </c>
      <c r="C15" s="62">
        <f t="shared" ref="C15:E15" si="13">($H$15-$F$15)/4</f>
        <v>7950.827597</v>
      </c>
      <c r="D15" s="62">
        <f t="shared" si="13"/>
        <v>7950.827597</v>
      </c>
      <c r="E15" s="62">
        <f t="shared" si="13"/>
        <v>7950.827597</v>
      </c>
      <c r="F15" s="62">
        <f>H15*38%</f>
        <v>19492.35153</v>
      </c>
      <c r="G15" s="62">
        <f>($H$15-$F$15)/4</f>
        <v>7950.827597</v>
      </c>
      <c r="H15" s="62">
        <v>51295.66191749353</v>
      </c>
      <c r="I15" s="62">
        <f t="shared" ref="I15:L15" si="14">$M$15/4</f>
        <v>8898.369801</v>
      </c>
      <c r="J15" s="62">
        <f t="shared" si="14"/>
        <v>8898.369801</v>
      </c>
      <c r="K15" s="62">
        <f t="shared" si="14"/>
        <v>8898.369801</v>
      </c>
      <c r="L15" s="62">
        <f t="shared" si="14"/>
        <v>8898.369801</v>
      </c>
      <c r="M15" s="62">
        <v>35593.47920293803</v>
      </c>
      <c r="N15" s="62">
        <f t="shared" ref="N15:O15" si="15">($S$15-$P$15)/4</f>
        <v>13863.33458</v>
      </c>
      <c r="O15" s="62">
        <f t="shared" si="15"/>
        <v>13863.33458</v>
      </c>
      <c r="P15" s="62">
        <f>S15*55.8%</f>
        <v>70006.70312</v>
      </c>
      <c r="Q15" s="62">
        <f t="shared" ref="Q15:R15" si="16">($S$15-$P$15)/4</f>
        <v>13863.33458</v>
      </c>
      <c r="R15" s="62">
        <f t="shared" si="16"/>
        <v>13863.33458</v>
      </c>
      <c r="S15" s="62">
        <v>125460.04142981261</v>
      </c>
      <c r="T15" s="62">
        <f>SUM(H15,M15,S15)</f>
        <v>212349.1826</v>
      </c>
    </row>
    <row r="16" ht="14.25" customHeight="1">
      <c r="A16" s="94"/>
      <c r="B16" s="84" t="s">
        <v>99</v>
      </c>
      <c r="C16" s="62"/>
      <c r="D16" s="62"/>
      <c r="E16" s="62">
        <v>22585.667980204104</v>
      </c>
      <c r="F16" s="62"/>
      <c r="G16" s="62"/>
      <c r="H16" s="62"/>
      <c r="I16" s="62"/>
      <c r="J16" s="62">
        <v>10474.226926702842</v>
      </c>
      <c r="K16" s="62"/>
      <c r="L16" s="62"/>
      <c r="M16" s="62"/>
      <c r="O16" s="62">
        <v>28060.89678473841</v>
      </c>
      <c r="P16" s="62"/>
      <c r="Q16" s="62"/>
      <c r="R16" s="62"/>
      <c r="S16" s="62"/>
      <c r="T16" s="7"/>
    </row>
    <row r="17" ht="14.25" customHeight="1">
      <c r="A17" s="94"/>
      <c r="B17" s="84" t="s">
        <v>101</v>
      </c>
      <c r="C17" s="62"/>
      <c r="D17" s="62"/>
      <c r="E17" s="62"/>
      <c r="F17" s="62"/>
      <c r="G17" s="62">
        <v>8493.203937171256</v>
      </c>
      <c r="H17" s="62"/>
      <c r="I17" s="62"/>
      <c r="J17" s="62">
        <v>4314.167090679634</v>
      </c>
      <c r="K17" s="62"/>
      <c r="L17" s="62"/>
      <c r="M17" s="62"/>
      <c r="N17" s="62">
        <v>12787.75153475936</v>
      </c>
      <c r="O17" s="62"/>
      <c r="P17" s="62"/>
      <c r="Q17" s="62"/>
      <c r="R17" s="62"/>
      <c r="S17" s="62"/>
      <c r="T17" s="7"/>
    </row>
    <row r="18" ht="14.25" customHeight="1">
      <c r="A18" s="94"/>
      <c r="B18" s="84" t="s">
        <v>100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7"/>
    </row>
    <row r="19" ht="14.25" customHeight="1">
      <c r="A19" s="98"/>
      <c r="B19" s="84" t="s">
        <v>68</v>
      </c>
      <c r="C19" s="62">
        <f t="shared" ref="C19:S19" si="17">SUM(C15:C18)</f>
        <v>7950.827597</v>
      </c>
      <c r="D19" s="62">
        <f t="shared" si="17"/>
        <v>7950.827597</v>
      </c>
      <c r="E19" s="62">
        <f t="shared" si="17"/>
        <v>30536.49558</v>
      </c>
      <c r="F19" s="62">
        <f t="shared" si="17"/>
        <v>19492.35153</v>
      </c>
      <c r="G19" s="62">
        <f t="shared" si="17"/>
        <v>16444.03153</v>
      </c>
      <c r="H19" s="62">
        <f t="shared" si="17"/>
        <v>51295.66192</v>
      </c>
      <c r="I19" s="62">
        <f t="shared" si="17"/>
        <v>8898.369801</v>
      </c>
      <c r="J19" s="62">
        <f t="shared" si="17"/>
        <v>23686.76382</v>
      </c>
      <c r="K19" s="62">
        <f t="shared" si="17"/>
        <v>8898.369801</v>
      </c>
      <c r="L19" s="62">
        <f t="shared" si="17"/>
        <v>8898.369801</v>
      </c>
      <c r="M19" s="62">
        <f t="shared" si="17"/>
        <v>35593.4792</v>
      </c>
      <c r="N19" s="62">
        <f t="shared" si="17"/>
        <v>26651.08611</v>
      </c>
      <c r="O19" s="62">
        <f t="shared" si="17"/>
        <v>41924.23136</v>
      </c>
      <c r="P19" s="62">
        <f t="shared" si="17"/>
        <v>70006.70312</v>
      </c>
      <c r="Q19" s="62">
        <f t="shared" si="17"/>
        <v>13863.33458</v>
      </c>
      <c r="R19" s="62">
        <f t="shared" si="17"/>
        <v>13863.33458</v>
      </c>
      <c r="S19" s="62">
        <f t="shared" si="17"/>
        <v>125460.0414</v>
      </c>
      <c r="T19" s="7"/>
    </row>
    <row r="20" ht="14.25" customHeight="1">
      <c r="A20" s="87" t="s">
        <v>106</v>
      </c>
      <c r="B20" s="87" t="s">
        <v>107</v>
      </c>
      <c r="C20" s="88">
        <v>18.0</v>
      </c>
      <c r="D20" s="88">
        <v>19.0</v>
      </c>
      <c r="E20" s="88">
        <v>20.0</v>
      </c>
      <c r="F20" s="89">
        <v>21.0</v>
      </c>
      <c r="G20" s="88">
        <v>22.0</v>
      </c>
      <c r="H20" s="88" t="s">
        <v>68</v>
      </c>
      <c r="I20" s="88">
        <v>23.0</v>
      </c>
      <c r="J20" s="88">
        <v>24.0</v>
      </c>
      <c r="K20" s="88">
        <v>25.0</v>
      </c>
      <c r="L20" s="88">
        <v>26.0</v>
      </c>
      <c r="M20" s="88" t="s">
        <v>68</v>
      </c>
      <c r="N20" s="88">
        <v>27.0</v>
      </c>
      <c r="O20" s="88">
        <v>28.0</v>
      </c>
      <c r="P20" s="89">
        <v>29.0</v>
      </c>
      <c r="Q20" s="88">
        <v>30.0</v>
      </c>
      <c r="R20" s="88">
        <v>31.0</v>
      </c>
      <c r="S20" s="88" t="s">
        <v>68</v>
      </c>
      <c r="T20" s="7"/>
    </row>
    <row r="21" ht="14.25" customHeight="1">
      <c r="A21" s="92" t="s">
        <v>77</v>
      </c>
      <c r="B21" s="84" t="s">
        <v>102</v>
      </c>
      <c r="C21" s="62">
        <f t="shared" ref="C21:E21" si="18">($H$21-$F$21)/4</f>
        <v>13251.37933</v>
      </c>
      <c r="D21" s="62">
        <f t="shared" si="18"/>
        <v>13251.37933</v>
      </c>
      <c r="E21" s="62">
        <f t="shared" si="18"/>
        <v>13251.37933</v>
      </c>
      <c r="F21" s="62">
        <f>H21*38%</f>
        <v>32487.25255</v>
      </c>
      <c r="G21" s="62">
        <f>($H$21-$F$21)/4</f>
        <v>13251.37933</v>
      </c>
      <c r="H21" s="62">
        <v>85492.76986248922</v>
      </c>
      <c r="I21" s="62">
        <f t="shared" ref="I21:L21" si="19">$M$21/4</f>
        <v>14830.61633</v>
      </c>
      <c r="J21" s="62">
        <f t="shared" si="19"/>
        <v>14830.61633</v>
      </c>
      <c r="K21" s="62">
        <f t="shared" si="19"/>
        <v>14830.61633</v>
      </c>
      <c r="L21" s="62">
        <f t="shared" si="19"/>
        <v>14830.61633</v>
      </c>
      <c r="M21" s="62">
        <v>59322.46533823005</v>
      </c>
      <c r="N21" s="62">
        <f t="shared" ref="N21:O21" si="20">($S$21-$P$21)/4</f>
        <v>23105.55763</v>
      </c>
      <c r="O21" s="62">
        <f t="shared" si="20"/>
        <v>23105.55763</v>
      </c>
      <c r="P21" s="62">
        <f>S21*55.8%</f>
        <v>116677.8385</v>
      </c>
      <c r="Q21" s="62">
        <f t="shared" ref="Q21:R21" si="21">($S$21-$P$21)/4</f>
        <v>23105.55763</v>
      </c>
      <c r="R21" s="62">
        <f t="shared" si="21"/>
        <v>23105.55763</v>
      </c>
      <c r="S21" s="62">
        <v>209100.06904968765</v>
      </c>
      <c r="T21" s="62">
        <f>SUM(H21,M21,S21)</f>
        <v>353915.3043</v>
      </c>
    </row>
    <row r="22" ht="14.25" customHeight="1">
      <c r="A22" s="94"/>
      <c r="B22" s="84" t="s">
        <v>99</v>
      </c>
      <c r="C22" s="62"/>
      <c r="D22" s="62"/>
      <c r="E22" s="62">
        <v>37642.779967006834</v>
      </c>
      <c r="F22" s="62"/>
      <c r="H22" s="62"/>
      <c r="I22" s="62"/>
      <c r="J22" s="62">
        <v>17457.044877838067</v>
      </c>
      <c r="K22" s="62"/>
      <c r="L22" s="62"/>
      <c r="M22" s="62"/>
      <c r="N22" s="62"/>
      <c r="O22" s="62">
        <v>46768.16130789734</v>
      </c>
      <c r="P22" s="62"/>
      <c r="Q22" s="62"/>
      <c r="R22" s="62"/>
      <c r="S22" s="62"/>
      <c r="T22" s="7"/>
    </row>
    <row r="23" ht="14.25" customHeight="1">
      <c r="A23" s="94"/>
      <c r="B23" s="84" t="s">
        <v>101</v>
      </c>
      <c r="C23" s="62"/>
      <c r="D23" s="62"/>
      <c r="E23" s="62"/>
      <c r="F23" s="62"/>
      <c r="G23" s="62">
        <v>14155.339895285426</v>
      </c>
      <c r="H23" s="62"/>
      <c r="I23" s="62"/>
      <c r="J23" s="62">
        <v>7190.2784844660555</v>
      </c>
      <c r="K23" s="62"/>
      <c r="L23" s="62"/>
      <c r="M23" s="62"/>
      <c r="N23" s="62">
        <v>21312.919224598932</v>
      </c>
      <c r="O23" s="62"/>
      <c r="P23" s="62"/>
      <c r="Q23" s="62"/>
      <c r="R23" s="62"/>
      <c r="S23" s="62"/>
      <c r="T23" s="7"/>
    </row>
    <row r="24" ht="14.25" customHeight="1">
      <c r="A24" s="94"/>
      <c r="B24" s="84" t="s">
        <v>100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7"/>
    </row>
    <row r="25" ht="14.25" customHeight="1">
      <c r="A25" s="98"/>
      <c r="B25" s="84" t="s">
        <v>68</v>
      </c>
      <c r="C25" s="62">
        <f t="shared" ref="C25:S25" si="22">SUM(C21:C24)</f>
        <v>13251.37933</v>
      </c>
      <c r="D25" s="62">
        <f t="shared" si="22"/>
        <v>13251.37933</v>
      </c>
      <c r="E25" s="62">
        <f t="shared" si="22"/>
        <v>50894.1593</v>
      </c>
      <c r="F25" s="62">
        <f t="shared" si="22"/>
        <v>32487.25255</v>
      </c>
      <c r="G25" s="62">
        <f t="shared" si="22"/>
        <v>27406.71922</v>
      </c>
      <c r="H25" s="62">
        <f t="shared" si="22"/>
        <v>85492.76986</v>
      </c>
      <c r="I25" s="62">
        <f t="shared" si="22"/>
        <v>14830.61633</v>
      </c>
      <c r="J25" s="62">
        <f t="shared" si="22"/>
        <v>39477.9397</v>
      </c>
      <c r="K25" s="62">
        <f t="shared" si="22"/>
        <v>14830.61633</v>
      </c>
      <c r="L25" s="62">
        <f t="shared" si="22"/>
        <v>14830.61633</v>
      </c>
      <c r="M25" s="62">
        <f t="shared" si="22"/>
        <v>59322.46534</v>
      </c>
      <c r="N25" s="62">
        <f t="shared" si="22"/>
        <v>44418.47685</v>
      </c>
      <c r="O25" s="62">
        <f t="shared" si="22"/>
        <v>69873.71894</v>
      </c>
      <c r="P25" s="62">
        <f t="shared" si="22"/>
        <v>116677.8385</v>
      </c>
      <c r="Q25" s="62">
        <f t="shared" si="22"/>
        <v>23105.55763</v>
      </c>
      <c r="R25" s="62">
        <f t="shared" si="22"/>
        <v>23105.55763</v>
      </c>
      <c r="S25" s="62">
        <f t="shared" si="22"/>
        <v>209100.069</v>
      </c>
      <c r="T25" s="7"/>
    </row>
    <row r="26" ht="14.25" customHeight="1">
      <c r="A26" s="87" t="s">
        <v>106</v>
      </c>
      <c r="B26" s="87" t="s">
        <v>107</v>
      </c>
      <c r="C26" s="88">
        <v>18.0</v>
      </c>
      <c r="D26" s="88">
        <v>19.0</v>
      </c>
      <c r="E26" s="88">
        <v>20.0</v>
      </c>
      <c r="F26" s="89">
        <v>21.0</v>
      </c>
      <c r="G26" s="88">
        <v>22.0</v>
      </c>
      <c r="H26" s="88" t="s">
        <v>68</v>
      </c>
      <c r="I26" s="88">
        <v>23.0</v>
      </c>
      <c r="J26" s="88">
        <v>24.0</v>
      </c>
      <c r="K26" s="88">
        <v>25.0</v>
      </c>
      <c r="L26" s="88">
        <v>26.0</v>
      </c>
      <c r="M26" s="88" t="s">
        <v>68</v>
      </c>
      <c r="N26" s="88">
        <v>27.0</v>
      </c>
      <c r="O26" s="88">
        <v>28.0</v>
      </c>
      <c r="P26" s="89">
        <v>29.0</v>
      </c>
      <c r="Q26" s="88">
        <v>30.0</v>
      </c>
      <c r="R26" s="88">
        <v>31.0</v>
      </c>
      <c r="S26" s="88" t="s">
        <v>68</v>
      </c>
      <c r="T26" s="7"/>
    </row>
    <row r="27" ht="14.25" customHeight="1">
      <c r="A27" s="99" t="s">
        <v>79</v>
      </c>
      <c r="B27" s="84" t="s">
        <v>102</v>
      </c>
      <c r="C27" s="62">
        <f t="shared" ref="C27:E27" si="23">($H$27-$F$27)/4</f>
        <v>9826.307044</v>
      </c>
      <c r="D27" s="62">
        <f t="shared" si="23"/>
        <v>9826.307044</v>
      </c>
      <c r="E27" s="62">
        <f t="shared" si="23"/>
        <v>9826.307044</v>
      </c>
      <c r="F27" s="62">
        <f>H27*38%</f>
        <v>24090.30114</v>
      </c>
      <c r="G27" s="62">
        <f>($H$27-$F$27)/4</f>
        <v>9826.307044</v>
      </c>
      <c r="H27" s="62">
        <v>63395.52931376189</v>
      </c>
      <c r="I27" s="62">
        <f t="shared" ref="I27:L27" si="24">$M$27/4</f>
        <v>10324.73262</v>
      </c>
      <c r="J27" s="62">
        <f t="shared" si="24"/>
        <v>10324.73262</v>
      </c>
      <c r="K27" s="62">
        <f t="shared" si="24"/>
        <v>10324.73262</v>
      </c>
      <c r="L27" s="62">
        <f t="shared" si="24"/>
        <v>10324.73262</v>
      </c>
      <c r="M27" s="62">
        <v>41298.93046954042</v>
      </c>
      <c r="N27" s="62">
        <f t="shared" ref="N27:O27" si="25">($S$27-$P$27)/4</f>
        <v>16355.90114</v>
      </c>
      <c r="O27" s="62">
        <f t="shared" si="25"/>
        <v>16355.90114</v>
      </c>
      <c r="P27" s="62">
        <f>S27*55.8%</f>
        <v>82593.60032</v>
      </c>
      <c r="Q27" s="62">
        <f t="shared" ref="Q27:R27" si="26">($S$27-$P$27)/4</f>
        <v>16355.90114</v>
      </c>
      <c r="R27" s="62">
        <f t="shared" si="26"/>
        <v>16355.90114</v>
      </c>
      <c r="S27" s="62">
        <v>148017.20487290874</v>
      </c>
      <c r="T27" s="62">
        <f>SUM(H27,M27,S27)</f>
        <v>252711.6647</v>
      </c>
    </row>
    <row r="28" ht="14.25" customHeight="1">
      <c r="A28" s="100"/>
      <c r="B28" s="84" t="s">
        <v>99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7"/>
    </row>
    <row r="29" ht="14.25" customHeight="1">
      <c r="A29" s="100"/>
      <c r="B29" s="84" t="s">
        <v>101</v>
      </c>
      <c r="C29" s="62"/>
      <c r="D29" s="62"/>
      <c r="E29" s="62"/>
      <c r="F29" s="62"/>
      <c r="G29" s="62">
        <v>16597.47770784032</v>
      </c>
      <c r="H29" s="62"/>
      <c r="I29" s="62"/>
      <c r="J29" s="62">
        <v>8430.775081482627</v>
      </c>
      <c r="K29" s="62"/>
      <c r="L29" s="62"/>
      <c r="M29" s="62"/>
      <c r="N29" s="62">
        <v>24989.91224061664</v>
      </c>
      <c r="O29" s="62"/>
      <c r="P29" s="62"/>
      <c r="Q29" s="62"/>
      <c r="R29" s="62"/>
      <c r="S29" s="62"/>
      <c r="T29" s="7"/>
    </row>
    <row r="30" ht="14.25" customHeight="1">
      <c r="A30" s="100"/>
      <c r="B30" s="84" t="s">
        <v>100</v>
      </c>
      <c r="C30" s="62"/>
      <c r="D30" s="62">
        <v>26743.01933114487</v>
      </c>
      <c r="E30" s="62"/>
      <c r="F30" s="62"/>
      <c r="G30" s="62"/>
      <c r="H30" s="62"/>
      <c r="I30" s="62">
        <v>15552.132140768374</v>
      </c>
      <c r="J30" s="62"/>
      <c r="K30" s="62"/>
      <c r="L30" s="62"/>
      <c r="M30" s="62"/>
      <c r="N30" s="62"/>
      <c r="O30" s="62"/>
      <c r="P30" s="62"/>
      <c r="Q30" s="62">
        <v>42485.80121191021</v>
      </c>
      <c r="R30" s="62"/>
      <c r="S30" s="62"/>
      <c r="T30" s="7"/>
    </row>
    <row r="31" ht="14.25" customHeight="1">
      <c r="A31" s="61"/>
      <c r="B31" s="84" t="s">
        <v>68</v>
      </c>
      <c r="C31" s="62">
        <f t="shared" ref="C31:S31" si="27">SUM(C27:C30)</f>
        <v>9826.307044</v>
      </c>
      <c r="D31" s="62">
        <f t="shared" si="27"/>
        <v>36569.32637</v>
      </c>
      <c r="E31" s="62">
        <f t="shared" si="27"/>
        <v>9826.307044</v>
      </c>
      <c r="F31" s="62">
        <f t="shared" si="27"/>
        <v>24090.30114</v>
      </c>
      <c r="G31" s="62">
        <f t="shared" si="27"/>
        <v>26423.78475</v>
      </c>
      <c r="H31" s="62">
        <f t="shared" si="27"/>
        <v>63395.52931</v>
      </c>
      <c r="I31" s="62">
        <f t="shared" si="27"/>
        <v>25876.86476</v>
      </c>
      <c r="J31" s="62">
        <f t="shared" si="27"/>
        <v>18755.5077</v>
      </c>
      <c r="K31" s="62">
        <f t="shared" si="27"/>
        <v>10324.73262</v>
      </c>
      <c r="L31" s="62">
        <f t="shared" si="27"/>
        <v>10324.73262</v>
      </c>
      <c r="M31" s="62">
        <f t="shared" si="27"/>
        <v>41298.93047</v>
      </c>
      <c r="N31" s="62">
        <f t="shared" si="27"/>
        <v>41345.81338</v>
      </c>
      <c r="O31" s="62">
        <f t="shared" si="27"/>
        <v>16355.90114</v>
      </c>
      <c r="P31" s="62">
        <f t="shared" si="27"/>
        <v>82593.60032</v>
      </c>
      <c r="Q31" s="62">
        <f t="shared" si="27"/>
        <v>58841.70235</v>
      </c>
      <c r="R31" s="62">
        <f t="shared" si="27"/>
        <v>16355.90114</v>
      </c>
      <c r="S31" s="62">
        <f t="shared" si="27"/>
        <v>148017.2049</v>
      </c>
      <c r="T31" s="7"/>
    </row>
    <row r="32" ht="14.25" customHeight="1">
      <c r="A32" s="87" t="s">
        <v>106</v>
      </c>
      <c r="B32" s="87" t="s">
        <v>107</v>
      </c>
      <c r="C32" s="88">
        <v>18.0</v>
      </c>
      <c r="D32" s="88">
        <v>19.0</v>
      </c>
      <c r="E32" s="88">
        <v>20.0</v>
      </c>
      <c r="F32" s="89">
        <v>21.0</v>
      </c>
      <c r="G32" s="88">
        <v>22.0</v>
      </c>
      <c r="H32" s="88" t="s">
        <v>68</v>
      </c>
      <c r="I32" s="88">
        <v>23.0</v>
      </c>
      <c r="J32" s="88">
        <v>24.0</v>
      </c>
      <c r="K32" s="88">
        <v>25.0</v>
      </c>
      <c r="L32" s="88">
        <v>26.0</v>
      </c>
      <c r="M32" s="88" t="s">
        <v>68</v>
      </c>
      <c r="N32" s="88">
        <v>27.0</v>
      </c>
      <c r="O32" s="88">
        <v>28.0</v>
      </c>
      <c r="P32" s="89">
        <v>29.0</v>
      </c>
      <c r="Q32" s="88">
        <v>30.0</v>
      </c>
      <c r="R32" s="88">
        <v>31.0</v>
      </c>
      <c r="S32" s="88" t="s">
        <v>68</v>
      </c>
      <c r="T32" s="7"/>
    </row>
    <row r="33" ht="14.25" customHeight="1">
      <c r="A33" s="99" t="s">
        <v>81</v>
      </c>
      <c r="B33" s="84" t="s">
        <v>102</v>
      </c>
      <c r="C33" s="62">
        <f t="shared" ref="C33:E33" si="28">($H$33-$F$33)/4</f>
        <v>2883.807502</v>
      </c>
      <c r="D33" s="62">
        <f t="shared" si="28"/>
        <v>2883.807502</v>
      </c>
      <c r="E33" s="62">
        <f t="shared" si="28"/>
        <v>2883.807502</v>
      </c>
      <c r="F33" s="62">
        <f>H33*38%</f>
        <v>7069.979682</v>
      </c>
      <c r="G33" s="62">
        <f>($H$33-$F$33)/4</f>
        <v>2883.807502</v>
      </c>
      <c r="H33" s="62">
        <v>18605.209689908377</v>
      </c>
      <c r="I33" s="62">
        <f t="shared" ref="I33:L33" si="29">$M$33/4</f>
        <v>3030.084572</v>
      </c>
      <c r="J33" s="62">
        <f t="shared" si="29"/>
        <v>3030.084572</v>
      </c>
      <c r="K33" s="62">
        <f t="shared" si="29"/>
        <v>3030.084572</v>
      </c>
      <c r="L33" s="62">
        <f t="shared" si="29"/>
        <v>3030.084572</v>
      </c>
      <c r="M33" s="62">
        <v>12120.33828997382</v>
      </c>
      <c r="N33" s="62">
        <f t="shared" ref="N33:O33" si="30">($S$33-$P$33)/4</f>
        <v>4800.101421</v>
      </c>
      <c r="O33" s="62">
        <f t="shared" si="30"/>
        <v>4800.101421</v>
      </c>
      <c r="P33" s="62">
        <f>S33*55.8%</f>
        <v>24239.42618</v>
      </c>
      <c r="Q33" s="62">
        <f t="shared" ref="Q33:R33" si="31">($S$33-$P$33)/4</f>
        <v>4800.101421</v>
      </c>
      <c r="R33" s="62">
        <f t="shared" si="31"/>
        <v>4800.101421</v>
      </c>
      <c r="S33" s="62">
        <v>43439.831864875385</v>
      </c>
      <c r="T33" s="62">
        <f>SUM(H33,M33,S33)</f>
        <v>74165.37984</v>
      </c>
    </row>
    <row r="34" ht="14.25" customHeight="1">
      <c r="A34" s="100"/>
      <c r="B34" s="84" t="s">
        <v>99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7"/>
    </row>
    <row r="35" ht="14.25" customHeight="1">
      <c r="A35" s="100"/>
      <c r="B35" s="84" t="s">
        <v>101</v>
      </c>
      <c r="C35" s="62"/>
      <c r="D35" s="62"/>
      <c r="E35" s="62"/>
      <c r="F35" s="62"/>
      <c r="G35" s="62">
        <v>4870.998892518354</v>
      </c>
      <c r="H35" s="62"/>
      <c r="I35" s="62"/>
      <c r="J35" s="62">
        <v>2474.2492086959887</v>
      </c>
      <c r="K35" s="62"/>
      <c r="L35" s="62"/>
      <c r="M35" s="62"/>
      <c r="N35" s="62">
        <v>7333.995983659232</v>
      </c>
      <c r="O35" s="62"/>
      <c r="P35" s="62"/>
      <c r="Q35" s="62"/>
      <c r="R35" s="62"/>
      <c r="S35" s="62"/>
      <c r="T35" s="7"/>
    </row>
    <row r="36" ht="14.25" customHeight="1">
      <c r="A36" s="100"/>
      <c r="B36" s="84" t="s">
        <v>100</v>
      </c>
      <c r="C36" s="62"/>
      <c r="D36" s="62">
        <v>7848.494803705559</v>
      </c>
      <c r="E36" s="62"/>
      <c r="F36" s="62"/>
      <c r="G36" s="62"/>
      <c r="H36" s="62"/>
      <c r="I36" s="62">
        <v>4564.212693486371</v>
      </c>
      <c r="J36" s="62"/>
      <c r="K36" s="62"/>
      <c r="L36" s="62"/>
      <c r="M36" s="62"/>
      <c r="N36" s="62"/>
      <c r="O36" s="62"/>
      <c r="P36" s="62"/>
      <c r="Q36" s="62">
        <v>12468.659051321476</v>
      </c>
      <c r="R36" s="62"/>
      <c r="S36" s="62"/>
      <c r="T36" s="7"/>
    </row>
    <row r="37" ht="14.25" customHeight="1">
      <c r="A37" s="61"/>
      <c r="B37" s="84" t="s">
        <v>68</v>
      </c>
      <c r="C37" s="62">
        <f t="shared" ref="C37:S37" si="32">SUM(C33:C36)</f>
        <v>2883.807502</v>
      </c>
      <c r="D37" s="62">
        <f t="shared" si="32"/>
        <v>10732.30231</v>
      </c>
      <c r="E37" s="62">
        <f t="shared" si="32"/>
        <v>2883.807502</v>
      </c>
      <c r="F37" s="62">
        <f t="shared" si="32"/>
        <v>7069.979682</v>
      </c>
      <c r="G37" s="62">
        <f t="shared" si="32"/>
        <v>7754.806394</v>
      </c>
      <c r="H37" s="62">
        <f t="shared" si="32"/>
        <v>18605.20969</v>
      </c>
      <c r="I37" s="62">
        <f t="shared" si="32"/>
        <v>7594.297266</v>
      </c>
      <c r="J37" s="62">
        <f t="shared" si="32"/>
        <v>5504.333781</v>
      </c>
      <c r="K37" s="62">
        <f t="shared" si="32"/>
        <v>3030.084572</v>
      </c>
      <c r="L37" s="62">
        <f t="shared" si="32"/>
        <v>3030.084572</v>
      </c>
      <c r="M37" s="62">
        <f t="shared" si="32"/>
        <v>12120.33829</v>
      </c>
      <c r="N37" s="62">
        <f t="shared" si="32"/>
        <v>12134.0974</v>
      </c>
      <c r="O37" s="62">
        <f t="shared" si="32"/>
        <v>4800.101421</v>
      </c>
      <c r="P37" s="62">
        <f t="shared" si="32"/>
        <v>24239.42618</v>
      </c>
      <c r="Q37" s="62">
        <f t="shared" si="32"/>
        <v>17268.76047</v>
      </c>
      <c r="R37" s="62">
        <f t="shared" si="32"/>
        <v>4800.101421</v>
      </c>
      <c r="S37" s="62">
        <f t="shared" si="32"/>
        <v>43439.83186</v>
      </c>
      <c r="T37" s="7"/>
    </row>
    <row r="38" ht="14.25" customHeight="1">
      <c r="A38" s="87" t="s">
        <v>106</v>
      </c>
      <c r="B38" s="87" t="s">
        <v>107</v>
      </c>
      <c r="C38" s="88">
        <v>18.0</v>
      </c>
      <c r="D38" s="88">
        <v>19.0</v>
      </c>
      <c r="E38" s="88">
        <v>20.0</v>
      </c>
      <c r="F38" s="89">
        <v>21.0</v>
      </c>
      <c r="G38" s="88">
        <v>22.0</v>
      </c>
      <c r="H38" s="88" t="s">
        <v>68</v>
      </c>
      <c r="I38" s="88">
        <v>23.0</v>
      </c>
      <c r="J38" s="88">
        <v>24.0</v>
      </c>
      <c r="K38" s="88">
        <v>25.0</v>
      </c>
      <c r="L38" s="88">
        <v>26.0</v>
      </c>
      <c r="M38" s="88" t="s">
        <v>68</v>
      </c>
      <c r="N38" s="88">
        <v>27.0</v>
      </c>
      <c r="O38" s="88">
        <v>28.0</v>
      </c>
      <c r="P38" s="89">
        <v>29.0</v>
      </c>
      <c r="Q38" s="88">
        <v>30.0</v>
      </c>
      <c r="R38" s="88">
        <v>31.0</v>
      </c>
      <c r="S38" s="88" t="s">
        <v>68</v>
      </c>
      <c r="T38" s="7"/>
    </row>
    <row r="39" ht="14.25" customHeight="1">
      <c r="A39" s="99" t="s">
        <v>83</v>
      </c>
      <c r="B39" s="84" t="s">
        <v>102</v>
      </c>
      <c r="C39" s="62">
        <f t="shared" ref="C39:E39" si="33">($H$33-$F$33)/4</f>
        <v>2883.807502</v>
      </c>
      <c r="D39" s="62">
        <f t="shared" si="33"/>
        <v>2883.807502</v>
      </c>
      <c r="E39" s="62">
        <f t="shared" si="33"/>
        <v>2883.807502</v>
      </c>
      <c r="F39" s="62">
        <f>H39*38%</f>
        <v>7069.979682</v>
      </c>
      <c r="G39" s="62">
        <f>($H$33-$F$33)/4</f>
        <v>2883.807502</v>
      </c>
      <c r="H39" s="62">
        <v>18605.209689908377</v>
      </c>
      <c r="I39" s="62">
        <f t="shared" ref="I39:L39" si="34">$M$33/4</f>
        <v>3030.084572</v>
      </c>
      <c r="J39" s="62">
        <f t="shared" si="34"/>
        <v>3030.084572</v>
      </c>
      <c r="K39" s="62">
        <f t="shared" si="34"/>
        <v>3030.084572</v>
      </c>
      <c r="L39" s="62">
        <f t="shared" si="34"/>
        <v>3030.084572</v>
      </c>
      <c r="M39" s="62">
        <v>12120.33828997382</v>
      </c>
      <c r="N39" s="62">
        <f t="shared" ref="N39:O39" si="35">($S$33-$P$33)/4</f>
        <v>4800.101421</v>
      </c>
      <c r="O39" s="62">
        <f t="shared" si="35"/>
        <v>4800.101421</v>
      </c>
      <c r="P39" s="62">
        <f>S39*55.8%</f>
        <v>24239.42618</v>
      </c>
      <c r="Q39" s="62">
        <f t="shared" ref="Q39:R39" si="36">($S$33-$P$33)/4</f>
        <v>4800.101421</v>
      </c>
      <c r="R39" s="62">
        <f t="shared" si="36"/>
        <v>4800.101421</v>
      </c>
      <c r="S39" s="62">
        <v>43439.831864875385</v>
      </c>
      <c r="T39" s="62">
        <f>SUM(H39,M39,S39)</f>
        <v>74165.37984</v>
      </c>
    </row>
    <row r="40" ht="14.25" customHeight="1">
      <c r="A40" s="100"/>
      <c r="B40" s="84" t="s">
        <v>99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7"/>
    </row>
    <row r="41" ht="14.25" customHeight="1">
      <c r="A41" s="100"/>
      <c r="B41" s="84" t="s">
        <v>101</v>
      </c>
      <c r="C41" s="62"/>
      <c r="D41" s="62"/>
      <c r="E41" s="62"/>
      <c r="F41" s="62"/>
      <c r="G41" s="62">
        <v>4870.998892518354</v>
      </c>
      <c r="H41" s="62"/>
      <c r="I41" s="62"/>
      <c r="J41" s="62">
        <v>2474.2492086959887</v>
      </c>
      <c r="K41" s="62"/>
      <c r="L41" s="62"/>
      <c r="M41" s="62"/>
      <c r="N41" s="62">
        <v>7333.995983659232</v>
      </c>
      <c r="O41" s="62"/>
      <c r="P41" s="62"/>
      <c r="Q41" s="62"/>
      <c r="R41" s="62"/>
      <c r="S41" s="62"/>
      <c r="T41" s="7"/>
    </row>
    <row r="42" ht="14.25" customHeight="1">
      <c r="A42" s="100"/>
      <c r="B42" s="84" t="s">
        <v>100</v>
      </c>
      <c r="C42" s="62"/>
      <c r="D42" s="62">
        <v>7848.494803705559</v>
      </c>
      <c r="E42" s="62"/>
      <c r="F42" s="62"/>
      <c r="G42" s="62"/>
      <c r="H42" s="62"/>
      <c r="I42" s="62">
        <v>4564.212693486371</v>
      </c>
      <c r="J42" s="62"/>
      <c r="K42" s="62"/>
      <c r="L42" s="62"/>
      <c r="M42" s="62"/>
      <c r="N42" s="62"/>
      <c r="O42" s="62"/>
      <c r="P42" s="62"/>
      <c r="Q42" s="62">
        <v>12468.659051321476</v>
      </c>
      <c r="R42" s="62"/>
      <c r="S42" s="62"/>
      <c r="T42" s="7"/>
    </row>
    <row r="43" ht="14.25" customHeight="1">
      <c r="A43" s="61"/>
      <c r="B43" s="84" t="s">
        <v>68</v>
      </c>
      <c r="C43" s="62">
        <f t="shared" ref="C43:S43" si="37">SUM(C39:C42)</f>
        <v>2883.807502</v>
      </c>
      <c r="D43" s="62">
        <f t="shared" si="37"/>
        <v>10732.30231</v>
      </c>
      <c r="E43" s="62">
        <f t="shared" si="37"/>
        <v>2883.807502</v>
      </c>
      <c r="F43" s="62">
        <f t="shared" si="37"/>
        <v>7069.979682</v>
      </c>
      <c r="G43" s="62">
        <f t="shared" si="37"/>
        <v>7754.806394</v>
      </c>
      <c r="H43" s="62">
        <f t="shared" si="37"/>
        <v>18605.20969</v>
      </c>
      <c r="I43" s="62">
        <f t="shared" si="37"/>
        <v>7594.297266</v>
      </c>
      <c r="J43" s="62">
        <f t="shared" si="37"/>
        <v>5504.333781</v>
      </c>
      <c r="K43" s="62">
        <f t="shared" si="37"/>
        <v>3030.084572</v>
      </c>
      <c r="L43" s="62">
        <f t="shared" si="37"/>
        <v>3030.084572</v>
      </c>
      <c r="M43" s="62">
        <f t="shared" si="37"/>
        <v>12120.33829</v>
      </c>
      <c r="N43" s="62">
        <f t="shared" si="37"/>
        <v>12134.0974</v>
      </c>
      <c r="O43" s="62">
        <f t="shared" si="37"/>
        <v>4800.101421</v>
      </c>
      <c r="P43" s="62">
        <f t="shared" si="37"/>
        <v>24239.42618</v>
      </c>
      <c r="Q43" s="62">
        <f t="shared" si="37"/>
        <v>17268.76047</v>
      </c>
      <c r="R43" s="62">
        <f t="shared" si="37"/>
        <v>4800.101421</v>
      </c>
      <c r="S43" s="62">
        <f t="shared" si="37"/>
        <v>43439.83186</v>
      </c>
      <c r="T43" s="7"/>
    </row>
    <row r="44" ht="14.25" customHeight="1">
      <c r="A44" s="87" t="s">
        <v>106</v>
      </c>
      <c r="B44" s="87" t="s">
        <v>107</v>
      </c>
      <c r="C44" s="88">
        <v>18.0</v>
      </c>
      <c r="D44" s="88">
        <v>19.0</v>
      </c>
      <c r="E44" s="88">
        <v>20.0</v>
      </c>
      <c r="F44" s="89">
        <v>21.0</v>
      </c>
      <c r="G44" s="88">
        <v>22.0</v>
      </c>
      <c r="H44" s="88" t="s">
        <v>68</v>
      </c>
      <c r="I44" s="88">
        <v>23.0</v>
      </c>
      <c r="J44" s="88">
        <v>24.0</v>
      </c>
      <c r="K44" s="88">
        <v>25.0</v>
      </c>
      <c r="L44" s="88">
        <v>26.0</v>
      </c>
      <c r="M44" s="88" t="s">
        <v>68</v>
      </c>
      <c r="N44" s="88">
        <v>27.0</v>
      </c>
      <c r="O44" s="88">
        <v>28.0</v>
      </c>
      <c r="P44" s="89">
        <v>29.0</v>
      </c>
      <c r="Q44" s="88">
        <v>30.0</v>
      </c>
      <c r="R44" s="88">
        <v>31.0</v>
      </c>
      <c r="S44" s="88" t="s">
        <v>68</v>
      </c>
      <c r="T44" s="7"/>
    </row>
    <row r="45" ht="14.25" customHeight="1">
      <c r="A45" s="99" t="s">
        <v>85</v>
      </c>
      <c r="B45" s="84" t="s">
        <v>102</v>
      </c>
      <c r="C45" s="62">
        <f t="shared" ref="C45:E45" si="38">($H$45-$F$45)/4</f>
        <v>8376.634865</v>
      </c>
      <c r="D45" s="62">
        <f t="shared" si="38"/>
        <v>8376.634865</v>
      </c>
      <c r="E45" s="62">
        <f t="shared" si="38"/>
        <v>8376.634865</v>
      </c>
      <c r="F45" s="62">
        <f>H45*38%</f>
        <v>20536.26612</v>
      </c>
      <c r="G45" s="62">
        <f>($H$45-$F$45)/4</f>
        <v>8376.634865</v>
      </c>
      <c r="H45" s="62">
        <v>54042.8055837081</v>
      </c>
      <c r="I45" s="68">
        <f t="shared" ref="I45:L45" si="39">$M$45/4</f>
        <v>8577.532939</v>
      </c>
      <c r="J45" s="68">
        <f t="shared" si="39"/>
        <v>8577.532939</v>
      </c>
      <c r="K45" s="68">
        <f t="shared" si="39"/>
        <v>8577.532939</v>
      </c>
      <c r="L45" s="68">
        <f t="shared" si="39"/>
        <v>8577.532939</v>
      </c>
      <c r="M45" s="62">
        <v>34310.13175571707</v>
      </c>
      <c r="N45" s="62">
        <f t="shared" ref="N45:O45" si="40">($S$45-$P$45)/4</f>
        <v>12980.09918</v>
      </c>
      <c r="O45" s="62">
        <f t="shared" si="40"/>
        <v>12980.09918</v>
      </c>
      <c r="P45" s="62">
        <f>S45*55.8%</f>
        <v>65546.5642</v>
      </c>
      <c r="Q45" s="62">
        <f t="shared" ref="Q45:R45" si="41">($S$45-$P$45)/4</f>
        <v>12980.09918</v>
      </c>
      <c r="R45" s="62">
        <f t="shared" si="41"/>
        <v>12980.09918</v>
      </c>
      <c r="S45" s="62">
        <v>117466.96093440446</v>
      </c>
      <c r="T45" s="62">
        <f>SUM(H45,M45,S45)</f>
        <v>205819.8983</v>
      </c>
    </row>
    <row r="46" ht="14.25" customHeight="1">
      <c r="A46" s="100"/>
      <c r="B46" s="84" t="s">
        <v>99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7"/>
    </row>
    <row r="47" ht="14.25" customHeight="1">
      <c r="A47" s="100"/>
      <c r="B47" s="84" t="s">
        <v>101</v>
      </c>
      <c r="C47" s="62"/>
      <c r="D47" s="62"/>
      <c r="E47" s="62"/>
      <c r="F47" s="62"/>
      <c r="G47" s="62">
        <v>9917.035020648793</v>
      </c>
      <c r="H47" s="62"/>
      <c r="I47" s="62"/>
      <c r="J47" s="62">
        <v>5037.409491128972</v>
      </c>
      <c r="K47" s="62"/>
      <c r="L47" s="62"/>
      <c r="M47" s="62"/>
      <c r="N47" s="62">
        <v>14931.535936696398</v>
      </c>
      <c r="O47" s="62"/>
      <c r="P47" s="62"/>
      <c r="Q47" s="62"/>
      <c r="R47" s="62"/>
      <c r="S47" s="62"/>
      <c r="T47" s="7"/>
    </row>
    <row r="48" ht="14.25" customHeight="1">
      <c r="A48" s="100"/>
      <c r="B48" s="84" t="s">
        <v>100</v>
      </c>
      <c r="C48" s="62"/>
      <c r="D48" s="62">
        <v>7594.967184677672</v>
      </c>
      <c r="E48" s="62"/>
      <c r="F48" s="62"/>
      <c r="G48" s="62"/>
      <c r="H48" s="62"/>
      <c r="I48" s="62">
        <v>4416.776273401066</v>
      </c>
      <c r="J48" s="62"/>
      <c r="K48" s="62"/>
      <c r="L48" s="62"/>
      <c r="M48" s="62"/>
      <c r="N48" s="62"/>
      <c r="O48" s="62"/>
      <c r="P48" s="62"/>
      <c r="Q48" s="62">
        <v>12065.887625613253</v>
      </c>
      <c r="R48" s="62"/>
      <c r="S48" s="62"/>
      <c r="T48" s="7"/>
    </row>
    <row r="49" ht="14.25" customHeight="1">
      <c r="A49" s="61"/>
      <c r="B49" s="84" t="s">
        <v>68</v>
      </c>
      <c r="C49" s="62">
        <f t="shared" ref="C49:S49" si="42">SUM(C45:C48)</f>
        <v>8376.634865</v>
      </c>
      <c r="D49" s="62">
        <f t="shared" si="42"/>
        <v>15971.60205</v>
      </c>
      <c r="E49" s="62">
        <f t="shared" si="42"/>
        <v>8376.634865</v>
      </c>
      <c r="F49" s="62">
        <f t="shared" si="42"/>
        <v>20536.26612</v>
      </c>
      <c r="G49" s="62">
        <f t="shared" si="42"/>
        <v>18293.66989</v>
      </c>
      <c r="H49" s="62">
        <f t="shared" si="42"/>
        <v>54042.80558</v>
      </c>
      <c r="I49" s="62">
        <f t="shared" si="42"/>
        <v>12994.30921</v>
      </c>
      <c r="J49" s="62">
        <f t="shared" si="42"/>
        <v>13614.94243</v>
      </c>
      <c r="K49" s="62">
        <f t="shared" si="42"/>
        <v>8577.532939</v>
      </c>
      <c r="L49" s="62">
        <f t="shared" si="42"/>
        <v>8577.532939</v>
      </c>
      <c r="M49" s="62">
        <f t="shared" si="42"/>
        <v>34310.13176</v>
      </c>
      <c r="N49" s="62">
        <f t="shared" si="42"/>
        <v>27911.63512</v>
      </c>
      <c r="O49" s="62">
        <f t="shared" si="42"/>
        <v>12980.09918</v>
      </c>
      <c r="P49" s="62">
        <f t="shared" si="42"/>
        <v>65546.5642</v>
      </c>
      <c r="Q49" s="62">
        <f t="shared" si="42"/>
        <v>25045.98681</v>
      </c>
      <c r="R49" s="62">
        <f t="shared" si="42"/>
        <v>12980.09918</v>
      </c>
      <c r="S49" s="62">
        <f t="shared" si="42"/>
        <v>117466.9609</v>
      </c>
      <c r="T49" s="7"/>
    </row>
    <row r="50" ht="14.25" customHeight="1">
      <c r="A50" s="87" t="s">
        <v>106</v>
      </c>
      <c r="B50" s="87" t="s">
        <v>107</v>
      </c>
      <c r="C50" s="88">
        <v>18.0</v>
      </c>
      <c r="D50" s="88">
        <v>19.0</v>
      </c>
      <c r="E50" s="88">
        <v>20.0</v>
      </c>
      <c r="F50" s="89">
        <v>21.0</v>
      </c>
      <c r="G50" s="88">
        <v>22.0</v>
      </c>
      <c r="H50" s="88" t="s">
        <v>68</v>
      </c>
      <c r="I50" s="88">
        <v>23.0</v>
      </c>
      <c r="J50" s="88">
        <v>24.0</v>
      </c>
      <c r="K50" s="88">
        <v>25.0</v>
      </c>
      <c r="L50" s="88">
        <v>26.0</v>
      </c>
      <c r="M50" s="88" t="s">
        <v>68</v>
      </c>
      <c r="N50" s="88">
        <v>27.0</v>
      </c>
      <c r="O50" s="88">
        <v>28.0</v>
      </c>
      <c r="P50" s="89">
        <v>29.0</v>
      </c>
      <c r="Q50" s="88">
        <v>30.0</v>
      </c>
      <c r="R50" s="88">
        <v>31.0</v>
      </c>
      <c r="S50" s="88" t="s">
        <v>68</v>
      </c>
      <c r="T50" s="7"/>
    </row>
    <row r="51" ht="14.25" customHeight="1">
      <c r="A51" s="99" t="s">
        <v>87</v>
      </c>
      <c r="B51" s="84" t="s">
        <v>102</v>
      </c>
      <c r="C51" s="62">
        <f t="shared" ref="C51:E51" si="43">($H$51-$F$51)/4</f>
        <v>3705.050037</v>
      </c>
      <c r="D51" s="62">
        <f t="shared" si="43"/>
        <v>3705.050037</v>
      </c>
      <c r="E51" s="62">
        <f t="shared" si="43"/>
        <v>3705.050037</v>
      </c>
      <c r="F51" s="62">
        <f>H51*38%</f>
        <v>9083.348477</v>
      </c>
      <c r="G51" s="62">
        <f>($H$51-$F$51)/4</f>
        <v>3705.050037</v>
      </c>
      <c r="H51" s="62">
        <v>23903.54862356319</v>
      </c>
      <c r="I51" s="62">
        <f t="shared" ref="I51:L51" si="44">$M$51/4</f>
        <v>3793.9088</v>
      </c>
      <c r="J51" s="62">
        <f t="shared" si="44"/>
        <v>3793.9088</v>
      </c>
      <c r="K51" s="62">
        <f t="shared" si="44"/>
        <v>3793.9088</v>
      </c>
      <c r="L51" s="62">
        <f t="shared" si="44"/>
        <v>3793.9088</v>
      </c>
      <c r="M51" s="62">
        <v>15175.63519964409</v>
      </c>
      <c r="N51" s="62">
        <f t="shared" ref="N51:O51" si="45">($S$51-$P$51)/4</f>
        <v>5741.197716</v>
      </c>
      <c r="O51" s="62">
        <f t="shared" si="45"/>
        <v>5741.197716</v>
      </c>
      <c r="P51" s="62">
        <f>S51*55.8%</f>
        <v>28991.74955</v>
      </c>
      <c r="Q51" s="62">
        <f t="shared" ref="Q51:R51" si="46">($S$51-$P$51)/4</f>
        <v>5741.197716</v>
      </c>
      <c r="R51" s="62">
        <f t="shared" si="46"/>
        <v>5741.197716</v>
      </c>
      <c r="S51" s="62">
        <v>51956.54041329427</v>
      </c>
      <c r="T51" s="62">
        <f>SUM(H51,M51,S51)</f>
        <v>91035.72424</v>
      </c>
    </row>
    <row r="52" ht="14.25" customHeight="1">
      <c r="A52" s="100"/>
      <c r="B52" s="84" t="s">
        <v>99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7"/>
    </row>
    <row r="53" ht="14.25" customHeight="1">
      <c r="A53" s="100"/>
      <c r="B53" s="84" t="s">
        <v>101</v>
      </c>
      <c r="C53" s="62"/>
      <c r="D53" s="62"/>
      <c r="E53" s="62"/>
      <c r="F53" s="62"/>
      <c r="G53" s="62">
        <v>4386.380874517735</v>
      </c>
      <c r="H53" s="62"/>
      <c r="I53" s="62"/>
      <c r="J53" s="62">
        <v>2228.0849672301224</v>
      </c>
      <c r="K53" s="62"/>
      <c r="L53" s="62"/>
      <c r="M53" s="62"/>
      <c r="N53" s="62">
        <v>6604.33320276956</v>
      </c>
      <c r="O53" s="62"/>
      <c r="P53" s="62"/>
      <c r="Q53" s="62"/>
      <c r="R53" s="62"/>
      <c r="S53" s="62"/>
      <c r="T53" s="7"/>
    </row>
    <row r="54" ht="14.25" customHeight="1">
      <c r="A54" s="100"/>
      <c r="B54" s="84" t="s">
        <v>100</v>
      </c>
      <c r="C54" s="62"/>
      <c r="D54" s="62">
        <v>3359.312408607431</v>
      </c>
      <c r="E54" s="62"/>
      <c r="F54" s="62"/>
      <c r="G54" s="62"/>
      <c r="H54" s="62"/>
      <c r="I54" s="62">
        <v>1953.5741209273945</v>
      </c>
      <c r="J54" s="62"/>
      <c r="K54" s="62"/>
      <c r="L54" s="62"/>
      <c r="M54" s="62"/>
      <c r="N54" s="62"/>
      <c r="O54" s="62"/>
      <c r="P54" s="62"/>
      <c r="Q54" s="62">
        <v>5336.834911328938</v>
      </c>
      <c r="R54" s="62"/>
      <c r="S54" s="62"/>
      <c r="T54" s="7"/>
    </row>
    <row r="55" ht="14.25" customHeight="1">
      <c r="A55" s="61"/>
      <c r="B55" s="84" t="s">
        <v>68</v>
      </c>
      <c r="C55" s="62">
        <f t="shared" ref="C55:S55" si="47">SUM(C51:C54)</f>
        <v>3705.050037</v>
      </c>
      <c r="D55" s="62">
        <f t="shared" si="47"/>
        <v>7064.362445</v>
      </c>
      <c r="E55" s="62">
        <f t="shared" si="47"/>
        <v>3705.050037</v>
      </c>
      <c r="F55" s="62">
        <f t="shared" si="47"/>
        <v>9083.348477</v>
      </c>
      <c r="G55" s="62">
        <f t="shared" si="47"/>
        <v>8091.430911</v>
      </c>
      <c r="H55" s="62">
        <f t="shared" si="47"/>
        <v>23903.54862</v>
      </c>
      <c r="I55" s="62">
        <f t="shared" si="47"/>
        <v>5747.482921</v>
      </c>
      <c r="J55" s="62">
        <f t="shared" si="47"/>
        <v>6021.993767</v>
      </c>
      <c r="K55" s="62">
        <f t="shared" si="47"/>
        <v>3793.9088</v>
      </c>
      <c r="L55" s="62">
        <f t="shared" si="47"/>
        <v>3793.9088</v>
      </c>
      <c r="M55" s="62">
        <f t="shared" si="47"/>
        <v>15175.6352</v>
      </c>
      <c r="N55" s="62">
        <f t="shared" si="47"/>
        <v>12345.53092</v>
      </c>
      <c r="O55" s="62">
        <f t="shared" si="47"/>
        <v>5741.197716</v>
      </c>
      <c r="P55" s="62">
        <f t="shared" si="47"/>
        <v>28991.74955</v>
      </c>
      <c r="Q55" s="62">
        <f t="shared" si="47"/>
        <v>11078.03263</v>
      </c>
      <c r="R55" s="62">
        <f t="shared" si="47"/>
        <v>5741.197716</v>
      </c>
      <c r="S55" s="62">
        <f t="shared" si="47"/>
        <v>51956.54041</v>
      </c>
      <c r="T55" s="7"/>
    </row>
    <row r="56" ht="14.25" customHeight="1">
      <c r="A56" s="87" t="s">
        <v>106</v>
      </c>
      <c r="B56" s="87" t="s">
        <v>107</v>
      </c>
      <c r="C56" s="88">
        <v>18.0</v>
      </c>
      <c r="D56" s="88">
        <v>19.0</v>
      </c>
      <c r="E56" s="88">
        <v>20.0</v>
      </c>
      <c r="F56" s="89">
        <v>21.0</v>
      </c>
      <c r="G56" s="88">
        <v>22.0</v>
      </c>
      <c r="H56" s="88" t="s">
        <v>68</v>
      </c>
      <c r="I56" s="88">
        <v>23.0</v>
      </c>
      <c r="J56" s="88">
        <v>24.0</v>
      </c>
      <c r="K56" s="88">
        <v>25.0</v>
      </c>
      <c r="L56" s="88">
        <v>26.0</v>
      </c>
      <c r="M56" s="88" t="s">
        <v>68</v>
      </c>
      <c r="N56" s="88">
        <v>27.0</v>
      </c>
      <c r="O56" s="88">
        <v>28.0</v>
      </c>
      <c r="P56" s="89">
        <v>29.0</v>
      </c>
      <c r="Q56" s="88">
        <v>30.0</v>
      </c>
      <c r="R56" s="88">
        <v>31.0</v>
      </c>
      <c r="S56" s="88" t="s">
        <v>68</v>
      </c>
      <c r="T56" s="7"/>
    </row>
    <row r="57" ht="14.25" customHeight="1">
      <c r="A57" s="99" t="s">
        <v>89</v>
      </c>
      <c r="B57" s="84" t="s">
        <v>102</v>
      </c>
      <c r="C57" s="62">
        <f t="shared" ref="C57:E57" si="48">($H$57-$F$57)/4</f>
        <v>6121.387017</v>
      </c>
      <c r="D57" s="62">
        <f t="shared" si="48"/>
        <v>6121.387017</v>
      </c>
      <c r="E57" s="62">
        <f t="shared" si="48"/>
        <v>6121.387017</v>
      </c>
      <c r="F57" s="62">
        <f>H57*38%</f>
        <v>15007.2714</v>
      </c>
      <c r="G57" s="62">
        <f>($H$57-$F$57)/4</f>
        <v>6121.387017</v>
      </c>
      <c r="H57" s="62">
        <v>39492.81946501745</v>
      </c>
      <c r="I57" s="62">
        <f t="shared" ref="I57:L57" si="49">$M$57/4</f>
        <v>6268.197148</v>
      </c>
      <c r="J57" s="62">
        <f t="shared" si="49"/>
        <v>6268.197148</v>
      </c>
      <c r="K57" s="62">
        <f t="shared" si="49"/>
        <v>6268.197148</v>
      </c>
      <c r="L57" s="62">
        <f t="shared" si="49"/>
        <v>6268.197148</v>
      </c>
      <c r="M57" s="101">
        <v>25072.78859071632</v>
      </c>
      <c r="N57" s="62">
        <f t="shared" ref="N57:O57" si="50">($S$57-$P$57)/4</f>
        <v>9485.457095</v>
      </c>
      <c r="O57" s="62">
        <f t="shared" si="50"/>
        <v>9485.457095</v>
      </c>
      <c r="P57" s="62">
        <f>S57*55.8%</f>
        <v>47899.4123</v>
      </c>
      <c r="Q57" s="62">
        <f t="shared" ref="Q57:R57" si="51">($S$57-$P$57)/4</f>
        <v>9485.457095</v>
      </c>
      <c r="R57" s="62">
        <f t="shared" si="51"/>
        <v>9485.457095</v>
      </c>
      <c r="S57" s="62">
        <v>85841.24068283402</v>
      </c>
      <c r="T57" s="62">
        <f>SUM(H57,M57,S57)</f>
        <v>150406.8487</v>
      </c>
    </row>
    <row r="58" ht="14.25" customHeight="1">
      <c r="A58" s="100"/>
      <c r="B58" s="84" t="s">
        <v>99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7"/>
    </row>
    <row r="59" ht="14.25" customHeight="1">
      <c r="A59" s="100"/>
      <c r="B59" s="84" t="s">
        <v>101</v>
      </c>
      <c r="C59" s="62"/>
      <c r="D59" s="62"/>
      <c r="E59" s="62"/>
      <c r="F59" s="62"/>
      <c r="G59" s="62">
        <v>7247.06405355104</v>
      </c>
      <c r="H59" s="62"/>
      <c r="I59" s="62"/>
      <c r="J59" s="62">
        <v>3681.1838589019417</v>
      </c>
      <c r="K59" s="62"/>
      <c r="L59" s="62"/>
      <c r="M59" s="62"/>
      <c r="N59" s="62">
        <v>10911.50703066275</v>
      </c>
      <c r="O59" s="62"/>
      <c r="P59" s="62"/>
      <c r="Q59" s="62"/>
      <c r="R59" s="62"/>
      <c r="S59" s="62"/>
      <c r="T59" s="7"/>
    </row>
    <row r="60" ht="14.25" customHeight="1">
      <c r="A60" s="100"/>
      <c r="B60" s="84" t="s">
        <v>100</v>
      </c>
      <c r="C60" s="62"/>
      <c r="D60" s="62">
        <v>5550.168327264451</v>
      </c>
      <c r="E60" s="62"/>
      <c r="F60" s="62"/>
      <c r="G60" s="62"/>
      <c r="H60" s="62"/>
      <c r="I60" s="62">
        <v>3227.6441997930865</v>
      </c>
      <c r="J60" s="62"/>
      <c r="K60" s="62"/>
      <c r="L60" s="62"/>
      <c r="M60" s="62"/>
      <c r="N60" s="62"/>
      <c r="O60" s="62"/>
      <c r="P60" s="62"/>
      <c r="Q60" s="62">
        <v>8817.379418717375</v>
      </c>
      <c r="R60" s="62"/>
      <c r="S60" s="62"/>
      <c r="T60" s="7"/>
    </row>
    <row r="61" ht="14.25" customHeight="1">
      <c r="A61" s="61"/>
      <c r="B61" s="84" t="s">
        <v>68</v>
      </c>
      <c r="C61" s="62">
        <f t="shared" ref="C61:S61" si="52">SUM(C57:C60)</f>
        <v>6121.387017</v>
      </c>
      <c r="D61" s="62">
        <f t="shared" si="52"/>
        <v>11671.55534</v>
      </c>
      <c r="E61" s="62">
        <f t="shared" si="52"/>
        <v>6121.387017</v>
      </c>
      <c r="F61" s="62">
        <f t="shared" si="52"/>
        <v>15007.2714</v>
      </c>
      <c r="G61" s="62">
        <f t="shared" si="52"/>
        <v>13368.45107</v>
      </c>
      <c r="H61" s="62">
        <f t="shared" si="52"/>
        <v>39492.81947</v>
      </c>
      <c r="I61" s="62">
        <f t="shared" si="52"/>
        <v>9495.841347</v>
      </c>
      <c r="J61" s="62">
        <f t="shared" si="52"/>
        <v>9949.381007</v>
      </c>
      <c r="K61" s="62">
        <f t="shared" si="52"/>
        <v>6268.197148</v>
      </c>
      <c r="L61" s="62">
        <f t="shared" si="52"/>
        <v>6268.197148</v>
      </c>
      <c r="M61" s="62">
        <f t="shared" si="52"/>
        <v>25072.78859</v>
      </c>
      <c r="N61" s="62">
        <f t="shared" si="52"/>
        <v>20396.96413</v>
      </c>
      <c r="O61" s="62">
        <f t="shared" si="52"/>
        <v>9485.457095</v>
      </c>
      <c r="P61" s="62">
        <f t="shared" si="52"/>
        <v>47899.4123</v>
      </c>
      <c r="Q61" s="62">
        <f t="shared" si="52"/>
        <v>18302.83651</v>
      </c>
      <c r="R61" s="62">
        <f t="shared" si="52"/>
        <v>9485.457095</v>
      </c>
      <c r="S61" s="62">
        <f t="shared" si="52"/>
        <v>85841.24068</v>
      </c>
      <c r="T61" s="7"/>
    </row>
    <row r="62" ht="14.25" customHeight="1"/>
    <row r="63" ht="14.25" customHeight="1">
      <c r="T63" s="71"/>
    </row>
    <row r="64" ht="14.25" customHeight="1">
      <c r="Q64" s="71"/>
      <c r="R64" s="71"/>
      <c r="S64" s="71"/>
    </row>
    <row r="65" ht="14.25" customHeight="1">
      <c r="S65" s="71"/>
    </row>
    <row r="66" ht="14.25" customHeight="1">
      <c r="S66" s="71"/>
    </row>
    <row r="67" ht="14.25" customHeight="1">
      <c r="S67" s="71"/>
    </row>
    <row r="68" ht="14.25" customHeight="1">
      <c r="S68" s="71"/>
    </row>
    <row r="69" ht="14.25" customHeight="1">
      <c r="S69" s="71"/>
    </row>
    <row r="70" ht="14.25" customHeight="1">
      <c r="S70" s="71"/>
    </row>
    <row r="71" ht="14.25" customHeight="1">
      <c r="S71" s="71"/>
    </row>
    <row r="72" ht="14.25" customHeight="1">
      <c r="S72" s="71"/>
    </row>
    <row r="73" ht="14.25" customHeight="1">
      <c r="S73" s="71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>
      <c r="S80" s="71"/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C1:H1"/>
    <mergeCell ref="I1:M1"/>
    <mergeCell ref="N1:S1"/>
    <mergeCell ref="W2:W3"/>
    <mergeCell ref="X2:X3"/>
    <mergeCell ref="Z2:Z3"/>
    <mergeCell ref="AA2:AA3"/>
    <mergeCell ref="A45:A49"/>
    <mergeCell ref="A51:A55"/>
    <mergeCell ref="A57:A61"/>
    <mergeCell ref="A3:A7"/>
    <mergeCell ref="A9:A13"/>
    <mergeCell ref="A15:A19"/>
    <mergeCell ref="A21:A25"/>
    <mergeCell ref="A27:A31"/>
    <mergeCell ref="A33:A37"/>
    <mergeCell ref="A39:A4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8.63"/>
    <col customWidth="1" min="3" max="3" width="12.13"/>
    <col customWidth="1" min="4" max="4" width="12.5"/>
    <col customWidth="1" min="5" max="5" width="13.5"/>
    <col customWidth="1" min="6" max="6" width="14.0"/>
    <col customWidth="1" min="7" max="7" width="13.5"/>
    <col customWidth="1" min="8" max="8" width="12.5"/>
    <col customWidth="1" min="9" max="16" width="12.13"/>
    <col customWidth="1" min="17" max="21" width="11.5"/>
    <col customWidth="1" min="22" max="22" width="68.75"/>
    <col customWidth="1" min="23" max="36" width="11.5"/>
  </cols>
  <sheetData>
    <row r="1" ht="14.25" customHeight="1">
      <c r="A1" s="83" t="s">
        <v>62</v>
      </c>
      <c r="B1" s="84"/>
      <c r="C1" s="102"/>
      <c r="D1" s="85"/>
      <c r="E1" s="86"/>
      <c r="F1" s="86"/>
      <c r="G1" s="86"/>
      <c r="H1" s="86"/>
      <c r="I1" s="86"/>
      <c r="J1" s="85"/>
      <c r="K1" s="86"/>
      <c r="L1" s="86"/>
      <c r="M1" s="86"/>
      <c r="N1" s="86"/>
      <c r="O1" s="85"/>
      <c r="P1" s="86"/>
      <c r="Q1" s="86"/>
      <c r="R1" s="86"/>
      <c r="S1" s="86"/>
      <c r="T1" s="86"/>
    </row>
    <row r="2" ht="14.25" customHeight="1">
      <c r="A2" s="87" t="s">
        <v>106</v>
      </c>
      <c r="B2" s="87" t="s">
        <v>107</v>
      </c>
      <c r="C2" s="103">
        <v>15.0</v>
      </c>
      <c r="D2" s="88">
        <v>16.0</v>
      </c>
      <c r="E2" s="88">
        <v>17.0</v>
      </c>
      <c r="F2" s="88">
        <v>18.0</v>
      </c>
      <c r="G2" s="88">
        <v>19.0</v>
      </c>
      <c r="H2" s="88">
        <v>20.0</v>
      </c>
      <c r="I2" s="88">
        <v>21.0</v>
      </c>
      <c r="J2" s="88">
        <v>22.0</v>
      </c>
      <c r="K2" s="88">
        <v>23.0</v>
      </c>
      <c r="L2" s="88">
        <v>24.0</v>
      </c>
      <c r="M2" s="88">
        <v>25.0</v>
      </c>
      <c r="N2" s="88">
        <v>26.0</v>
      </c>
      <c r="O2" s="88">
        <v>27.0</v>
      </c>
      <c r="P2" s="88">
        <v>28.0</v>
      </c>
      <c r="Q2" s="88">
        <v>29.0</v>
      </c>
      <c r="R2" s="88">
        <v>30.0</v>
      </c>
      <c r="S2" s="88">
        <v>31.0</v>
      </c>
      <c r="T2" s="88" t="s">
        <v>68</v>
      </c>
    </row>
    <row r="3" ht="14.25" customHeight="1">
      <c r="A3" s="99" t="s">
        <v>71</v>
      </c>
      <c r="B3" s="84" t="s">
        <v>102</v>
      </c>
      <c r="C3" s="62"/>
      <c r="D3" s="62">
        <f>(T3-C8)/14</f>
        <v>43757.54612</v>
      </c>
      <c r="E3" s="62">
        <f t="shared" ref="E3:Q3" si="1">D3</f>
        <v>43757.54612</v>
      </c>
      <c r="F3" s="62">
        <f t="shared" si="1"/>
        <v>43757.54612</v>
      </c>
      <c r="G3" s="62">
        <f t="shared" si="1"/>
        <v>43757.54612</v>
      </c>
      <c r="H3" s="62">
        <f t="shared" si="1"/>
        <v>43757.54612</v>
      </c>
      <c r="I3" s="62">
        <f t="shared" si="1"/>
        <v>43757.54612</v>
      </c>
      <c r="J3" s="62">
        <f t="shared" si="1"/>
        <v>43757.54612</v>
      </c>
      <c r="K3" s="62">
        <f t="shared" si="1"/>
        <v>43757.54612</v>
      </c>
      <c r="L3" s="62">
        <f t="shared" si="1"/>
        <v>43757.54612</v>
      </c>
      <c r="M3" s="62">
        <f t="shared" si="1"/>
        <v>43757.54612</v>
      </c>
      <c r="N3" s="62">
        <f t="shared" si="1"/>
        <v>43757.54612</v>
      </c>
      <c r="O3" s="62">
        <f t="shared" si="1"/>
        <v>43757.54612</v>
      </c>
      <c r="P3" s="62">
        <f t="shared" si="1"/>
        <v>43757.54612</v>
      </c>
      <c r="Q3" s="62">
        <f t="shared" si="1"/>
        <v>43757.54612</v>
      </c>
      <c r="R3" s="62"/>
      <c r="S3" s="62"/>
      <c r="T3" s="62">
        <f>T7+10000</f>
        <v>621565.6457</v>
      </c>
      <c r="U3" s="66"/>
      <c r="V3" s="104" t="s">
        <v>110</v>
      </c>
    </row>
    <row r="4" ht="14.25" customHeight="1">
      <c r="A4" s="100"/>
      <c r="B4" s="84" t="s">
        <v>99</v>
      </c>
      <c r="C4" s="62"/>
      <c r="D4" s="62"/>
      <c r="E4" s="62"/>
      <c r="F4" s="62"/>
      <c r="G4" s="62">
        <v>65046.72378298782</v>
      </c>
      <c r="H4" s="62"/>
      <c r="I4" s="62"/>
      <c r="J4" s="62"/>
      <c r="K4" s="62">
        <v>30165.77354890417</v>
      </c>
      <c r="L4" s="62"/>
      <c r="M4" s="62"/>
      <c r="N4" s="62"/>
      <c r="O4" s="62">
        <v>80815.38274004661</v>
      </c>
      <c r="P4" s="62"/>
      <c r="Q4" s="62"/>
      <c r="R4" s="62"/>
      <c r="S4" s="62"/>
      <c r="T4" s="62"/>
      <c r="U4" s="71"/>
    </row>
    <row r="5" ht="14.25" customHeight="1">
      <c r="A5" s="100"/>
      <c r="B5" s="84" t="s">
        <v>101</v>
      </c>
      <c r="C5" s="62"/>
      <c r="D5" s="62"/>
      <c r="E5" s="62"/>
      <c r="F5" s="62"/>
      <c r="G5" s="62"/>
      <c r="H5" s="62"/>
      <c r="I5" s="62">
        <v>24460.42733905322</v>
      </c>
      <c r="J5" s="62"/>
      <c r="K5" s="62">
        <v>12424.80122115734</v>
      </c>
      <c r="L5" s="62"/>
      <c r="M5" s="62"/>
      <c r="N5" s="62">
        <v>36828.724420106955</v>
      </c>
      <c r="O5" s="62"/>
      <c r="P5" s="62"/>
      <c r="Q5" s="62"/>
      <c r="R5" s="62"/>
      <c r="S5" s="62"/>
      <c r="T5" s="62"/>
      <c r="U5" s="71"/>
    </row>
    <row r="6" ht="14.25" customHeight="1">
      <c r="A6" s="100"/>
      <c r="B6" s="84" t="s">
        <v>100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71"/>
    </row>
    <row r="7" ht="14.25" customHeight="1">
      <c r="A7" s="100"/>
      <c r="B7" s="84" t="s">
        <v>111</v>
      </c>
      <c r="C7" s="62"/>
      <c r="D7" s="62"/>
      <c r="E7" s="62"/>
      <c r="F7" s="62">
        <v>22898.383479969114</v>
      </c>
      <c r="G7" s="62">
        <v>22898.383479969114</v>
      </c>
      <c r="H7" s="62">
        <v>22898.383479969114</v>
      </c>
      <c r="I7" s="62">
        <v>56137.97240250492</v>
      </c>
      <c r="J7" s="62">
        <v>22898.383479969114</v>
      </c>
      <c r="K7" s="62">
        <v>25627.305026115377</v>
      </c>
      <c r="L7" s="62">
        <v>25627.305026115377</v>
      </c>
      <c r="M7" s="62">
        <v>25627.305026115377</v>
      </c>
      <c r="N7" s="62">
        <v>25627.305026115377</v>
      </c>
      <c r="O7" s="62">
        <v>39926.403584623535</v>
      </c>
      <c r="P7" s="62">
        <v>39926.403584623535</v>
      </c>
      <c r="Q7" s="62">
        <v>201619.30497936584</v>
      </c>
      <c r="R7" s="62">
        <v>39926.403584623535</v>
      </c>
      <c r="S7" s="62">
        <v>39926.403584623535</v>
      </c>
      <c r="T7" s="62">
        <f>SUM(F7:S7)</f>
        <v>611565.6457</v>
      </c>
      <c r="U7" s="71"/>
      <c r="V7" s="71"/>
    </row>
    <row r="8" ht="14.25" customHeight="1">
      <c r="A8" s="100"/>
      <c r="B8" s="84" t="s">
        <v>112</v>
      </c>
      <c r="C8" s="62">
        <v>8960.0</v>
      </c>
      <c r="D8" s="62">
        <f t="shared" ref="D8:S8" si="2">C8+D3-D7</f>
        <v>52717.54612</v>
      </c>
      <c r="E8" s="62">
        <f t="shared" si="2"/>
        <v>96475.09225</v>
      </c>
      <c r="F8" s="62">
        <f t="shared" si="2"/>
        <v>117334.2549</v>
      </c>
      <c r="G8" s="62">
        <f t="shared" si="2"/>
        <v>138193.4175</v>
      </c>
      <c r="H8" s="62">
        <f t="shared" si="2"/>
        <v>159052.5802</v>
      </c>
      <c r="I8" s="62">
        <f t="shared" si="2"/>
        <v>146672.1539</v>
      </c>
      <c r="J8" s="62">
        <f t="shared" si="2"/>
        <v>167531.3165</v>
      </c>
      <c r="K8" s="62">
        <f t="shared" si="2"/>
        <v>185661.5576</v>
      </c>
      <c r="L8" s="62">
        <f t="shared" si="2"/>
        <v>203791.7987</v>
      </c>
      <c r="M8" s="62">
        <f t="shared" si="2"/>
        <v>221922.0398</v>
      </c>
      <c r="N8" s="62">
        <f t="shared" si="2"/>
        <v>240052.2809</v>
      </c>
      <c r="O8" s="62">
        <f t="shared" si="2"/>
        <v>243883.4235</v>
      </c>
      <c r="P8" s="62">
        <f t="shared" si="2"/>
        <v>247714.566</v>
      </c>
      <c r="Q8" s="62">
        <f t="shared" si="2"/>
        <v>89852.80717</v>
      </c>
      <c r="R8" s="62">
        <f t="shared" si="2"/>
        <v>49926.40358</v>
      </c>
      <c r="S8" s="62">
        <f t="shared" si="2"/>
        <v>10000</v>
      </c>
      <c r="T8" s="62"/>
      <c r="U8" s="71"/>
    </row>
    <row r="9" ht="14.25" customHeight="1">
      <c r="A9" s="61"/>
      <c r="B9" s="84" t="s">
        <v>113</v>
      </c>
      <c r="C9" s="62"/>
      <c r="D9" s="62">
        <f t="shared" ref="D9:Q9" si="3">SUM(D3:D6)</f>
        <v>43757.54612</v>
      </c>
      <c r="E9" s="62">
        <f t="shared" si="3"/>
        <v>43757.54612</v>
      </c>
      <c r="F9" s="62">
        <f t="shared" si="3"/>
        <v>43757.54612</v>
      </c>
      <c r="G9" s="62">
        <f t="shared" si="3"/>
        <v>108804.2699</v>
      </c>
      <c r="H9" s="62">
        <f t="shared" si="3"/>
        <v>43757.54612</v>
      </c>
      <c r="I9" s="62">
        <f t="shared" si="3"/>
        <v>68217.97346</v>
      </c>
      <c r="J9" s="62">
        <f t="shared" si="3"/>
        <v>43757.54612</v>
      </c>
      <c r="K9" s="62">
        <f t="shared" si="3"/>
        <v>86348.12089</v>
      </c>
      <c r="L9" s="62">
        <f t="shared" si="3"/>
        <v>43757.54612</v>
      </c>
      <c r="M9" s="62">
        <f t="shared" si="3"/>
        <v>43757.54612</v>
      </c>
      <c r="N9" s="62">
        <f t="shared" si="3"/>
        <v>80586.27054</v>
      </c>
      <c r="O9" s="62">
        <f t="shared" si="3"/>
        <v>124572.9289</v>
      </c>
      <c r="P9" s="62">
        <f t="shared" si="3"/>
        <v>43757.54612</v>
      </c>
      <c r="Q9" s="62">
        <f t="shared" si="3"/>
        <v>43757.54612</v>
      </c>
      <c r="R9" s="62"/>
      <c r="S9" s="62"/>
      <c r="T9" s="62"/>
      <c r="U9" s="71"/>
    </row>
    <row r="10" ht="14.25" customHeight="1">
      <c r="A10" s="87" t="s">
        <v>106</v>
      </c>
      <c r="B10" s="87" t="s">
        <v>107</v>
      </c>
      <c r="C10" s="103">
        <v>15.0</v>
      </c>
      <c r="D10" s="88">
        <v>16.0</v>
      </c>
      <c r="E10" s="88">
        <v>17.0</v>
      </c>
      <c r="F10" s="88">
        <v>18.0</v>
      </c>
      <c r="G10" s="88">
        <v>19.0</v>
      </c>
      <c r="H10" s="88">
        <v>20.0</v>
      </c>
      <c r="I10" s="88">
        <v>21.0</v>
      </c>
      <c r="J10" s="88">
        <v>22.0</v>
      </c>
      <c r="K10" s="88">
        <v>23.0</v>
      </c>
      <c r="L10" s="88">
        <v>24.0</v>
      </c>
      <c r="M10" s="88">
        <v>25.0</v>
      </c>
      <c r="N10" s="88">
        <v>26.0</v>
      </c>
      <c r="O10" s="88">
        <v>27.0</v>
      </c>
      <c r="P10" s="88">
        <v>28.0</v>
      </c>
      <c r="Q10" s="88">
        <v>29.0</v>
      </c>
      <c r="R10" s="88">
        <v>30.0</v>
      </c>
      <c r="S10" s="88">
        <v>31.0</v>
      </c>
      <c r="T10" s="88" t="s">
        <v>68</v>
      </c>
      <c r="U10" s="71"/>
    </row>
    <row r="11" ht="14.25" customHeight="1">
      <c r="A11" s="99" t="s">
        <v>73</v>
      </c>
      <c r="B11" s="84" t="s">
        <v>102</v>
      </c>
      <c r="C11" s="62"/>
      <c r="D11" s="62">
        <f>(T11-C16)/14</f>
        <v>34162.94064</v>
      </c>
      <c r="E11" s="62">
        <f t="shared" ref="E11:Q11" si="4">D11</f>
        <v>34162.94064</v>
      </c>
      <c r="F11" s="62">
        <f t="shared" si="4"/>
        <v>34162.94064</v>
      </c>
      <c r="G11" s="62">
        <f t="shared" si="4"/>
        <v>34162.94064</v>
      </c>
      <c r="H11" s="62">
        <f t="shared" si="4"/>
        <v>34162.94064</v>
      </c>
      <c r="I11" s="62">
        <f t="shared" si="4"/>
        <v>34162.94064</v>
      </c>
      <c r="J11" s="62">
        <f t="shared" si="4"/>
        <v>34162.94064</v>
      </c>
      <c r="K11" s="62">
        <f t="shared" si="4"/>
        <v>34162.94064</v>
      </c>
      <c r="L11" s="62">
        <f t="shared" si="4"/>
        <v>34162.94064</v>
      </c>
      <c r="M11" s="62">
        <f t="shared" si="4"/>
        <v>34162.94064</v>
      </c>
      <c r="N11" s="62">
        <f t="shared" si="4"/>
        <v>34162.94064</v>
      </c>
      <c r="O11" s="62">
        <f t="shared" si="4"/>
        <v>34162.94064</v>
      </c>
      <c r="P11" s="62">
        <f t="shared" si="4"/>
        <v>34162.94064</v>
      </c>
      <c r="Q11" s="62">
        <f t="shared" si="4"/>
        <v>34162.94064</v>
      </c>
      <c r="R11" s="62"/>
      <c r="S11" s="62"/>
      <c r="T11" s="62">
        <f>T15+10000</f>
        <v>485662.1689</v>
      </c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</row>
    <row r="12" ht="14.25" customHeight="1">
      <c r="A12" s="100"/>
      <c r="B12" s="84" t="s">
        <v>99</v>
      </c>
      <c r="C12" s="62"/>
      <c r="D12" s="62"/>
      <c r="E12" s="62"/>
      <c r="F12" s="62"/>
      <c r="G12" s="62">
        <v>50591.896275657105</v>
      </c>
      <c r="H12" s="62"/>
      <c r="I12" s="62"/>
      <c r="J12" s="62"/>
      <c r="K12" s="62">
        <v>23462.268315814366</v>
      </c>
      <c r="L12" s="62"/>
      <c r="M12" s="62"/>
      <c r="N12" s="62"/>
      <c r="O12" s="62">
        <v>62856.408797814045</v>
      </c>
      <c r="P12" s="62"/>
      <c r="Q12" s="62"/>
      <c r="R12" s="62"/>
      <c r="S12" s="62"/>
      <c r="T12" s="62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</row>
    <row r="13" ht="14.25" customHeight="1">
      <c r="A13" s="100"/>
      <c r="B13" s="84" t="s">
        <v>101</v>
      </c>
      <c r="C13" s="62"/>
      <c r="D13" s="62"/>
      <c r="E13" s="62"/>
      <c r="F13" s="62"/>
      <c r="G13" s="62"/>
      <c r="H13" s="62"/>
      <c r="I13" s="62">
        <v>19024.77681926358</v>
      </c>
      <c r="J13" s="62"/>
      <c r="K13" s="62">
        <v>9663.734283122381</v>
      </c>
      <c r="L13" s="62"/>
      <c r="M13" s="62"/>
      <c r="N13" s="62">
        <v>28644.563437860972</v>
      </c>
      <c r="O13" s="62"/>
      <c r="P13" s="62"/>
      <c r="Q13" s="62"/>
      <c r="R13" s="62"/>
      <c r="S13" s="62"/>
      <c r="T13" s="62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</row>
    <row r="14" ht="14.25" customHeight="1">
      <c r="A14" s="100"/>
      <c r="B14" s="84" t="s">
        <v>100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</row>
    <row r="15" ht="14.25" customHeight="1">
      <c r="A15" s="100"/>
      <c r="B15" s="84" t="s">
        <v>111</v>
      </c>
      <c r="C15" s="62"/>
      <c r="D15" s="62"/>
      <c r="E15" s="62"/>
      <c r="F15" s="62">
        <v>17809.853817753723</v>
      </c>
      <c r="G15" s="62">
        <v>17809.853817753723</v>
      </c>
      <c r="H15" s="62">
        <v>17809.853817753723</v>
      </c>
      <c r="I15" s="62">
        <v>43662.867424170414</v>
      </c>
      <c r="J15" s="62">
        <v>17809.853817753723</v>
      </c>
      <c r="K15" s="62">
        <v>19932.348353645306</v>
      </c>
      <c r="L15" s="62">
        <v>19932.348353645306</v>
      </c>
      <c r="M15" s="62">
        <v>19932.348353645306</v>
      </c>
      <c r="N15" s="62">
        <v>19932.348353645306</v>
      </c>
      <c r="O15" s="62">
        <v>31053.869454707223</v>
      </c>
      <c r="P15" s="62">
        <v>31053.869454707223</v>
      </c>
      <c r="Q15" s="62">
        <v>156815.01498395135</v>
      </c>
      <c r="R15" s="62">
        <v>31053.869454707223</v>
      </c>
      <c r="S15" s="62">
        <v>31053.869454707223</v>
      </c>
      <c r="T15" s="62">
        <v>475662.16891254677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</row>
    <row r="16" ht="14.25" customHeight="1">
      <c r="A16" s="100"/>
      <c r="B16" s="84" t="s">
        <v>112</v>
      </c>
      <c r="C16" s="62">
        <v>7381.0</v>
      </c>
      <c r="D16" s="62">
        <f t="shared" ref="D16:S16" si="5">C16+D11-D15</f>
        <v>41543.94064</v>
      </c>
      <c r="E16" s="62">
        <f t="shared" si="5"/>
        <v>75706.88127</v>
      </c>
      <c r="F16" s="62">
        <f t="shared" si="5"/>
        <v>92059.96809</v>
      </c>
      <c r="G16" s="62">
        <f t="shared" si="5"/>
        <v>108413.0549</v>
      </c>
      <c r="H16" s="62">
        <f t="shared" si="5"/>
        <v>124766.1417</v>
      </c>
      <c r="I16" s="62">
        <f t="shared" si="5"/>
        <v>115266.2149</v>
      </c>
      <c r="J16" s="62">
        <f t="shared" si="5"/>
        <v>131619.3018</v>
      </c>
      <c r="K16" s="62">
        <f t="shared" si="5"/>
        <v>145849.894</v>
      </c>
      <c r="L16" s="62">
        <f t="shared" si="5"/>
        <v>160080.4863</v>
      </c>
      <c r="M16" s="62">
        <f t="shared" si="5"/>
        <v>174311.0786</v>
      </c>
      <c r="N16" s="62">
        <f t="shared" si="5"/>
        <v>188541.6709</v>
      </c>
      <c r="O16" s="62">
        <f t="shared" si="5"/>
        <v>191650.7421</v>
      </c>
      <c r="P16" s="62">
        <f t="shared" si="5"/>
        <v>194759.8133</v>
      </c>
      <c r="Q16" s="62">
        <f t="shared" si="5"/>
        <v>72107.73891</v>
      </c>
      <c r="R16" s="62">
        <f t="shared" si="5"/>
        <v>41053.86945</v>
      </c>
      <c r="S16" s="62">
        <f t="shared" si="5"/>
        <v>10000</v>
      </c>
      <c r="T16" s="62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</row>
    <row r="17" ht="14.25" customHeight="1">
      <c r="A17" s="61"/>
      <c r="B17" s="84" t="s">
        <v>113</v>
      </c>
      <c r="C17" s="62"/>
      <c r="D17" s="62">
        <f t="shared" ref="D17:Q17" si="6">SUM(D11:D14)</f>
        <v>34162.94064</v>
      </c>
      <c r="E17" s="62">
        <f t="shared" si="6"/>
        <v>34162.94064</v>
      </c>
      <c r="F17" s="62">
        <f t="shared" si="6"/>
        <v>34162.94064</v>
      </c>
      <c r="G17" s="62">
        <f t="shared" si="6"/>
        <v>84754.83691</v>
      </c>
      <c r="H17" s="62">
        <f t="shared" si="6"/>
        <v>34162.94064</v>
      </c>
      <c r="I17" s="62">
        <f t="shared" si="6"/>
        <v>53187.71746</v>
      </c>
      <c r="J17" s="62">
        <f t="shared" si="6"/>
        <v>34162.94064</v>
      </c>
      <c r="K17" s="62">
        <f t="shared" si="6"/>
        <v>67288.94324</v>
      </c>
      <c r="L17" s="62">
        <f t="shared" si="6"/>
        <v>34162.94064</v>
      </c>
      <c r="M17" s="62">
        <f t="shared" si="6"/>
        <v>34162.94064</v>
      </c>
      <c r="N17" s="62">
        <f t="shared" si="6"/>
        <v>62807.50407</v>
      </c>
      <c r="O17" s="62">
        <f t="shared" si="6"/>
        <v>97019.34943</v>
      </c>
      <c r="P17" s="62">
        <f t="shared" si="6"/>
        <v>34162.94064</v>
      </c>
      <c r="Q17" s="62">
        <f t="shared" si="6"/>
        <v>34162.94064</v>
      </c>
      <c r="R17" s="62"/>
      <c r="S17" s="62"/>
      <c r="T17" s="62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ht="14.25" customHeight="1">
      <c r="A18" s="87" t="s">
        <v>106</v>
      </c>
      <c r="B18" s="87" t="s">
        <v>107</v>
      </c>
      <c r="C18" s="103">
        <v>15.0</v>
      </c>
      <c r="D18" s="88">
        <v>16.0</v>
      </c>
      <c r="E18" s="88">
        <v>17.0</v>
      </c>
      <c r="F18" s="88">
        <v>18.0</v>
      </c>
      <c r="G18" s="88">
        <v>19.0</v>
      </c>
      <c r="H18" s="88">
        <v>20.0</v>
      </c>
      <c r="I18" s="88">
        <v>21.0</v>
      </c>
      <c r="J18" s="88">
        <v>22.0</v>
      </c>
      <c r="K18" s="88">
        <v>23.0</v>
      </c>
      <c r="L18" s="88">
        <v>24.0</v>
      </c>
      <c r="M18" s="88">
        <v>25.0</v>
      </c>
      <c r="N18" s="88">
        <v>26.0</v>
      </c>
      <c r="O18" s="88">
        <v>27.0</v>
      </c>
      <c r="P18" s="88">
        <v>28.0</v>
      </c>
      <c r="Q18" s="88">
        <v>29.0</v>
      </c>
      <c r="R18" s="88">
        <v>30.0</v>
      </c>
      <c r="S18" s="88">
        <v>31.0</v>
      </c>
      <c r="T18" s="88" t="s">
        <v>68</v>
      </c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</row>
    <row r="19" ht="14.25" customHeight="1">
      <c r="A19" s="99" t="s">
        <v>75</v>
      </c>
      <c r="B19" s="84" t="s">
        <v>102</v>
      </c>
      <c r="C19" s="62"/>
      <c r="D19" s="62">
        <f>(T19-C24)/14</f>
        <v>15646.72733</v>
      </c>
      <c r="E19" s="62">
        <f t="shared" ref="E19:Q19" si="7">D19</f>
        <v>15646.72733</v>
      </c>
      <c r="F19" s="62">
        <f t="shared" si="7"/>
        <v>15646.72733</v>
      </c>
      <c r="G19" s="62">
        <f t="shared" si="7"/>
        <v>15646.72733</v>
      </c>
      <c r="H19" s="62">
        <f t="shared" si="7"/>
        <v>15646.72733</v>
      </c>
      <c r="I19" s="62">
        <f t="shared" si="7"/>
        <v>15646.72733</v>
      </c>
      <c r="J19" s="62">
        <f t="shared" si="7"/>
        <v>15646.72733</v>
      </c>
      <c r="K19" s="62">
        <f t="shared" si="7"/>
        <v>15646.72733</v>
      </c>
      <c r="L19" s="62">
        <f t="shared" si="7"/>
        <v>15646.72733</v>
      </c>
      <c r="M19" s="62">
        <f t="shared" si="7"/>
        <v>15646.72733</v>
      </c>
      <c r="N19" s="62">
        <f t="shared" si="7"/>
        <v>15646.72733</v>
      </c>
      <c r="O19" s="62">
        <f t="shared" si="7"/>
        <v>15646.72733</v>
      </c>
      <c r="P19" s="62">
        <f t="shared" si="7"/>
        <v>15646.72733</v>
      </c>
      <c r="Q19" s="62">
        <f t="shared" si="7"/>
        <v>15646.72733</v>
      </c>
      <c r="R19" s="62"/>
      <c r="S19" s="62"/>
      <c r="T19" s="62">
        <f>T23+10000</f>
        <v>222349.1826</v>
      </c>
      <c r="U19" s="71"/>
    </row>
    <row r="20" ht="14.25" customHeight="1">
      <c r="A20" s="100"/>
      <c r="B20" s="84" t="s">
        <v>99</v>
      </c>
      <c r="C20" s="62"/>
      <c r="D20" s="62"/>
      <c r="E20" s="62"/>
      <c r="F20" s="62"/>
      <c r="G20" s="62">
        <v>22585.667980204104</v>
      </c>
      <c r="H20" s="62"/>
      <c r="I20" s="62"/>
      <c r="J20" s="62"/>
      <c r="K20" s="62">
        <v>10474.226926702842</v>
      </c>
      <c r="L20" s="62"/>
      <c r="M20" s="62"/>
      <c r="N20" s="62"/>
      <c r="O20" s="62">
        <v>28060.89678473841</v>
      </c>
      <c r="P20" s="62"/>
      <c r="Q20" s="62"/>
      <c r="R20" s="62"/>
      <c r="S20" s="62"/>
      <c r="T20" s="62"/>
      <c r="U20" s="71"/>
    </row>
    <row r="21" ht="14.25" customHeight="1">
      <c r="A21" s="100"/>
      <c r="B21" s="84" t="s">
        <v>101</v>
      </c>
      <c r="C21" s="62"/>
      <c r="D21" s="62"/>
      <c r="E21" s="62"/>
      <c r="F21" s="62"/>
      <c r="G21" s="62"/>
      <c r="H21" s="62"/>
      <c r="I21" s="62">
        <v>8493.203937171256</v>
      </c>
      <c r="J21" s="62"/>
      <c r="K21" s="62">
        <v>4314.167090679634</v>
      </c>
      <c r="L21" s="62"/>
      <c r="M21" s="62"/>
      <c r="N21" s="62">
        <v>12787.75153475936</v>
      </c>
      <c r="O21" s="62"/>
      <c r="P21" s="62"/>
      <c r="Q21" s="62"/>
      <c r="R21" s="62"/>
      <c r="S21" s="62"/>
      <c r="T21" s="62"/>
      <c r="U21" s="71"/>
    </row>
    <row r="22" ht="14.25" customHeight="1">
      <c r="A22" s="100"/>
      <c r="B22" s="84" t="s">
        <v>100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71"/>
    </row>
    <row r="23" ht="14.25" customHeight="1">
      <c r="A23" s="100"/>
      <c r="B23" s="84" t="s">
        <v>111</v>
      </c>
      <c r="C23" s="62"/>
      <c r="D23" s="62"/>
      <c r="E23" s="62"/>
      <c r="F23" s="62">
        <v>7950.827597211498</v>
      </c>
      <c r="G23" s="62">
        <v>7950.827597211498</v>
      </c>
      <c r="H23" s="62">
        <v>7950.827597211498</v>
      </c>
      <c r="I23" s="62">
        <v>19492.35152864754</v>
      </c>
      <c r="J23" s="62">
        <v>7950.827597211498</v>
      </c>
      <c r="K23" s="62">
        <v>8898.369800734508</v>
      </c>
      <c r="L23" s="62">
        <v>8898.369800734508</v>
      </c>
      <c r="M23" s="62">
        <v>8898.369800734508</v>
      </c>
      <c r="N23" s="62">
        <v>8898.369800734508</v>
      </c>
      <c r="O23" s="62">
        <v>13863.334577994294</v>
      </c>
      <c r="P23" s="62">
        <v>13863.334577994294</v>
      </c>
      <c r="Q23" s="62">
        <v>70006.70311783544</v>
      </c>
      <c r="R23" s="62">
        <v>13863.334577994294</v>
      </c>
      <c r="S23" s="62">
        <v>13863.334577994294</v>
      </c>
      <c r="T23" s="62">
        <v>212349.18255024418</v>
      </c>
      <c r="U23" s="71"/>
    </row>
    <row r="24" ht="14.25" customHeight="1">
      <c r="A24" s="100"/>
      <c r="B24" s="84" t="s">
        <v>112</v>
      </c>
      <c r="C24" s="62">
        <v>3295.0</v>
      </c>
      <c r="D24" s="62">
        <f t="shared" ref="D24:S24" si="8">C24+D19-D23</f>
        <v>18941.72733</v>
      </c>
      <c r="E24" s="62">
        <f t="shared" si="8"/>
        <v>34588.45465</v>
      </c>
      <c r="F24" s="62">
        <f t="shared" si="8"/>
        <v>42284.35438</v>
      </c>
      <c r="G24" s="62">
        <f t="shared" si="8"/>
        <v>49980.25411</v>
      </c>
      <c r="H24" s="62">
        <f t="shared" si="8"/>
        <v>57676.15383</v>
      </c>
      <c r="I24" s="62">
        <f t="shared" si="8"/>
        <v>53830.52963</v>
      </c>
      <c r="J24" s="62">
        <f t="shared" si="8"/>
        <v>61526.42936</v>
      </c>
      <c r="K24" s="62">
        <f t="shared" si="8"/>
        <v>68274.78688</v>
      </c>
      <c r="L24" s="62">
        <f t="shared" si="8"/>
        <v>75023.14441</v>
      </c>
      <c r="M24" s="62">
        <f t="shared" si="8"/>
        <v>81771.50193</v>
      </c>
      <c r="N24" s="62">
        <f t="shared" si="8"/>
        <v>88519.85945</v>
      </c>
      <c r="O24" s="62">
        <f t="shared" si="8"/>
        <v>90303.2522</v>
      </c>
      <c r="P24" s="62">
        <f t="shared" si="8"/>
        <v>92086.64495</v>
      </c>
      <c r="Q24" s="62">
        <f t="shared" si="8"/>
        <v>37726.66916</v>
      </c>
      <c r="R24" s="62">
        <f t="shared" si="8"/>
        <v>23863.33458</v>
      </c>
      <c r="S24" s="62">
        <f t="shared" si="8"/>
        <v>10000</v>
      </c>
      <c r="T24" s="62"/>
      <c r="U24" s="71"/>
    </row>
    <row r="25" ht="14.25" customHeight="1">
      <c r="A25" s="61"/>
      <c r="B25" s="84" t="s">
        <v>68</v>
      </c>
      <c r="C25" s="62"/>
      <c r="D25" s="62">
        <f t="shared" ref="D25:Q25" si="9">SUM(D19:D22)</f>
        <v>15646.72733</v>
      </c>
      <c r="E25" s="62">
        <f t="shared" si="9"/>
        <v>15646.72733</v>
      </c>
      <c r="F25" s="62">
        <f t="shared" si="9"/>
        <v>15646.72733</v>
      </c>
      <c r="G25" s="62">
        <f t="shared" si="9"/>
        <v>38232.39531</v>
      </c>
      <c r="H25" s="62">
        <f t="shared" si="9"/>
        <v>15646.72733</v>
      </c>
      <c r="I25" s="62">
        <f t="shared" si="9"/>
        <v>24139.93126</v>
      </c>
      <c r="J25" s="62">
        <f t="shared" si="9"/>
        <v>15646.72733</v>
      </c>
      <c r="K25" s="62">
        <f t="shared" si="9"/>
        <v>30435.12134</v>
      </c>
      <c r="L25" s="62">
        <f t="shared" si="9"/>
        <v>15646.72733</v>
      </c>
      <c r="M25" s="62">
        <f t="shared" si="9"/>
        <v>15646.72733</v>
      </c>
      <c r="N25" s="62">
        <f t="shared" si="9"/>
        <v>28434.47886</v>
      </c>
      <c r="O25" s="62">
        <f t="shared" si="9"/>
        <v>43707.62411</v>
      </c>
      <c r="P25" s="62">
        <f t="shared" si="9"/>
        <v>15646.72733</v>
      </c>
      <c r="Q25" s="62">
        <f t="shared" si="9"/>
        <v>15646.72733</v>
      </c>
      <c r="R25" s="62"/>
      <c r="S25" s="62"/>
      <c r="T25" s="62"/>
      <c r="U25" s="71"/>
    </row>
    <row r="26" ht="14.25" customHeight="1">
      <c r="A26" s="87" t="s">
        <v>106</v>
      </c>
      <c r="B26" s="87" t="s">
        <v>107</v>
      </c>
      <c r="C26" s="103">
        <v>15.0</v>
      </c>
      <c r="D26" s="88">
        <v>16.0</v>
      </c>
      <c r="E26" s="88">
        <v>17.0</v>
      </c>
      <c r="F26" s="88">
        <v>18.0</v>
      </c>
      <c r="G26" s="88">
        <v>19.0</v>
      </c>
      <c r="H26" s="88">
        <v>20.0</v>
      </c>
      <c r="I26" s="88">
        <v>21.0</v>
      </c>
      <c r="J26" s="88">
        <v>22.0</v>
      </c>
      <c r="K26" s="88">
        <v>23.0</v>
      </c>
      <c r="L26" s="88">
        <v>24.0</v>
      </c>
      <c r="M26" s="88">
        <v>25.0</v>
      </c>
      <c r="N26" s="88">
        <v>26.0</v>
      </c>
      <c r="O26" s="88">
        <v>27.0</v>
      </c>
      <c r="P26" s="88">
        <v>28.0</v>
      </c>
      <c r="Q26" s="88">
        <v>29.0</v>
      </c>
      <c r="R26" s="88">
        <v>30.0</v>
      </c>
      <c r="S26" s="88">
        <v>31.0</v>
      </c>
      <c r="T26" s="88" t="s">
        <v>68</v>
      </c>
      <c r="U26" s="71"/>
    </row>
    <row r="27" ht="14.25" customHeight="1">
      <c r="A27" s="99" t="s">
        <v>77</v>
      </c>
      <c r="B27" s="84" t="s">
        <v>102</v>
      </c>
      <c r="C27" s="62"/>
      <c r="D27" s="62">
        <f>(T27-C32)/14</f>
        <v>25601.66459</v>
      </c>
      <c r="E27" s="62">
        <f t="shared" ref="E27:Q27" si="10">D27</f>
        <v>25601.66459</v>
      </c>
      <c r="F27" s="62">
        <f t="shared" si="10"/>
        <v>25601.66459</v>
      </c>
      <c r="G27" s="62">
        <f t="shared" si="10"/>
        <v>25601.66459</v>
      </c>
      <c r="H27" s="62">
        <f t="shared" si="10"/>
        <v>25601.66459</v>
      </c>
      <c r="I27" s="62">
        <f t="shared" si="10"/>
        <v>25601.66459</v>
      </c>
      <c r="J27" s="62">
        <f t="shared" si="10"/>
        <v>25601.66459</v>
      </c>
      <c r="K27" s="62">
        <f t="shared" si="10"/>
        <v>25601.66459</v>
      </c>
      <c r="L27" s="62">
        <f t="shared" si="10"/>
        <v>25601.66459</v>
      </c>
      <c r="M27" s="62">
        <f t="shared" si="10"/>
        <v>25601.66459</v>
      </c>
      <c r="N27" s="62">
        <f t="shared" si="10"/>
        <v>25601.66459</v>
      </c>
      <c r="O27" s="62">
        <f t="shared" si="10"/>
        <v>25601.66459</v>
      </c>
      <c r="P27" s="62">
        <f t="shared" si="10"/>
        <v>25601.66459</v>
      </c>
      <c r="Q27" s="62">
        <f t="shared" si="10"/>
        <v>25601.66459</v>
      </c>
      <c r="R27" s="62"/>
      <c r="S27" s="62"/>
      <c r="T27" s="62">
        <f>T31+10000</f>
        <v>363915.3043</v>
      </c>
      <c r="U27" s="71"/>
    </row>
    <row r="28" ht="14.25" customHeight="1">
      <c r="A28" s="100"/>
      <c r="B28" s="84" t="s">
        <v>99</v>
      </c>
      <c r="C28" s="62"/>
      <c r="D28" s="62"/>
      <c r="E28" s="62"/>
      <c r="F28" s="62"/>
      <c r="G28" s="62">
        <v>37642.779967006834</v>
      </c>
      <c r="H28" s="62"/>
      <c r="I28" s="62"/>
      <c r="J28" s="62"/>
      <c r="K28" s="62">
        <v>17457.044877838067</v>
      </c>
      <c r="L28" s="62"/>
      <c r="M28" s="62"/>
      <c r="N28" s="62"/>
      <c r="O28" s="62">
        <v>46768.16130789734</v>
      </c>
      <c r="P28" s="62"/>
      <c r="Q28" s="62"/>
      <c r="R28" s="62"/>
      <c r="S28" s="62"/>
      <c r="T28" s="62"/>
      <c r="U28" s="71"/>
    </row>
    <row r="29" ht="14.25" customHeight="1">
      <c r="A29" s="100"/>
      <c r="B29" s="84" t="s">
        <v>101</v>
      </c>
      <c r="C29" s="62"/>
      <c r="D29" s="62"/>
      <c r="E29" s="62"/>
      <c r="F29" s="62"/>
      <c r="G29" s="62"/>
      <c r="H29" s="62"/>
      <c r="I29" s="62">
        <v>14155.339895285426</v>
      </c>
      <c r="J29" s="62"/>
      <c r="K29" s="62">
        <v>7190.2784844660555</v>
      </c>
      <c r="L29" s="62"/>
      <c r="M29" s="62"/>
      <c r="N29" s="62">
        <v>21312.919224598932</v>
      </c>
      <c r="O29" s="62"/>
      <c r="P29" s="62"/>
      <c r="Q29" s="62"/>
      <c r="R29" s="62"/>
      <c r="S29" s="62"/>
      <c r="T29" s="62"/>
      <c r="U29" s="71"/>
    </row>
    <row r="30" ht="14.25" customHeight="1">
      <c r="A30" s="100"/>
      <c r="B30" s="84" t="s">
        <v>100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71"/>
    </row>
    <row r="31" ht="14.25" customHeight="1">
      <c r="A31" s="100"/>
      <c r="B31" s="84" t="s">
        <v>111</v>
      </c>
      <c r="C31" s="62"/>
      <c r="D31" s="62"/>
      <c r="E31" s="62"/>
      <c r="F31" s="62">
        <v>13251.379328685829</v>
      </c>
      <c r="G31" s="62">
        <v>13251.379328685829</v>
      </c>
      <c r="H31" s="62">
        <v>13251.379328685829</v>
      </c>
      <c r="I31" s="62">
        <v>32487.252547745906</v>
      </c>
      <c r="J31" s="62">
        <v>13251.379328685829</v>
      </c>
      <c r="K31" s="62">
        <v>14830.616334557513</v>
      </c>
      <c r="L31" s="62">
        <v>14830.616334557513</v>
      </c>
      <c r="M31" s="62">
        <v>14830.616334557513</v>
      </c>
      <c r="N31" s="62">
        <v>14830.616334557513</v>
      </c>
      <c r="O31" s="62">
        <v>23105.55762999049</v>
      </c>
      <c r="P31" s="62">
        <v>23105.55762999049</v>
      </c>
      <c r="Q31" s="62">
        <v>116677.83852972569</v>
      </c>
      <c r="R31" s="62">
        <v>23105.55762999049</v>
      </c>
      <c r="S31" s="62">
        <v>23105.55762999049</v>
      </c>
      <c r="T31" s="62">
        <v>353915.3042504069</v>
      </c>
      <c r="U31" s="71"/>
    </row>
    <row r="32" ht="14.25" customHeight="1">
      <c r="A32" s="100"/>
      <c r="B32" s="84" t="s">
        <v>112</v>
      </c>
      <c r="C32" s="62">
        <v>5492.0</v>
      </c>
      <c r="D32" s="62">
        <f t="shared" ref="D32:S32" si="11">C32+D27-D31</f>
        <v>31093.66459</v>
      </c>
      <c r="E32" s="62">
        <f t="shared" si="11"/>
        <v>56695.32918</v>
      </c>
      <c r="F32" s="62">
        <f t="shared" si="11"/>
        <v>69045.61444</v>
      </c>
      <c r="G32" s="62">
        <f t="shared" si="11"/>
        <v>81395.8997</v>
      </c>
      <c r="H32" s="62">
        <f t="shared" si="11"/>
        <v>93746.18496</v>
      </c>
      <c r="I32" s="62">
        <f t="shared" si="11"/>
        <v>86860.597</v>
      </c>
      <c r="J32" s="62">
        <f t="shared" si="11"/>
        <v>99210.88226</v>
      </c>
      <c r="K32" s="62">
        <f t="shared" si="11"/>
        <v>109981.9305</v>
      </c>
      <c r="L32" s="62">
        <f t="shared" si="11"/>
        <v>120752.9788</v>
      </c>
      <c r="M32" s="62">
        <f t="shared" si="11"/>
        <v>131524.027</v>
      </c>
      <c r="N32" s="62">
        <f t="shared" si="11"/>
        <v>142295.0753</v>
      </c>
      <c r="O32" s="62">
        <f t="shared" si="11"/>
        <v>144791.1822</v>
      </c>
      <c r="P32" s="62">
        <f t="shared" si="11"/>
        <v>147287.2892</v>
      </c>
      <c r="Q32" s="62">
        <f t="shared" si="11"/>
        <v>56211.11526</v>
      </c>
      <c r="R32" s="62">
        <f t="shared" si="11"/>
        <v>33105.55763</v>
      </c>
      <c r="S32" s="62">
        <f t="shared" si="11"/>
        <v>10000</v>
      </c>
      <c r="T32" s="62"/>
      <c r="U32" s="71"/>
    </row>
    <row r="33" ht="14.25" customHeight="1">
      <c r="A33" s="61"/>
      <c r="B33" s="84" t="s">
        <v>68</v>
      </c>
      <c r="C33" s="62"/>
      <c r="D33" s="62">
        <f t="shared" ref="D33:Q33" si="12">SUM(D27:D30)</f>
        <v>25601.66459</v>
      </c>
      <c r="E33" s="62">
        <f t="shared" si="12"/>
        <v>25601.66459</v>
      </c>
      <c r="F33" s="62">
        <f t="shared" si="12"/>
        <v>25601.66459</v>
      </c>
      <c r="G33" s="62">
        <f t="shared" si="12"/>
        <v>63244.44456</v>
      </c>
      <c r="H33" s="62">
        <f t="shared" si="12"/>
        <v>25601.66459</v>
      </c>
      <c r="I33" s="62">
        <f t="shared" si="12"/>
        <v>39757.00448</v>
      </c>
      <c r="J33" s="62">
        <f t="shared" si="12"/>
        <v>25601.66459</v>
      </c>
      <c r="K33" s="62">
        <f t="shared" si="12"/>
        <v>50248.98795</v>
      </c>
      <c r="L33" s="62">
        <f t="shared" si="12"/>
        <v>25601.66459</v>
      </c>
      <c r="M33" s="62">
        <f t="shared" si="12"/>
        <v>25601.66459</v>
      </c>
      <c r="N33" s="62">
        <f t="shared" si="12"/>
        <v>46914.58381</v>
      </c>
      <c r="O33" s="62">
        <f t="shared" si="12"/>
        <v>72369.8259</v>
      </c>
      <c r="P33" s="62">
        <f t="shared" si="12"/>
        <v>25601.66459</v>
      </c>
      <c r="Q33" s="62">
        <f t="shared" si="12"/>
        <v>25601.66459</v>
      </c>
      <c r="R33" s="62"/>
      <c r="S33" s="62"/>
      <c r="T33" s="62"/>
      <c r="U33" s="71"/>
    </row>
    <row r="34" ht="14.25" customHeight="1">
      <c r="A34" s="87" t="s">
        <v>106</v>
      </c>
      <c r="B34" s="87" t="s">
        <v>107</v>
      </c>
      <c r="C34" s="103">
        <v>15.0</v>
      </c>
      <c r="D34" s="88">
        <v>16.0</v>
      </c>
      <c r="E34" s="88">
        <v>17.0</v>
      </c>
      <c r="F34" s="88">
        <v>18.0</v>
      </c>
      <c r="G34" s="88">
        <v>19.0</v>
      </c>
      <c r="H34" s="88">
        <v>20.0</v>
      </c>
      <c r="I34" s="88">
        <v>21.0</v>
      </c>
      <c r="J34" s="88">
        <v>22.0</v>
      </c>
      <c r="K34" s="88">
        <v>23.0</v>
      </c>
      <c r="L34" s="88">
        <v>24.0</v>
      </c>
      <c r="M34" s="88">
        <v>25.0</v>
      </c>
      <c r="N34" s="88">
        <v>26.0</v>
      </c>
      <c r="O34" s="88">
        <v>27.0</v>
      </c>
      <c r="P34" s="88">
        <v>28.0</v>
      </c>
      <c r="Q34" s="88">
        <v>29.0</v>
      </c>
      <c r="R34" s="88">
        <v>30.0</v>
      </c>
      <c r="S34" s="88">
        <v>31.0</v>
      </c>
      <c r="T34" s="88" t="s">
        <v>68</v>
      </c>
      <c r="U34" s="71"/>
    </row>
    <row r="35" ht="14.25" customHeight="1">
      <c r="A35" s="99" t="s">
        <v>79</v>
      </c>
      <c r="B35" s="84" t="s">
        <v>102</v>
      </c>
      <c r="C35" s="62"/>
      <c r="D35" s="62">
        <f>(T35-C40)/14</f>
        <v>18459.40462</v>
      </c>
      <c r="E35" s="62">
        <f t="shared" ref="E35:Q35" si="13">D35</f>
        <v>18459.40462</v>
      </c>
      <c r="F35" s="62">
        <f t="shared" si="13"/>
        <v>18459.40462</v>
      </c>
      <c r="G35" s="62">
        <f t="shared" si="13"/>
        <v>18459.40462</v>
      </c>
      <c r="H35" s="62">
        <f t="shared" si="13"/>
        <v>18459.40462</v>
      </c>
      <c r="I35" s="62">
        <f t="shared" si="13"/>
        <v>18459.40462</v>
      </c>
      <c r="J35" s="62">
        <f t="shared" si="13"/>
        <v>18459.40462</v>
      </c>
      <c r="K35" s="62">
        <f t="shared" si="13"/>
        <v>18459.40462</v>
      </c>
      <c r="L35" s="62">
        <f t="shared" si="13"/>
        <v>18459.40462</v>
      </c>
      <c r="M35" s="62">
        <f t="shared" si="13"/>
        <v>18459.40462</v>
      </c>
      <c r="N35" s="62">
        <f t="shared" si="13"/>
        <v>18459.40462</v>
      </c>
      <c r="O35" s="62">
        <f t="shared" si="13"/>
        <v>18459.40462</v>
      </c>
      <c r="P35" s="62">
        <f t="shared" si="13"/>
        <v>18459.40462</v>
      </c>
      <c r="Q35" s="62">
        <f t="shared" si="13"/>
        <v>18459.40462</v>
      </c>
      <c r="R35" s="62"/>
      <c r="S35" s="62"/>
      <c r="T35" s="62">
        <f>T39+10000</f>
        <v>262711.6647</v>
      </c>
      <c r="U35" s="71"/>
    </row>
    <row r="36" ht="14.25" customHeight="1">
      <c r="A36" s="100"/>
      <c r="B36" s="84" t="s">
        <v>99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71"/>
    </row>
    <row r="37" ht="14.25" customHeight="1">
      <c r="A37" s="100"/>
      <c r="B37" s="84" t="s">
        <v>101</v>
      </c>
      <c r="C37" s="62"/>
      <c r="D37" s="62"/>
      <c r="E37" s="62"/>
      <c r="F37" s="62"/>
      <c r="G37" s="62"/>
      <c r="H37" s="62"/>
      <c r="I37" s="62">
        <v>16597.47770784032</v>
      </c>
      <c r="J37" s="62"/>
      <c r="K37" s="62">
        <v>8430.775081482627</v>
      </c>
      <c r="L37" s="62"/>
      <c r="M37" s="62"/>
      <c r="N37" s="62">
        <v>24989.91224061664</v>
      </c>
      <c r="O37" s="62"/>
      <c r="P37" s="62"/>
      <c r="Q37" s="62"/>
      <c r="R37" s="62"/>
      <c r="S37" s="62"/>
      <c r="T37" s="62"/>
      <c r="U37" s="71"/>
    </row>
    <row r="38" ht="14.25" customHeight="1">
      <c r="A38" s="100"/>
      <c r="B38" s="84" t="s">
        <v>100</v>
      </c>
      <c r="C38" s="62"/>
      <c r="D38" s="62">
        <v>26743.01933114487</v>
      </c>
      <c r="E38" s="62">
        <v>15552.132140768374</v>
      </c>
      <c r="F38" s="62">
        <v>42485.80121191021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71"/>
    </row>
    <row r="39" ht="14.25" customHeight="1">
      <c r="A39" s="100"/>
      <c r="B39" s="84" t="s">
        <v>111</v>
      </c>
      <c r="C39" s="62"/>
      <c r="D39" s="62"/>
      <c r="E39" s="62"/>
      <c r="F39" s="62">
        <v>9826.307043633093</v>
      </c>
      <c r="G39" s="62">
        <v>9826.307043633093</v>
      </c>
      <c r="H39" s="62">
        <v>9826.307043633093</v>
      </c>
      <c r="I39" s="62">
        <v>24090.301139229516</v>
      </c>
      <c r="J39" s="62">
        <v>9826.307043633093</v>
      </c>
      <c r="K39" s="62">
        <v>10324.732617385105</v>
      </c>
      <c r="L39" s="62">
        <v>10324.732617385105</v>
      </c>
      <c r="M39" s="62">
        <v>10324.732617385105</v>
      </c>
      <c r="N39" s="62">
        <v>10324.732617385105</v>
      </c>
      <c r="O39" s="62">
        <v>16355.901138456418</v>
      </c>
      <c r="P39" s="62">
        <v>16355.901138456418</v>
      </c>
      <c r="Q39" s="62">
        <v>82593.60031908307</v>
      </c>
      <c r="R39" s="62">
        <v>16355.901138456418</v>
      </c>
      <c r="S39" s="62">
        <v>16355.901138456418</v>
      </c>
      <c r="T39" s="62">
        <v>252711.66465621104</v>
      </c>
      <c r="U39" s="71"/>
    </row>
    <row r="40" ht="14.25" customHeight="1">
      <c r="A40" s="100"/>
      <c r="B40" s="84" t="s">
        <v>112</v>
      </c>
      <c r="C40" s="62">
        <v>4280.0</v>
      </c>
      <c r="D40" s="62">
        <f t="shared" ref="D40:S40" si="14">C40+D35-D39</f>
        <v>22739.40462</v>
      </c>
      <c r="E40" s="62">
        <f t="shared" si="14"/>
        <v>41198.80924</v>
      </c>
      <c r="F40" s="62">
        <f t="shared" si="14"/>
        <v>49831.90681</v>
      </c>
      <c r="G40" s="62">
        <f t="shared" si="14"/>
        <v>58465.00439</v>
      </c>
      <c r="H40" s="62">
        <f t="shared" si="14"/>
        <v>67098.10196</v>
      </c>
      <c r="I40" s="62">
        <f t="shared" si="14"/>
        <v>61467.20544</v>
      </c>
      <c r="J40" s="62">
        <f t="shared" si="14"/>
        <v>70100.30301</v>
      </c>
      <c r="K40" s="62">
        <f t="shared" si="14"/>
        <v>78234.97502</v>
      </c>
      <c r="L40" s="62">
        <f t="shared" si="14"/>
        <v>86369.64702</v>
      </c>
      <c r="M40" s="62">
        <f t="shared" si="14"/>
        <v>94504.31902</v>
      </c>
      <c r="N40" s="62">
        <f t="shared" si="14"/>
        <v>102638.991</v>
      </c>
      <c r="O40" s="62">
        <f t="shared" si="14"/>
        <v>104742.4945</v>
      </c>
      <c r="P40" s="62">
        <f t="shared" si="14"/>
        <v>106845.998</v>
      </c>
      <c r="Q40" s="62">
        <f t="shared" si="14"/>
        <v>42711.80228</v>
      </c>
      <c r="R40" s="62">
        <f t="shared" si="14"/>
        <v>26355.90114</v>
      </c>
      <c r="S40" s="62">
        <f t="shared" si="14"/>
        <v>10000</v>
      </c>
      <c r="T40" s="62"/>
      <c r="U40" s="71"/>
    </row>
    <row r="41" ht="14.25" customHeight="1">
      <c r="A41" s="61"/>
      <c r="B41" s="84" t="s">
        <v>68</v>
      </c>
      <c r="C41" s="62"/>
      <c r="D41" s="62">
        <f t="shared" ref="D41:Q41" si="15">SUM(D35:D38)</f>
        <v>45202.42395</v>
      </c>
      <c r="E41" s="62">
        <f t="shared" si="15"/>
        <v>34011.53676</v>
      </c>
      <c r="F41" s="62">
        <f t="shared" si="15"/>
        <v>60945.20583</v>
      </c>
      <c r="G41" s="62">
        <f t="shared" si="15"/>
        <v>18459.40462</v>
      </c>
      <c r="H41" s="62">
        <f t="shared" si="15"/>
        <v>18459.40462</v>
      </c>
      <c r="I41" s="62">
        <f t="shared" si="15"/>
        <v>35056.88233</v>
      </c>
      <c r="J41" s="62">
        <f t="shared" si="15"/>
        <v>18459.40462</v>
      </c>
      <c r="K41" s="62">
        <f t="shared" si="15"/>
        <v>26890.1797</v>
      </c>
      <c r="L41" s="62">
        <f t="shared" si="15"/>
        <v>18459.40462</v>
      </c>
      <c r="M41" s="62">
        <f t="shared" si="15"/>
        <v>18459.40462</v>
      </c>
      <c r="N41" s="62">
        <f t="shared" si="15"/>
        <v>43449.31686</v>
      </c>
      <c r="O41" s="62">
        <f t="shared" si="15"/>
        <v>18459.40462</v>
      </c>
      <c r="P41" s="62">
        <f t="shared" si="15"/>
        <v>18459.40462</v>
      </c>
      <c r="Q41" s="62">
        <f t="shared" si="15"/>
        <v>18459.40462</v>
      </c>
      <c r="R41" s="62"/>
      <c r="S41" s="62"/>
      <c r="T41" s="62"/>
      <c r="U41" s="71"/>
    </row>
    <row r="42" ht="14.25" customHeight="1">
      <c r="A42" s="87" t="s">
        <v>106</v>
      </c>
      <c r="B42" s="87" t="s">
        <v>107</v>
      </c>
      <c r="C42" s="103">
        <v>15.0</v>
      </c>
      <c r="D42" s="88">
        <v>16.0</v>
      </c>
      <c r="E42" s="88">
        <v>17.0</v>
      </c>
      <c r="F42" s="88">
        <v>18.0</v>
      </c>
      <c r="G42" s="88">
        <v>19.0</v>
      </c>
      <c r="H42" s="88">
        <v>20.0</v>
      </c>
      <c r="I42" s="88">
        <v>21.0</v>
      </c>
      <c r="J42" s="88">
        <v>22.0</v>
      </c>
      <c r="K42" s="88">
        <v>23.0</v>
      </c>
      <c r="L42" s="88">
        <v>24.0</v>
      </c>
      <c r="M42" s="88">
        <v>25.0</v>
      </c>
      <c r="N42" s="88">
        <v>26.0</v>
      </c>
      <c r="O42" s="88">
        <v>27.0</v>
      </c>
      <c r="P42" s="88">
        <v>28.0</v>
      </c>
      <c r="Q42" s="88">
        <v>29.0</v>
      </c>
      <c r="R42" s="88">
        <v>30.0</v>
      </c>
      <c r="S42" s="88">
        <v>31.0</v>
      </c>
      <c r="T42" s="88" t="s">
        <v>68</v>
      </c>
      <c r="U42" s="71"/>
    </row>
    <row r="43" ht="14.25" customHeight="1">
      <c r="A43" s="99" t="s">
        <v>81</v>
      </c>
      <c r="B43" s="84" t="s">
        <v>102</v>
      </c>
      <c r="C43" s="62"/>
      <c r="D43" s="62">
        <f>(T43-C48)/14</f>
        <v>5828.455703</v>
      </c>
      <c r="E43" s="62">
        <f t="shared" ref="E43:Q43" si="16">D43</f>
        <v>5828.455703</v>
      </c>
      <c r="F43" s="62">
        <f t="shared" si="16"/>
        <v>5828.455703</v>
      </c>
      <c r="G43" s="62">
        <f t="shared" si="16"/>
        <v>5828.455703</v>
      </c>
      <c r="H43" s="62">
        <f t="shared" si="16"/>
        <v>5828.455703</v>
      </c>
      <c r="I43" s="62">
        <f t="shared" si="16"/>
        <v>5828.455703</v>
      </c>
      <c r="J43" s="62">
        <f t="shared" si="16"/>
        <v>5828.455703</v>
      </c>
      <c r="K43" s="62">
        <f t="shared" si="16"/>
        <v>5828.455703</v>
      </c>
      <c r="L43" s="62">
        <f t="shared" si="16"/>
        <v>5828.455703</v>
      </c>
      <c r="M43" s="62">
        <f t="shared" si="16"/>
        <v>5828.455703</v>
      </c>
      <c r="N43" s="62">
        <f t="shared" si="16"/>
        <v>5828.455703</v>
      </c>
      <c r="O43" s="62">
        <f t="shared" si="16"/>
        <v>5828.455703</v>
      </c>
      <c r="P43" s="62">
        <f t="shared" si="16"/>
        <v>5828.455703</v>
      </c>
      <c r="Q43" s="62">
        <f t="shared" si="16"/>
        <v>5828.455703</v>
      </c>
      <c r="R43" s="62"/>
      <c r="S43" s="62"/>
      <c r="T43" s="62">
        <f>T47+10000</f>
        <v>84165.37984</v>
      </c>
      <c r="U43" s="71"/>
    </row>
    <row r="44" ht="14.25" customHeight="1">
      <c r="A44" s="100"/>
      <c r="B44" s="84" t="s">
        <v>99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71"/>
    </row>
    <row r="45" ht="14.25" customHeight="1">
      <c r="A45" s="100"/>
      <c r="B45" s="84" t="s">
        <v>101</v>
      </c>
      <c r="C45" s="62"/>
      <c r="D45" s="62"/>
      <c r="E45" s="62"/>
      <c r="F45" s="62"/>
      <c r="G45" s="62"/>
      <c r="H45" s="62"/>
      <c r="I45" s="62">
        <v>4870.998892518354</v>
      </c>
      <c r="J45" s="62"/>
      <c r="K45" s="62">
        <v>2474.2492086959887</v>
      </c>
      <c r="L45" s="62"/>
      <c r="M45" s="62"/>
      <c r="N45" s="62">
        <v>7333.995983659232</v>
      </c>
      <c r="O45" s="62"/>
      <c r="P45" s="62"/>
      <c r="Q45" s="62"/>
      <c r="R45" s="62"/>
      <c r="S45" s="62"/>
      <c r="T45" s="62"/>
      <c r="U45" s="71"/>
    </row>
    <row r="46" ht="14.25" customHeight="1">
      <c r="A46" s="100"/>
      <c r="B46" s="84" t="s">
        <v>100</v>
      </c>
      <c r="C46" s="62"/>
      <c r="D46" s="62">
        <v>7848.494803705559</v>
      </c>
      <c r="E46" s="62">
        <v>4564.212693486371</v>
      </c>
      <c r="F46" s="62">
        <v>12468.659051321476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71"/>
    </row>
    <row r="47" ht="14.25" customHeight="1">
      <c r="A47" s="100"/>
      <c r="B47" s="84" t="s">
        <v>111</v>
      </c>
      <c r="C47" s="62"/>
      <c r="D47" s="62"/>
      <c r="E47" s="62"/>
      <c r="F47" s="62">
        <v>2883.8075019357984</v>
      </c>
      <c r="G47" s="62">
        <v>2883.8075019357984</v>
      </c>
      <c r="H47" s="62">
        <v>2883.8075019357984</v>
      </c>
      <c r="I47" s="62">
        <v>7069.9796821651835</v>
      </c>
      <c r="J47" s="62">
        <v>2883.8075019357984</v>
      </c>
      <c r="K47" s="62">
        <v>3030.084572493455</v>
      </c>
      <c r="L47" s="62">
        <v>3030.084572493455</v>
      </c>
      <c r="M47" s="62">
        <v>3030.084572493455</v>
      </c>
      <c r="N47" s="62">
        <v>3030.084572493455</v>
      </c>
      <c r="O47" s="62">
        <v>4800.10142106873</v>
      </c>
      <c r="P47" s="62">
        <v>4800.101421068731</v>
      </c>
      <c r="Q47" s="62">
        <v>24239.42618060046</v>
      </c>
      <c r="R47" s="62">
        <v>4800.101421068731</v>
      </c>
      <c r="S47" s="62">
        <v>4800.101421068731</v>
      </c>
      <c r="T47" s="62">
        <v>74165.37984475758</v>
      </c>
      <c r="U47" s="71"/>
    </row>
    <row r="48" ht="14.25" customHeight="1">
      <c r="A48" s="100"/>
      <c r="B48" s="84" t="s">
        <v>112</v>
      </c>
      <c r="C48" s="62">
        <v>2567.0</v>
      </c>
      <c r="D48" s="62">
        <f t="shared" ref="D48:S48" si="17">C48+D43-D47</f>
        <v>8395.455703</v>
      </c>
      <c r="E48" s="62">
        <f t="shared" si="17"/>
        <v>14223.91141</v>
      </c>
      <c r="F48" s="62">
        <f t="shared" si="17"/>
        <v>17168.55961</v>
      </c>
      <c r="G48" s="62">
        <f t="shared" si="17"/>
        <v>20113.20781</v>
      </c>
      <c r="H48" s="62">
        <f t="shared" si="17"/>
        <v>23057.85601</v>
      </c>
      <c r="I48" s="62">
        <f t="shared" si="17"/>
        <v>21816.33203</v>
      </c>
      <c r="J48" s="62">
        <f t="shared" si="17"/>
        <v>24760.98023</v>
      </c>
      <c r="K48" s="62">
        <f t="shared" si="17"/>
        <v>27559.35136</v>
      </c>
      <c r="L48" s="62">
        <f t="shared" si="17"/>
        <v>30357.72249</v>
      </c>
      <c r="M48" s="62">
        <f t="shared" si="17"/>
        <v>33156.09362</v>
      </c>
      <c r="N48" s="62">
        <f t="shared" si="17"/>
        <v>35954.46476</v>
      </c>
      <c r="O48" s="62">
        <f t="shared" si="17"/>
        <v>36982.81904</v>
      </c>
      <c r="P48" s="62">
        <f t="shared" si="17"/>
        <v>38011.17332</v>
      </c>
      <c r="Q48" s="62">
        <f t="shared" si="17"/>
        <v>19600.20284</v>
      </c>
      <c r="R48" s="62">
        <f t="shared" si="17"/>
        <v>14800.10142</v>
      </c>
      <c r="S48" s="62">
        <f t="shared" si="17"/>
        <v>10000</v>
      </c>
      <c r="T48" s="62"/>
      <c r="U48" s="71"/>
    </row>
    <row r="49" ht="14.25" customHeight="1">
      <c r="A49" s="61"/>
      <c r="B49" s="84" t="s">
        <v>68</v>
      </c>
      <c r="C49" s="62"/>
      <c r="D49" s="62">
        <f t="shared" ref="D49:Q49" si="18">SUM(D43:D46)</f>
        <v>13676.95051</v>
      </c>
      <c r="E49" s="62">
        <f t="shared" si="18"/>
        <v>10392.6684</v>
      </c>
      <c r="F49" s="62">
        <f t="shared" si="18"/>
        <v>18297.11475</v>
      </c>
      <c r="G49" s="62">
        <f t="shared" si="18"/>
        <v>5828.455703</v>
      </c>
      <c r="H49" s="62">
        <f t="shared" si="18"/>
        <v>5828.455703</v>
      </c>
      <c r="I49" s="62">
        <f t="shared" si="18"/>
        <v>10699.4546</v>
      </c>
      <c r="J49" s="62">
        <f t="shared" si="18"/>
        <v>5828.455703</v>
      </c>
      <c r="K49" s="62">
        <f t="shared" si="18"/>
        <v>8302.704912</v>
      </c>
      <c r="L49" s="62">
        <f t="shared" si="18"/>
        <v>5828.455703</v>
      </c>
      <c r="M49" s="62">
        <f t="shared" si="18"/>
        <v>5828.455703</v>
      </c>
      <c r="N49" s="62">
        <f t="shared" si="18"/>
        <v>13162.45169</v>
      </c>
      <c r="O49" s="62">
        <f t="shared" si="18"/>
        <v>5828.455703</v>
      </c>
      <c r="P49" s="62">
        <f t="shared" si="18"/>
        <v>5828.455703</v>
      </c>
      <c r="Q49" s="62">
        <f t="shared" si="18"/>
        <v>5828.455703</v>
      </c>
      <c r="R49" s="62"/>
      <c r="S49" s="62"/>
      <c r="T49" s="62"/>
      <c r="U49" s="71"/>
    </row>
    <row r="50" ht="14.25" customHeight="1">
      <c r="A50" s="87" t="s">
        <v>106</v>
      </c>
      <c r="B50" s="87" t="s">
        <v>107</v>
      </c>
      <c r="C50" s="103">
        <v>15.0</v>
      </c>
      <c r="D50" s="88">
        <v>16.0</v>
      </c>
      <c r="E50" s="88">
        <v>17.0</v>
      </c>
      <c r="F50" s="88">
        <v>18.0</v>
      </c>
      <c r="G50" s="88">
        <v>19.0</v>
      </c>
      <c r="H50" s="88">
        <v>20.0</v>
      </c>
      <c r="I50" s="88">
        <v>21.0</v>
      </c>
      <c r="J50" s="88">
        <v>22.0</v>
      </c>
      <c r="K50" s="88">
        <v>23.0</v>
      </c>
      <c r="L50" s="88">
        <v>24.0</v>
      </c>
      <c r="M50" s="88">
        <v>25.0</v>
      </c>
      <c r="N50" s="88">
        <v>26.0</v>
      </c>
      <c r="O50" s="88">
        <v>27.0</v>
      </c>
      <c r="P50" s="88">
        <v>28.0</v>
      </c>
      <c r="Q50" s="88">
        <v>29.0</v>
      </c>
      <c r="R50" s="88">
        <v>30.0</v>
      </c>
      <c r="S50" s="88">
        <v>31.0</v>
      </c>
      <c r="T50" s="88" t="s">
        <v>68</v>
      </c>
      <c r="U50" s="71"/>
    </row>
    <row r="51" ht="14.25" customHeight="1">
      <c r="A51" s="99" t="s">
        <v>83</v>
      </c>
      <c r="B51" s="84" t="s">
        <v>102</v>
      </c>
      <c r="C51" s="62"/>
      <c r="D51" s="62">
        <f>(T51-C56)/14</f>
        <v>5922.312846</v>
      </c>
      <c r="E51" s="62">
        <f t="shared" ref="E51:Q51" si="19">D51</f>
        <v>5922.312846</v>
      </c>
      <c r="F51" s="62">
        <f t="shared" si="19"/>
        <v>5922.312846</v>
      </c>
      <c r="G51" s="62">
        <f t="shared" si="19"/>
        <v>5922.312846</v>
      </c>
      <c r="H51" s="62">
        <f t="shared" si="19"/>
        <v>5922.312846</v>
      </c>
      <c r="I51" s="62">
        <f t="shared" si="19"/>
        <v>5922.312846</v>
      </c>
      <c r="J51" s="62">
        <f t="shared" si="19"/>
        <v>5922.312846</v>
      </c>
      <c r="K51" s="62">
        <f t="shared" si="19"/>
        <v>5922.312846</v>
      </c>
      <c r="L51" s="62">
        <f t="shared" si="19"/>
        <v>5922.312846</v>
      </c>
      <c r="M51" s="62">
        <f t="shared" si="19"/>
        <v>5922.312846</v>
      </c>
      <c r="N51" s="62">
        <f t="shared" si="19"/>
        <v>5922.312846</v>
      </c>
      <c r="O51" s="62">
        <f t="shared" si="19"/>
        <v>5922.312846</v>
      </c>
      <c r="P51" s="62">
        <f t="shared" si="19"/>
        <v>5922.312846</v>
      </c>
      <c r="Q51" s="62">
        <f t="shared" si="19"/>
        <v>5922.312846</v>
      </c>
      <c r="R51" s="62"/>
      <c r="S51" s="62"/>
      <c r="T51" s="62">
        <f>T55+10000</f>
        <v>84165.37984</v>
      </c>
      <c r="U51" s="71"/>
    </row>
    <row r="52" ht="14.25" customHeight="1">
      <c r="A52" s="100"/>
      <c r="B52" s="84" t="s">
        <v>99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71"/>
    </row>
    <row r="53" ht="14.25" customHeight="1">
      <c r="A53" s="100"/>
      <c r="B53" s="84" t="s">
        <v>101</v>
      </c>
      <c r="C53" s="62"/>
      <c r="D53" s="62"/>
      <c r="E53" s="62"/>
      <c r="F53" s="62"/>
      <c r="G53" s="62"/>
      <c r="H53" s="62"/>
      <c r="I53" s="62">
        <v>4870.998892518354</v>
      </c>
      <c r="J53" s="62"/>
      <c r="K53" s="62">
        <v>2474.2492086959887</v>
      </c>
      <c r="L53" s="62"/>
      <c r="M53" s="62"/>
      <c r="N53" s="62">
        <v>7333.995983659232</v>
      </c>
      <c r="O53" s="62"/>
      <c r="P53" s="62"/>
      <c r="Q53" s="62"/>
      <c r="R53" s="62"/>
      <c r="S53" s="62"/>
      <c r="T53" s="62"/>
      <c r="U53" s="71"/>
    </row>
    <row r="54" ht="14.25" customHeight="1">
      <c r="A54" s="100"/>
      <c r="B54" s="84" t="s">
        <v>100</v>
      </c>
      <c r="C54" s="62"/>
      <c r="D54" s="62">
        <v>7848.494803705559</v>
      </c>
      <c r="E54" s="62">
        <v>4564.212693486371</v>
      </c>
      <c r="F54" s="62">
        <v>12468.659051321476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71"/>
    </row>
    <row r="55" ht="14.25" customHeight="1">
      <c r="A55" s="100"/>
      <c r="B55" s="84" t="s">
        <v>111</v>
      </c>
      <c r="C55" s="62"/>
      <c r="D55" s="62"/>
      <c r="E55" s="62"/>
      <c r="F55" s="62">
        <v>2883.8075019357984</v>
      </c>
      <c r="G55" s="62">
        <v>2883.8075019357984</v>
      </c>
      <c r="H55" s="62">
        <v>2883.8075019357984</v>
      </c>
      <c r="I55" s="62">
        <v>7069.9796821651835</v>
      </c>
      <c r="J55" s="62">
        <v>2883.8075019357984</v>
      </c>
      <c r="K55" s="62">
        <v>3030.084572493455</v>
      </c>
      <c r="L55" s="62">
        <v>3030.084572493455</v>
      </c>
      <c r="M55" s="62">
        <v>3030.084572493455</v>
      </c>
      <c r="N55" s="62">
        <v>3030.084572493455</v>
      </c>
      <c r="O55" s="62">
        <v>4800.10142106873</v>
      </c>
      <c r="P55" s="62">
        <v>4800.101421068731</v>
      </c>
      <c r="Q55" s="62">
        <v>24239.42618060046</v>
      </c>
      <c r="R55" s="62">
        <v>4800.101421068731</v>
      </c>
      <c r="S55" s="62">
        <v>4800.101421068731</v>
      </c>
      <c r="T55" s="62">
        <v>74165.37984475758</v>
      </c>
      <c r="U55" s="71"/>
    </row>
    <row r="56" ht="14.25" customHeight="1">
      <c r="A56" s="100"/>
      <c r="B56" s="84" t="s">
        <v>112</v>
      </c>
      <c r="C56" s="62">
        <v>1253.0</v>
      </c>
      <c r="D56" s="62">
        <f t="shared" ref="D56:S56" si="20">C56+D51-D55</f>
        <v>7175.312846</v>
      </c>
      <c r="E56" s="62">
        <f t="shared" si="20"/>
        <v>13097.62569</v>
      </c>
      <c r="F56" s="62">
        <f t="shared" si="20"/>
        <v>16136.13104</v>
      </c>
      <c r="G56" s="62">
        <f t="shared" si="20"/>
        <v>19174.63638</v>
      </c>
      <c r="H56" s="62">
        <f t="shared" si="20"/>
        <v>22213.14172</v>
      </c>
      <c r="I56" s="62">
        <f t="shared" si="20"/>
        <v>21065.47489</v>
      </c>
      <c r="J56" s="62">
        <f t="shared" si="20"/>
        <v>24103.98023</v>
      </c>
      <c r="K56" s="62">
        <f t="shared" si="20"/>
        <v>26996.20851</v>
      </c>
      <c r="L56" s="62">
        <f t="shared" si="20"/>
        <v>29888.43678</v>
      </c>
      <c r="M56" s="62">
        <f t="shared" si="20"/>
        <v>32780.66505</v>
      </c>
      <c r="N56" s="62">
        <f t="shared" si="20"/>
        <v>35672.89333</v>
      </c>
      <c r="O56" s="62">
        <f t="shared" si="20"/>
        <v>36795.10475</v>
      </c>
      <c r="P56" s="62">
        <f t="shared" si="20"/>
        <v>37917.31618</v>
      </c>
      <c r="Q56" s="62">
        <f t="shared" si="20"/>
        <v>19600.20284</v>
      </c>
      <c r="R56" s="62">
        <f t="shared" si="20"/>
        <v>14800.10142</v>
      </c>
      <c r="S56" s="62">
        <f t="shared" si="20"/>
        <v>10000</v>
      </c>
      <c r="T56" s="62"/>
      <c r="U56" s="71"/>
    </row>
    <row r="57" ht="14.25" customHeight="1">
      <c r="A57" s="61"/>
      <c r="B57" s="84" t="s">
        <v>68</v>
      </c>
      <c r="C57" s="62"/>
      <c r="D57" s="62">
        <f t="shared" ref="D57:Q57" si="21">SUM(D51:D54)</f>
        <v>13770.80765</v>
      </c>
      <c r="E57" s="62">
        <f t="shared" si="21"/>
        <v>10486.52554</v>
      </c>
      <c r="F57" s="62">
        <f t="shared" si="21"/>
        <v>18390.9719</v>
      </c>
      <c r="G57" s="62">
        <f t="shared" si="21"/>
        <v>5922.312846</v>
      </c>
      <c r="H57" s="62">
        <f t="shared" si="21"/>
        <v>5922.312846</v>
      </c>
      <c r="I57" s="62">
        <f t="shared" si="21"/>
        <v>10793.31174</v>
      </c>
      <c r="J57" s="62">
        <f t="shared" si="21"/>
        <v>5922.312846</v>
      </c>
      <c r="K57" s="62">
        <f t="shared" si="21"/>
        <v>8396.562055</v>
      </c>
      <c r="L57" s="62">
        <f t="shared" si="21"/>
        <v>5922.312846</v>
      </c>
      <c r="M57" s="62">
        <f t="shared" si="21"/>
        <v>5922.312846</v>
      </c>
      <c r="N57" s="62">
        <f t="shared" si="21"/>
        <v>13256.30883</v>
      </c>
      <c r="O57" s="62">
        <f t="shared" si="21"/>
        <v>5922.312846</v>
      </c>
      <c r="P57" s="62">
        <f t="shared" si="21"/>
        <v>5922.312846</v>
      </c>
      <c r="Q57" s="62">
        <f t="shared" si="21"/>
        <v>5922.312846</v>
      </c>
      <c r="R57" s="62"/>
      <c r="S57" s="62"/>
      <c r="T57" s="62"/>
      <c r="U57" s="71"/>
    </row>
    <row r="58" ht="14.25" customHeight="1">
      <c r="A58" s="87" t="s">
        <v>106</v>
      </c>
      <c r="B58" s="87" t="s">
        <v>107</v>
      </c>
      <c r="C58" s="103">
        <v>15.0</v>
      </c>
      <c r="D58" s="88">
        <v>16.0</v>
      </c>
      <c r="E58" s="88">
        <v>17.0</v>
      </c>
      <c r="F58" s="88">
        <v>18.0</v>
      </c>
      <c r="G58" s="88">
        <v>19.0</v>
      </c>
      <c r="H58" s="88">
        <v>20.0</v>
      </c>
      <c r="I58" s="88">
        <v>21.0</v>
      </c>
      <c r="J58" s="88">
        <v>22.0</v>
      </c>
      <c r="K58" s="88">
        <v>23.0</v>
      </c>
      <c r="L58" s="88">
        <v>24.0</v>
      </c>
      <c r="M58" s="88">
        <v>25.0</v>
      </c>
      <c r="N58" s="88">
        <v>26.0</v>
      </c>
      <c r="O58" s="88">
        <v>27.0</v>
      </c>
      <c r="P58" s="88">
        <v>28.0</v>
      </c>
      <c r="Q58" s="88">
        <v>29.0</v>
      </c>
      <c r="R58" s="88">
        <v>30.0</v>
      </c>
      <c r="S58" s="88">
        <v>31.0</v>
      </c>
      <c r="T58" s="88" t="s">
        <v>68</v>
      </c>
      <c r="U58" s="71"/>
    </row>
    <row r="59" ht="14.25" customHeight="1">
      <c r="A59" s="99" t="s">
        <v>85</v>
      </c>
      <c r="B59" s="84" t="s">
        <v>102</v>
      </c>
      <c r="C59" s="62"/>
      <c r="D59" s="62">
        <f>(T59-C64)/14</f>
        <v>15211.27845</v>
      </c>
      <c r="E59" s="62">
        <f t="shared" ref="E59:Q59" si="22">D59</f>
        <v>15211.27845</v>
      </c>
      <c r="F59" s="62">
        <f t="shared" si="22"/>
        <v>15211.27845</v>
      </c>
      <c r="G59" s="62">
        <f t="shared" si="22"/>
        <v>15211.27845</v>
      </c>
      <c r="H59" s="62">
        <f t="shared" si="22"/>
        <v>15211.27845</v>
      </c>
      <c r="I59" s="62">
        <f t="shared" si="22"/>
        <v>15211.27845</v>
      </c>
      <c r="J59" s="62">
        <f t="shared" si="22"/>
        <v>15211.27845</v>
      </c>
      <c r="K59" s="62">
        <f t="shared" si="22"/>
        <v>15211.27845</v>
      </c>
      <c r="L59" s="62">
        <f t="shared" si="22"/>
        <v>15211.27845</v>
      </c>
      <c r="M59" s="62">
        <f t="shared" si="22"/>
        <v>15211.27845</v>
      </c>
      <c r="N59" s="62">
        <f t="shared" si="22"/>
        <v>15211.27845</v>
      </c>
      <c r="O59" s="62">
        <f t="shared" si="22"/>
        <v>15211.27845</v>
      </c>
      <c r="P59" s="62">
        <f t="shared" si="22"/>
        <v>15211.27845</v>
      </c>
      <c r="Q59" s="62">
        <f t="shared" si="22"/>
        <v>15211.27845</v>
      </c>
      <c r="R59" s="62"/>
      <c r="S59" s="62"/>
      <c r="T59" s="62">
        <f>T63+10000</f>
        <v>215819.8983</v>
      </c>
      <c r="U59" s="71"/>
    </row>
    <row r="60" ht="14.25" customHeight="1">
      <c r="A60" s="100"/>
      <c r="B60" s="84" t="s">
        <v>99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71"/>
    </row>
    <row r="61" ht="14.25" customHeight="1">
      <c r="A61" s="100"/>
      <c r="B61" s="84" t="s">
        <v>101</v>
      </c>
      <c r="C61" s="62"/>
      <c r="D61" s="62"/>
      <c r="E61" s="62"/>
      <c r="F61" s="62"/>
      <c r="G61" s="62"/>
      <c r="H61" s="62"/>
      <c r="I61" s="62">
        <v>9917.035020648793</v>
      </c>
      <c r="J61" s="62"/>
      <c r="K61" s="62">
        <v>5037.409491128972</v>
      </c>
      <c r="L61" s="62"/>
      <c r="M61" s="62"/>
      <c r="N61" s="62">
        <v>14931.535936696398</v>
      </c>
      <c r="O61" s="62"/>
      <c r="P61" s="62"/>
      <c r="Q61" s="62"/>
      <c r="R61" s="62"/>
      <c r="S61" s="62"/>
      <c r="T61" s="62"/>
      <c r="U61" s="71"/>
    </row>
    <row r="62" ht="14.25" customHeight="1">
      <c r="A62" s="100"/>
      <c r="B62" s="84" t="s">
        <v>100</v>
      </c>
      <c r="C62" s="62"/>
      <c r="D62" s="62">
        <v>7594.967184677672</v>
      </c>
      <c r="E62" s="62">
        <v>4416.776273401066</v>
      </c>
      <c r="F62" s="62">
        <v>12065.887625613253</v>
      </c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71"/>
    </row>
    <row r="63" ht="14.25" customHeight="1">
      <c r="A63" s="100"/>
      <c r="B63" s="84" t="s">
        <v>111</v>
      </c>
      <c r="C63" s="62"/>
      <c r="D63" s="62"/>
      <c r="E63" s="62"/>
      <c r="F63" s="62">
        <v>8376.634865474756</v>
      </c>
      <c r="G63" s="62">
        <v>8376.634865474756</v>
      </c>
      <c r="H63" s="62">
        <v>8376.634865474756</v>
      </c>
      <c r="I63" s="62">
        <v>20536.266121809076</v>
      </c>
      <c r="J63" s="62">
        <v>8376.634865474756</v>
      </c>
      <c r="K63" s="62">
        <v>8577.532938929267</v>
      </c>
      <c r="L63" s="62">
        <v>8577.532938929267</v>
      </c>
      <c r="M63" s="62">
        <v>8577.532938929267</v>
      </c>
      <c r="N63" s="62">
        <v>8577.532938929267</v>
      </c>
      <c r="O63" s="62">
        <v>12980.099183251696</v>
      </c>
      <c r="P63" s="62">
        <v>12980.099183251696</v>
      </c>
      <c r="Q63" s="62">
        <v>65546.56420139768</v>
      </c>
      <c r="R63" s="62">
        <v>12980.099183251696</v>
      </c>
      <c r="S63" s="62">
        <v>12980.099183251696</v>
      </c>
      <c r="T63" s="62">
        <v>205819.89827382963</v>
      </c>
      <c r="U63" s="71"/>
    </row>
    <row r="64" ht="14.25" customHeight="1">
      <c r="A64" s="100"/>
      <c r="B64" s="84" t="s">
        <v>112</v>
      </c>
      <c r="C64" s="62">
        <v>2862.0</v>
      </c>
      <c r="D64" s="62">
        <f t="shared" ref="D64:S64" si="23">C64+D59-D63</f>
        <v>18073.27845</v>
      </c>
      <c r="E64" s="62">
        <f t="shared" si="23"/>
        <v>33284.5569</v>
      </c>
      <c r="F64" s="62">
        <f t="shared" si="23"/>
        <v>40119.20048</v>
      </c>
      <c r="G64" s="62">
        <f t="shared" si="23"/>
        <v>46953.84406</v>
      </c>
      <c r="H64" s="62">
        <f t="shared" si="23"/>
        <v>53788.48764</v>
      </c>
      <c r="I64" s="62">
        <f t="shared" si="23"/>
        <v>48463.49997</v>
      </c>
      <c r="J64" s="62">
        <f t="shared" si="23"/>
        <v>55298.14355</v>
      </c>
      <c r="K64" s="62">
        <f t="shared" si="23"/>
        <v>61931.88906</v>
      </c>
      <c r="L64" s="62">
        <f t="shared" si="23"/>
        <v>68565.63457</v>
      </c>
      <c r="M64" s="62">
        <f t="shared" si="23"/>
        <v>75199.38008</v>
      </c>
      <c r="N64" s="62">
        <f t="shared" si="23"/>
        <v>81833.12559</v>
      </c>
      <c r="O64" s="62">
        <f t="shared" si="23"/>
        <v>84064.30485</v>
      </c>
      <c r="P64" s="62">
        <f t="shared" si="23"/>
        <v>86295.48412</v>
      </c>
      <c r="Q64" s="62">
        <f t="shared" si="23"/>
        <v>35960.19837</v>
      </c>
      <c r="R64" s="62">
        <f t="shared" si="23"/>
        <v>22980.09918</v>
      </c>
      <c r="S64" s="62">
        <f t="shared" si="23"/>
        <v>10000</v>
      </c>
      <c r="T64" s="62"/>
      <c r="U64" s="71"/>
    </row>
    <row r="65" ht="14.25" customHeight="1">
      <c r="A65" s="61"/>
      <c r="B65" s="84" t="s">
        <v>68</v>
      </c>
      <c r="C65" s="62"/>
      <c r="D65" s="62">
        <f t="shared" ref="D65:Q65" si="24">SUM(D59:D62)</f>
        <v>22806.24563</v>
      </c>
      <c r="E65" s="62">
        <f t="shared" si="24"/>
        <v>19628.05472</v>
      </c>
      <c r="F65" s="62">
        <f t="shared" si="24"/>
        <v>27277.16607</v>
      </c>
      <c r="G65" s="62">
        <f t="shared" si="24"/>
        <v>15211.27845</v>
      </c>
      <c r="H65" s="62">
        <f t="shared" si="24"/>
        <v>15211.27845</v>
      </c>
      <c r="I65" s="62">
        <f t="shared" si="24"/>
        <v>25128.31347</v>
      </c>
      <c r="J65" s="62">
        <f t="shared" si="24"/>
        <v>15211.27845</v>
      </c>
      <c r="K65" s="62">
        <f t="shared" si="24"/>
        <v>20248.68794</v>
      </c>
      <c r="L65" s="62">
        <f t="shared" si="24"/>
        <v>15211.27845</v>
      </c>
      <c r="M65" s="62">
        <f t="shared" si="24"/>
        <v>15211.27845</v>
      </c>
      <c r="N65" s="62">
        <f t="shared" si="24"/>
        <v>30142.81438</v>
      </c>
      <c r="O65" s="62">
        <f t="shared" si="24"/>
        <v>15211.27845</v>
      </c>
      <c r="P65" s="62">
        <f t="shared" si="24"/>
        <v>15211.27845</v>
      </c>
      <c r="Q65" s="62">
        <f t="shared" si="24"/>
        <v>15211.27845</v>
      </c>
      <c r="R65" s="62"/>
      <c r="S65" s="62"/>
      <c r="T65" s="62"/>
      <c r="U65" s="71"/>
    </row>
    <row r="66" ht="14.25" customHeight="1">
      <c r="A66" s="87" t="s">
        <v>106</v>
      </c>
      <c r="B66" s="87" t="s">
        <v>107</v>
      </c>
      <c r="C66" s="103">
        <v>15.0</v>
      </c>
      <c r="D66" s="88">
        <v>16.0</v>
      </c>
      <c r="E66" s="88">
        <v>17.0</v>
      </c>
      <c r="F66" s="88">
        <v>18.0</v>
      </c>
      <c r="G66" s="88">
        <v>19.0</v>
      </c>
      <c r="H66" s="88">
        <v>20.0</v>
      </c>
      <c r="I66" s="88">
        <v>21.0</v>
      </c>
      <c r="J66" s="88">
        <v>22.0</v>
      </c>
      <c r="K66" s="88">
        <v>23.0</v>
      </c>
      <c r="L66" s="88">
        <v>24.0</v>
      </c>
      <c r="M66" s="88">
        <v>25.0</v>
      </c>
      <c r="N66" s="88">
        <v>26.0</v>
      </c>
      <c r="O66" s="88">
        <v>27.0</v>
      </c>
      <c r="P66" s="88">
        <v>28.0</v>
      </c>
      <c r="Q66" s="88">
        <v>29.0</v>
      </c>
      <c r="R66" s="88">
        <v>30.0</v>
      </c>
      <c r="S66" s="88">
        <v>31.0</v>
      </c>
      <c r="T66" s="88" t="s">
        <v>68</v>
      </c>
      <c r="U66" s="71"/>
    </row>
    <row r="67" ht="14.25" customHeight="1">
      <c r="A67" s="99" t="s">
        <v>87</v>
      </c>
      <c r="B67" s="84" t="s">
        <v>102</v>
      </c>
      <c r="C67" s="62"/>
      <c r="D67" s="62">
        <f>(T67-C72)/14</f>
        <v>7148.266017</v>
      </c>
      <c r="E67" s="62">
        <f t="shared" ref="E67:Q67" si="25">D67</f>
        <v>7148.266017</v>
      </c>
      <c r="F67" s="62">
        <f t="shared" si="25"/>
        <v>7148.266017</v>
      </c>
      <c r="G67" s="62">
        <f t="shared" si="25"/>
        <v>7148.266017</v>
      </c>
      <c r="H67" s="62">
        <f t="shared" si="25"/>
        <v>7148.266017</v>
      </c>
      <c r="I67" s="62">
        <f t="shared" si="25"/>
        <v>7148.266017</v>
      </c>
      <c r="J67" s="62">
        <f t="shared" si="25"/>
        <v>7148.266017</v>
      </c>
      <c r="K67" s="62">
        <f t="shared" si="25"/>
        <v>7148.266017</v>
      </c>
      <c r="L67" s="62">
        <f t="shared" si="25"/>
        <v>7148.266017</v>
      </c>
      <c r="M67" s="62">
        <f t="shared" si="25"/>
        <v>7148.266017</v>
      </c>
      <c r="N67" s="62">
        <f t="shared" si="25"/>
        <v>7148.266017</v>
      </c>
      <c r="O67" s="62">
        <f t="shared" si="25"/>
        <v>7148.266017</v>
      </c>
      <c r="P67" s="62">
        <f t="shared" si="25"/>
        <v>7148.266017</v>
      </c>
      <c r="Q67" s="62">
        <f t="shared" si="25"/>
        <v>7148.266017</v>
      </c>
      <c r="R67" s="62"/>
      <c r="S67" s="62"/>
      <c r="T67" s="62">
        <f>T71+10000</f>
        <v>101035.7242</v>
      </c>
      <c r="U67" s="71"/>
    </row>
    <row r="68" ht="14.25" customHeight="1">
      <c r="A68" s="100"/>
      <c r="B68" s="84" t="s">
        <v>99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71"/>
    </row>
    <row r="69" ht="14.25" customHeight="1">
      <c r="A69" s="100"/>
      <c r="B69" s="84" t="s">
        <v>101</v>
      </c>
      <c r="C69" s="62"/>
      <c r="D69" s="62"/>
      <c r="E69" s="62"/>
      <c r="F69" s="62"/>
      <c r="G69" s="62"/>
      <c r="H69" s="62"/>
      <c r="I69" s="62">
        <v>4386.380874517735</v>
      </c>
      <c r="J69" s="62"/>
      <c r="K69" s="62">
        <v>2228.0849672301224</v>
      </c>
      <c r="L69" s="62"/>
      <c r="M69" s="62"/>
      <c r="N69" s="62">
        <v>6604.33320276956</v>
      </c>
      <c r="O69" s="62"/>
      <c r="P69" s="62"/>
      <c r="Q69" s="62"/>
      <c r="R69" s="62"/>
      <c r="S69" s="62"/>
      <c r="T69" s="62"/>
      <c r="U69" s="71"/>
    </row>
    <row r="70" ht="14.25" customHeight="1">
      <c r="A70" s="100"/>
      <c r="B70" s="84" t="s">
        <v>100</v>
      </c>
      <c r="C70" s="62"/>
      <c r="D70" s="62">
        <v>3359.312408607431</v>
      </c>
      <c r="E70" s="62">
        <v>1953.5741209273945</v>
      </c>
      <c r="F70" s="62">
        <v>5336.834911328938</v>
      </c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71"/>
    </row>
    <row r="71" ht="14.25" customHeight="1">
      <c r="A71" s="100"/>
      <c r="B71" s="84" t="s">
        <v>111</v>
      </c>
      <c r="C71" s="62"/>
      <c r="D71" s="62"/>
      <c r="E71" s="62"/>
      <c r="F71" s="62">
        <v>3705.0500366522947</v>
      </c>
      <c r="G71" s="62">
        <v>3705.0500366522947</v>
      </c>
      <c r="H71" s="62">
        <v>3705.0500366522947</v>
      </c>
      <c r="I71" s="62">
        <v>9083.348476954012</v>
      </c>
      <c r="J71" s="62">
        <v>3705.0500366522947</v>
      </c>
      <c r="K71" s="62">
        <v>3793.9087999110225</v>
      </c>
      <c r="L71" s="62">
        <v>3793.9087999110225</v>
      </c>
      <c r="M71" s="62">
        <v>3793.9087999110225</v>
      </c>
      <c r="N71" s="62">
        <v>3793.9087999110225</v>
      </c>
      <c r="O71" s="62">
        <v>5741.197715669018</v>
      </c>
      <c r="P71" s="62">
        <v>5741.197715669018</v>
      </c>
      <c r="Q71" s="62">
        <v>28991.7495506182</v>
      </c>
      <c r="R71" s="62">
        <v>5741.197715669018</v>
      </c>
      <c r="S71" s="62">
        <v>5741.197715669018</v>
      </c>
      <c r="T71" s="62">
        <v>91035.72423650156</v>
      </c>
      <c r="U71" s="71"/>
    </row>
    <row r="72" ht="14.25" customHeight="1">
      <c r="A72" s="100"/>
      <c r="B72" s="84" t="s">
        <v>112</v>
      </c>
      <c r="C72" s="62">
        <v>960.0</v>
      </c>
      <c r="D72" s="62">
        <f t="shared" ref="D72:S72" si="26">C72+D67-D71</f>
        <v>8108.266017</v>
      </c>
      <c r="E72" s="62">
        <f t="shared" si="26"/>
        <v>15256.53203</v>
      </c>
      <c r="F72" s="62">
        <f t="shared" si="26"/>
        <v>18699.74801</v>
      </c>
      <c r="G72" s="62">
        <f t="shared" si="26"/>
        <v>22142.96399</v>
      </c>
      <c r="H72" s="62">
        <f t="shared" si="26"/>
        <v>25586.17997</v>
      </c>
      <c r="I72" s="62">
        <f t="shared" si="26"/>
        <v>23651.09751</v>
      </c>
      <c r="J72" s="62">
        <f t="shared" si="26"/>
        <v>27094.31349</v>
      </c>
      <c r="K72" s="62">
        <f t="shared" si="26"/>
        <v>30448.67071</v>
      </c>
      <c r="L72" s="62">
        <f t="shared" si="26"/>
        <v>33803.02793</v>
      </c>
      <c r="M72" s="62">
        <f t="shared" si="26"/>
        <v>37157.38515</v>
      </c>
      <c r="N72" s="62">
        <f t="shared" si="26"/>
        <v>40511.74236</v>
      </c>
      <c r="O72" s="62">
        <f t="shared" si="26"/>
        <v>41918.81066</v>
      </c>
      <c r="P72" s="62">
        <f t="shared" si="26"/>
        <v>43325.87897</v>
      </c>
      <c r="Q72" s="62">
        <f t="shared" si="26"/>
        <v>21482.39543</v>
      </c>
      <c r="R72" s="62">
        <f t="shared" si="26"/>
        <v>15741.19772</v>
      </c>
      <c r="S72" s="62">
        <f t="shared" si="26"/>
        <v>10000</v>
      </c>
      <c r="T72" s="62"/>
      <c r="U72" s="71"/>
    </row>
    <row r="73" ht="14.25" customHeight="1">
      <c r="A73" s="61"/>
      <c r="B73" s="84" t="s">
        <v>68</v>
      </c>
      <c r="C73" s="62"/>
      <c r="D73" s="62">
        <f t="shared" ref="D73:Q73" si="27">SUM(D67:D70)</f>
        <v>10507.57843</v>
      </c>
      <c r="E73" s="62">
        <f t="shared" si="27"/>
        <v>9101.840138</v>
      </c>
      <c r="F73" s="62">
        <f t="shared" si="27"/>
        <v>12485.10093</v>
      </c>
      <c r="G73" s="62">
        <f t="shared" si="27"/>
        <v>7148.266017</v>
      </c>
      <c r="H73" s="62">
        <f t="shared" si="27"/>
        <v>7148.266017</v>
      </c>
      <c r="I73" s="62">
        <f t="shared" si="27"/>
        <v>11534.64689</v>
      </c>
      <c r="J73" s="62">
        <f t="shared" si="27"/>
        <v>7148.266017</v>
      </c>
      <c r="K73" s="62">
        <f t="shared" si="27"/>
        <v>9376.350984</v>
      </c>
      <c r="L73" s="62">
        <f t="shared" si="27"/>
        <v>7148.266017</v>
      </c>
      <c r="M73" s="62">
        <f t="shared" si="27"/>
        <v>7148.266017</v>
      </c>
      <c r="N73" s="62">
        <f t="shared" si="27"/>
        <v>13752.59922</v>
      </c>
      <c r="O73" s="62">
        <f t="shared" si="27"/>
        <v>7148.266017</v>
      </c>
      <c r="P73" s="62">
        <f t="shared" si="27"/>
        <v>7148.266017</v>
      </c>
      <c r="Q73" s="62">
        <f t="shared" si="27"/>
        <v>7148.266017</v>
      </c>
      <c r="R73" s="62"/>
      <c r="S73" s="62"/>
      <c r="T73" s="62"/>
      <c r="U73" s="71"/>
    </row>
    <row r="74" ht="14.25" customHeight="1">
      <c r="A74" s="87" t="s">
        <v>106</v>
      </c>
      <c r="B74" s="87" t="s">
        <v>107</v>
      </c>
      <c r="C74" s="103">
        <v>15.0</v>
      </c>
      <c r="D74" s="88">
        <v>16.0</v>
      </c>
      <c r="E74" s="88">
        <v>17.0</v>
      </c>
      <c r="F74" s="88">
        <v>18.0</v>
      </c>
      <c r="G74" s="88">
        <v>19.0</v>
      </c>
      <c r="H74" s="88">
        <v>20.0</v>
      </c>
      <c r="I74" s="88">
        <v>21.0</v>
      </c>
      <c r="J74" s="88">
        <v>22.0</v>
      </c>
      <c r="K74" s="88">
        <v>23.0</v>
      </c>
      <c r="L74" s="88">
        <v>24.0</v>
      </c>
      <c r="M74" s="88">
        <v>25.0</v>
      </c>
      <c r="N74" s="88">
        <v>26.0</v>
      </c>
      <c r="O74" s="88">
        <v>27.0</v>
      </c>
      <c r="P74" s="88">
        <v>28.0</v>
      </c>
      <c r="Q74" s="88">
        <v>29.0</v>
      </c>
      <c r="R74" s="88">
        <v>30.0</v>
      </c>
      <c r="S74" s="88">
        <v>31.0</v>
      </c>
      <c r="T74" s="88" t="s">
        <v>68</v>
      </c>
      <c r="U74" s="71"/>
    </row>
    <row r="75" ht="14.25" customHeight="1">
      <c r="A75" s="99" t="s">
        <v>89</v>
      </c>
      <c r="B75" s="84" t="s">
        <v>102</v>
      </c>
      <c r="C75" s="62"/>
      <c r="D75" s="62">
        <f>(T75-C80)/14</f>
        <v>11379.63205</v>
      </c>
      <c r="E75" s="62">
        <f t="shared" ref="E75:Q75" si="28">D75</f>
        <v>11379.63205</v>
      </c>
      <c r="F75" s="62">
        <f t="shared" si="28"/>
        <v>11379.63205</v>
      </c>
      <c r="G75" s="62">
        <f t="shared" si="28"/>
        <v>11379.63205</v>
      </c>
      <c r="H75" s="62">
        <f t="shared" si="28"/>
        <v>11379.63205</v>
      </c>
      <c r="I75" s="62">
        <f t="shared" si="28"/>
        <v>11379.63205</v>
      </c>
      <c r="J75" s="62">
        <f t="shared" si="28"/>
        <v>11379.63205</v>
      </c>
      <c r="K75" s="62">
        <f t="shared" si="28"/>
        <v>11379.63205</v>
      </c>
      <c r="L75" s="62">
        <f t="shared" si="28"/>
        <v>11379.63205</v>
      </c>
      <c r="M75" s="62">
        <f t="shared" si="28"/>
        <v>11379.63205</v>
      </c>
      <c r="N75" s="62">
        <f t="shared" si="28"/>
        <v>11379.63205</v>
      </c>
      <c r="O75" s="62">
        <f t="shared" si="28"/>
        <v>11379.63205</v>
      </c>
      <c r="P75" s="62">
        <f t="shared" si="28"/>
        <v>11379.63205</v>
      </c>
      <c r="Q75" s="62">
        <f t="shared" si="28"/>
        <v>11379.63205</v>
      </c>
      <c r="R75" s="62"/>
      <c r="S75" s="62"/>
      <c r="T75" s="62">
        <f>T79+10000</f>
        <v>160406.8487</v>
      </c>
      <c r="U75" s="71"/>
    </row>
    <row r="76" ht="14.25" customHeight="1">
      <c r="A76" s="100"/>
      <c r="B76" s="84" t="s">
        <v>99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71"/>
    </row>
    <row r="77" ht="14.25" customHeight="1">
      <c r="A77" s="100"/>
      <c r="B77" s="84" t="s">
        <v>101</v>
      </c>
      <c r="C77" s="62"/>
      <c r="D77" s="62"/>
      <c r="E77" s="62"/>
      <c r="F77" s="62"/>
      <c r="G77" s="62"/>
      <c r="H77" s="62"/>
      <c r="I77" s="62">
        <v>7247.06405355104</v>
      </c>
      <c r="J77" s="62"/>
      <c r="K77" s="62">
        <v>3681.1838589019417</v>
      </c>
      <c r="L77" s="62"/>
      <c r="M77" s="62"/>
      <c r="N77" s="62">
        <v>10911.50703066275</v>
      </c>
      <c r="O77" s="62"/>
      <c r="P77" s="62"/>
      <c r="Q77" s="62"/>
      <c r="R77" s="62"/>
      <c r="S77" s="62"/>
      <c r="T77" s="62"/>
      <c r="U77" s="71"/>
    </row>
    <row r="78" ht="14.25" customHeight="1">
      <c r="A78" s="100"/>
      <c r="B78" s="84" t="s">
        <v>100</v>
      </c>
      <c r="C78" s="62"/>
      <c r="D78" s="62">
        <v>5550.168327264451</v>
      </c>
      <c r="E78" s="62">
        <v>3227.6441997930865</v>
      </c>
      <c r="F78" s="62">
        <v>8817.379418717375</v>
      </c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71"/>
    </row>
    <row r="79" ht="14.25" customHeight="1">
      <c r="A79" s="100"/>
      <c r="B79" s="84" t="s">
        <v>111</v>
      </c>
      <c r="C79" s="62"/>
      <c r="D79" s="62"/>
      <c r="E79" s="62"/>
      <c r="F79" s="62">
        <v>6121.3870170777045</v>
      </c>
      <c r="G79" s="62">
        <v>6121.3870170777045</v>
      </c>
      <c r="H79" s="62">
        <v>6121.3870170777045</v>
      </c>
      <c r="I79" s="62">
        <v>15007.27139670663</v>
      </c>
      <c r="J79" s="62">
        <v>6121.3870170777045</v>
      </c>
      <c r="K79" s="62">
        <v>6268.19714767908</v>
      </c>
      <c r="L79" s="62">
        <v>6268.19714767908</v>
      </c>
      <c r="M79" s="62">
        <v>6268.19714767908</v>
      </c>
      <c r="N79" s="62">
        <v>6268.19714767908</v>
      </c>
      <c r="O79" s="62">
        <v>9485.457095453161</v>
      </c>
      <c r="P79" s="62">
        <v>9485.457095453161</v>
      </c>
      <c r="Q79" s="62">
        <v>47899.41230102137</v>
      </c>
      <c r="R79" s="62">
        <v>9485.457095453161</v>
      </c>
      <c r="S79" s="62">
        <v>9485.457095453161</v>
      </c>
      <c r="T79" s="62">
        <v>150406.8487385678</v>
      </c>
      <c r="U79" s="71"/>
    </row>
    <row r="80" ht="14.25" customHeight="1">
      <c r="A80" s="100"/>
      <c r="B80" s="84" t="s">
        <v>112</v>
      </c>
      <c r="C80" s="62">
        <v>1092.0</v>
      </c>
      <c r="D80" s="62">
        <f t="shared" ref="D80:S80" si="29">C80+D75-D79</f>
        <v>12471.63205</v>
      </c>
      <c r="E80" s="62">
        <f t="shared" si="29"/>
        <v>23851.26411</v>
      </c>
      <c r="F80" s="62">
        <f t="shared" si="29"/>
        <v>29109.50914</v>
      </c>
      <c r="G80" s="62">
        <f t="shared" si="29"/>
        <v>34367.75418</v>
      </c>
      <c r="H80" s="62">
        <f t="shared" si="29"/>
        <v>39625.99921</v>
      </c>
      <c r="I80" s="62">
        <f t="shared" si="29"/>
        <v>35998.35987</v>
      </c>
      <c r="J80" s="62">
        <f t="shared" si="29"/>
        <v>41256.6049</v>
      </c>
      <c r="K80" s="62">
        <f t="shared" si="29"/>
        <v>46368.03981</v>
      </c>
      <c r="L80" s="62">
        <f t="shared" si="29"/>
        <v>51479.47471</v>
      </c>
      <c r="M80" s="62">
        <f t="shared" si="29"/>
        <v>56590.90962</v>
      </c>
      <c r="N80" s="62">
        <f t="shared" si="29"/>
        <v>61702.34452</v>
      </c>
      <c r="O80" s="62">
        <f t="shared" si="29"/>
        <v>63596.51948</v>
      </c>
      <c r="P80" s="62">
        <f t="shared" si="29"/>
        <v>65490.69444</v>
      </c>
      <c r="Q80" s="62">
        <f t="shared" si="29"/>
        <v>28970.91419</v>
      </c>
      <c r="R80" s="62">
        <f t="shared" si="29"/>
        <v>19485.4571</v>
      </c>
      <c r="S80" s="62">
        <f t="shared" si="29"/>
        <v>10000</v>
      </c>
      <c r="T80" s="62"/>
      <c r="U80" s="71"/>
    </row>
    <row r="81" ht="14.25" customHeight="1">
      <c r="A81" s="61"/>
      <c r="B81" s="84" t="s">
        <v>68</v>
      </c>
      <c r="C81" s="62"/>
      <c r="D81" s="62">
        <f t="shared" ref="D81:Q81" si="30">SUM(D75:D78)</f>
        <v>16929.80038</v>
      </c>
      <c r="E81" s="62">
        <f t="shared" si="30"/>
        <v>14607.27625</v>
      </c>
      <c r="F81" s="62">
        <f t="shared" si="30"/>
        <v>20197.01147</v>
      </c>
      <c r="G81" s="62">
        <f t="shared" si="30"/>
        <v>11379.63205</v>
      </c>
      <c r="H81" s="62">
        <f t="shared" si="30"/>
        <v>11379.63205</v>
      </c>
      <c r="I81" s="62">
        <f t="shared" si="30"/>
        <v>18626.69611</v>
      </c>
      <c r="J81" s="62">
        <f t="shared" si="30"/>
        <v>11379.63205</v>
      </c>
      <c r="K81" s="62">
        <f t="shared" si="30"/>
        <v>15060.81591</v>
      </c>
      <c r="L81" s="62">
        <f t="shared" si="30"/>
        <v>11379.63205</v>
      </c>
      <c r="M81" s="62">
        <f t="shared" si="30"/>
        <v>11379.63205</v>
      </c>
      <c r="N81" s="62">
        <f t="shared" si="30"/>
        <v>22291.13908</v>
      </c>
      <c r="O81" s="62">
        <f t="shared" si="30"/>
        <v>11379.63205</v>
      </c>
      <c r="P81" s="62">
        <f t="shared" si="30"/>
        <v>11379.63205</v>
      </c>
      <c r="Q81" s="62">
        <f t="shared" si="30"/>
        <v>11379.63205</v>
      </c>
      <c r="R81" s="62"/>
      <c r="S81" s="62"/>
      <c r="T81" s="62"/>
      <c r="U81" s="71"/>
    </row>
    <row r="82" ht="14.25" customHeight="1"/>
    <row r="83" ht="14.25" customHeight="1">
      <c r="D83" s="71"/>
    </row>
    <row r="84" ht="14.25" customHeight="1"/>
    <row r="85" ht="14.25" customHeight="1">
      <c r="B85" s="105" t="s">
        <v>114</v>
      </c>
      <c r="C85" s="106">
        <v>16.0</v>
      </c>
      <c r="D85" s="106">
        <v>17.0</v>
      </c>
      <c r="E85" s="106">
        <v>18.0</v>
      </c>
      <c r="F85" s="106">
        <v>19.0</v>
      </c>
      <c r="G85" s="106">
        <v>20.0</v>
      </c>
      <c r="H85" s="106">
        <v>21.0</v>
      </c>
      <c r="I85" s="106">
        <v>22.0</v>
      </c>
      <c r="J85" s="106">
        <v>23.0</v>
      </c>
      <c r="K85" s="106">
        <v>24.0</v>
      </c>
      <c r="L85" s="106">
        <v>25.0</v>
      </c>
      <c r="M85" s="106">
        <v>26.0</v>
      </c>
      <c r="N85" s="106">
        <v>27.0</v>
      </c>
      <c r="O85" s="106">
        <v>28.0</v>
      </c>
      <c r="P85" s="106">
        <v>29.0</v>
      </c>
    </row>
    <row r="86" ht="14.25" customHeight="1">
      <c r="A86" s="107" t="s">
        <v>115</v>
      </c>
      <c r="B86" s="108" t="s">
        <v>71</v>
      </c>
      <c r="C86" s="62">
        <v>43757.54612462163</v>
      </c>
      <c r="D86" s="62">
        <v>43757.54612462163</v>
      </c>
      <c r="E86" s="62">
        <v>43757.54612462163</v>
      </c>
      <c r="F86" s="62">
        <v>108804.26990760944</v>
      </c>
      <c r="G86" s="62">
        <v>43757.54612462163</v>
      </c>
      <c r="H86" s="62">
        <v>68217.97346367485</v>
      </c>
      <c r="I86" s="62">
        <v>43757.54612462163</v>
      </c>
      <c r="J86" s="62">
        <v>86348.12089468313</v>
      </c>
      <c r="K86" s="62">
        <v>43757.54612462163</v>
      </c>
      <c r="L86" s="62">
        <v>43757.54612462163</v>
      </c>
      <c r="M86" s="62">
        <v>80586.27054472858</v>
      </c>
      <c r="N86" s="62">
        <v>124572.92886466824</v>
      </c>
      <c r="O86" s="62">
        <v>43757.54612462163</v>
      </c>
      <c r="P86" s="62">
        <v>43757.54612462163</v>
      </c>
      <c r="R86" s="66"/>
      <c r="T86" s="69"/>
    </row>
    <row r="87" ht="14.25" customHeight="1">
      <c r="A87" s="107" t="s">
        <v>116</v>
      </c>
      <c r="B87" s="108" t="s">
        <v>73</v>
      </c>
      <c r="C87" s="62">
        <f t="shared" ref="C87:P87" si="31">D17</f>
        <v>34162.94064</v>
      </c>
      <c r="D87" s="62">
        <f t="shared" si="31"/>
        <v>34162.94064</v>
      </c>
      <c r="E87" s="62">
        <f t="shared" si="31"/>
        <v>34162.94064</v>
      </c>
      <c r="F87" s="62">
        <f t="shared" si="31"/>
        <v>84754.83691</v>
      </c>
      <c r="G87" s="62">
        <f t="shared" si="31"/>
        <v>34162.94064</v>
      </c>
      <c r="H87" s="62">
        <f t="shared" si="31"/>
        <v>53187.71746</v>
      </c>
      <c r="I87" s="62">
        <f t="shared" si="31"/>
        <v>34162.94064</v>
      </c>
      <c r="J87" s="62">
        <f t="shared" si="31"/>
        <v>67288.94324</v>
      </c>
      <c r="K87" s="62">
        <f t="shared" si="31"/>
        <v>34162.94064</v>
      </c>
      <c r="L87" s="62">
        <f t="shared" si="31"/>
        <v>34162.94064</v>
      </c>
      <c r="M87" s="62">
        <f t="shared" si="31"/>
        <v>62807.50407</v>
      </c>
      <c r="N87" s="62">
        <f t="shared" si="31"/>
        <v>97019.34943</v>
      </c>
      <c r="O87" s="62">
        <f t="shared" si="31"/>
        <v>34162.94064</v>
      </c>
      <c r="P87" s="62">
        <f t="shared" si="31"/>
        <v>34162.94064</v>
      </c>
      <c r="R87" s="66"/>
    </row>
    <row r="88" ht="14.25" customHeight="1">
      <c r="A88" s="107" t="s">
        <v>117</v>
      </c>
      <c r="B88" s="108" t="s">
        <v>75</v>
      </c>
      <c r="C88" s="62">
        <f t="shared" ref="C88:P88" si="32">D25</f>
        <v>15646.72733</v>
      </c>
      <c r="D88" s="62">
        <f t="shared" si="32"/>
        <v>15646.72733</v>
      </c>
      <c r="E88" s="62">
        <f t="shared" si="32"/>
        <v>15646.72733</v>
      </c>
      <c r="F88" s="62">
        <f t="shared" si="32"/>
        <v>38232.39531</v>
      </c>
      <c r="G88" s="62">
        <f t="shared" si="32"/>
        <v>15646.72733</v>
      </c>
      <c r="H88" s="62">
        <f t="shared" si="32"/>
        <v>24139.93126</v>
      </c>
      <c r="I88" s="62">
        <f t="shared" si="32"/>
        <v>15646.72733</v>
      </c>
      <c r="J88" s="62">
        <f t="shared" si="32"/>
        <v>30435.12134</v>
      </c>
      <c r="K88" s="62">
        <f t="shared" si="32"/>
        <v>15646.72733</v>
      </c>
      <c r="L88" s="62">
        <f t="shared" si="32"/>
        <v>15646.72733</v>
      </c>
      <c r="M88" s="62">
        <f t="shared" si="32"/>
        <v>28434.47886</v>
      </c>
      <c r="N88" s="62">
        <f t="shared" si="32"/>
        <v>43707.62411</v>
      </c>
      <c r="O88" s="62">
        <f t="shared" si="32"/>
        <v>15646.72733</v>
      </c>
      <c r="P88" s="62">
        <f t="shared" si="32"/>
        <v>15646.72733</v>
      </c>
      <c r="R88" s="66"/>
    </row>
    <row r="89" ht="14.25" customHeight="1">
      <c r="A89" s="107" t="s">
        <v>118</v>
      </c>
      <c r="B89" s="108" t="s">
        <v>77</v>
      </c>
      <c r="C89" s="62">
        <f t="shared" ref="C89:P89" si="33">D33</f>
        <v>25601.66459</v>
      </c>
      <c r="D89" s="62">
        <f t="shared" si="33"/>
        <v>25601.66459</v>
      </c>
      <c r="E89" s="62">
        <f t="shared" si="33"/>
        <v>25601.66459</v>
      </c>
      <c r="F89" s="62">
        <f t="shared" si="33"/>
        <v>63244.44456</v>
      </c>
      <c r="G89" s="62">
        <f t="shared" si="33"/>
        <v>25601.66459</v>
      </c>
      <c r="H89" s="62">
        <f t="shared" si="33"/>
        <v>39757.00448</v>
      </c>
      <c r="I89" s="62">
        <f t="shared" si="33"/>
        <v>25601.66459</v>
      </c>
      <c r="J89" s="62">
        <f t="shared" si="33"/>
        <v>50248.98795</v>
      </c>
      <c r="K89" s="62">
        <f t="shared" si="33"/>
        <v>25601.66459</v>
      </c>
      <c r="L89" s="62">
        <f t="shared" si="33"/>
        <v>25601.66459</v>
      </c>
      <c r="M89" s="62">
        <f t="shared" si="33"/>
        <v>46914.58381</v>
      </c>
      <c r="N89" s="62">
        <f t="shared" si="33"/>
        <v>72369.8259</v>
      </c>
      <c r="O89" s="62">
        <f t="shared" si="33"/>
        <v>25601.66459</v>
      </c>
      <c r="P89" s="62">
        <f t="shared" si="33"/>
        <v>25601.66459</v>
      </c>
      <c r="R89" s="66"/>
    </row>
    <row r="90" ht="14.25" customHeight="1">
      <c r="A90" s="107" t="s">
        <v>119</v>
      </c>
      <c r="B90" s="108" t="s">
        <v>79</v>
      </c>
      <c r="C90" s="62">
        <f t="shared" ref="C90:P90" si="34">D41</f>
        <v>45202.42395</v>
      </c>
      <c r="D90" s="62">
        <f t="shared" si="34"/>
        <v>34011.53676</v>
      </c>
      <c r="E90" s="62">
        <f t="shared" si="34"/>
        <v>60945.20583</v>
      </c>
      <c r="F90" s="62">
        <f t="shared" si="34"/>
        <v>18459.40462</v>
      </c>
      <c r="G90" s="62">
        <f t="shared" si="34"/>
        <v>18459.40462</v>
      </c>
      <c r="H90" s="62">
        <f t="shared" si="34"/>
        <v>35056.88233</v>
      </c>
      <c r="I90" s="62">
        <f t="shared" si="34"/>
        <v>18459.40462</v>
      </c>
      <c r="J90" s="62">
        <f t="shared" si="34"/>
        <v>26890.1797</v>
      </c>
      <c r="K90" s="62">
        <f t="shared" si="34"/>
        <v>18459.40462</v>
      </c>
      <c r="L90" s="62">
        <f t="shared" si="34"/>
        <v>18459.40462</v>
      </c>
      <c r="M90" s="62">
        <f t="shared" si="34"/>
        <v>43449.31686</v>
      </c>
      <c r="N90" s="62">
        <f t="shared" si="34"/>
        <v>18459.40462</v>
      </c>
      <c r="O90" s="62">
        <f t="shared" si="34"/>
        <v>18459.40462</v>
      </c>
      <c r="P90" s="62">
        <f t="shared" si="34"/>
        <v>18459.40462</v>
      </c>
      <c r="R90" s="66"/>
    </row>
    <row r="91" ht="14.25" customHeight="1">
      <c r="A91" s="107" t="s">
        <v>120</v>
      </c>
      <c r="B91" s="108" t="s">
        <v>81</v>
      </c>
      <c r="C91" s="62">
        <f t="shared" ref="C91:P91" si="35">D49</f>
        <v>13676.95051</v>
      </c>
      <c r="D91" s="62">
        <f t="shared" si="35"/>
        <v>10392.6684</v>
      </c>
      <c r="E91" s="62">
        <f t="shared" si="35"/>
        <v>18297.11475</v>
      </c>
      <c r="F91" s="62">
        <f t="shared" si="35"/>
        <v>5828.455703</v>
      </c>
      <c r="G91" s="62">
        <f t="shared" si="35"/>
        <v>5828.455703</v>
      </c>
      <c r="H91" s="62">
        <f t="shared" si="35"/>
        <v>10699.4546</v>
      </c>
      <c r="I91" s="62">
        <f t="shared" si="35"/>
        <v>5828.455703</v>
      </c>
      <c r="J91" s="62">
        <f t="shared" si="35"/>
        <v>8302.704912</v>
      </c>
      <c r="K91" s="62">
        <f t="shared" si="35"/>
        <v>5828.455703</v>
      </c>
      <c r="L91" s="62">
        <f t="shared" si="35"/>
        <v>5828.455703</v>
      </c>
      <c r="M91" s="62">
        <f t="shared" si="35"/>
        <v>13162.45169</v>
      </c>
      <c r="N91" s="62">
        <f t="shared" si="35"/>
        <v>5828.455703</v>
      </c>
      <c r="O91" s="62">
        <f t="shared" si="35"/>
        <v>5828.455703</v>
      </c>
      <c r="P91" s="62">
        <f t="shared" si="35"/>
        <v>5828.455703</v>
      </c>
      <c r="R91" s="66"/>
    </row>
    <row r="92" ht="14.25" customHeight="1">
      <c r="A92" s="107" t="s">
        <v>121</v>
      </c>
      <c r="B92" s="108" t="s">
        <v>83</v>
      </c>
      <c r="C92" s="62">
        <f t="shared" ref="C92:P92" si="36">D57</f>
        <v>13770.80765</v>
      </c>
      <c r="D92" s="62">
        <f t="shared" si="36"/>
        <v>10486.52554</v>
      </c>
      <c r="E92" s="62">
        <f t="shared" si="36"/>
        <v>18390.9719</v>
      </c>
      <c r="F92" s="62">
        <f t="shared" si="36"/>
        <v>5922.312846</v>
      </c>
      <c r="G92" s="62">
        <f t="shared" si="36"/>
        <v>5922.312846</v>
      </c>
      <c r="H92" s="62">
        <f t="shared" si="36"/>
        <v>10793.31174</v>
      </c>
      <c r="I92" s="62">
        <f t="shared" si="36"/>
        <v>5922.312846</v>
      </c>
      <c r="J92" s="62">
        <f t="shared" si="36"/>
        <v>8396.562055</v>
      </c>
      <c r="K92" s="62">
        <f t="shared" si="36"/>
        <v>5922.312846</v>
      </c>
      <c r="L92" s="62">
        <f t="shared" si="36"/>
        <v>5922.312846</v>
      </c>
      <c r="M92" s="62">
        <f t="shared" si="36"/>
        <v>13256.30883</v>
      </c>
      <c r="N92" s="62">
        <f t="shared" si="36"/>
        <v>5922.312846</v>
      </c>
      <c r="O92" s="62">
        <f t="shared" si="36"/>
        <v>5922.312846</v>
      </c>
      <c r="P92" s="62">
        <f t="shared" si="36"/>
        <v>5922.312846</v>
      </c>
      <c r="R92" s="66"/>
    </row>
    <row r="93" ht="14.25" customHeight="1">
      <c r="A93" s="107" t="s">
        <v>122</v>
      </c>
      <c r="B93" s="108" t="s">
        <v>85</v>
      </c>
      <c r="C93" s="62">
        <f t="shared" ref="C93:P93" si="37">D65</f>
        <v>22806.24563</v>
      </c>
      <c r="D93" s="62">
        <f t="shared" si="37"/>
        <v>19628.05472</v>
      </c>
      <c r="E93" s="62">
        <f t="shared" si="37"/>
        <v>27277.16607</v>
      </c>
      <c r="F93" s="62">
        <f t="shared" si="37"/>
        <v>15211.27845</v>
      </c>
      <c r="G93" s="62">
        <f t="shared" si="37"/>
        <v>15211.27845</v>
      </c>
      <c r="H93" s="62">
        <f t="shared" si="37"/>
        <v>25128.31347</v>
      </c>
      <c r="I93" s="62">
        <f t="shared" si="37"/>
        <v>15211.27845</v>
      </c>
      <c r="J93" s="62">
        <f t="shared" si="37"/>
        <v>20248.68794</v>
      </c>
      <c r="K93" s="62">
        <f t="shared" si="37"/>
        <v>15211.27845</v>
      </c>
      <c r="L93" s="62">
        <f t="shared" si="37"/>
        <v>15211.27845</v>
      </c>
      <c r="M93" s="62">
        <f t="shared" si="37"/>
        <v>30142.81438</v>
      </c>
      <c r="N93" s="62">
        <f t="shared" si="37"/>
        <v>15211.27845</v>
      </c>
      <c r="O93" s="62">
        <f t="shared" si="37"/>
        <v>15211.27845</v>
      </c>
      <c r="P93" s="62">
        <f t="shared" si="37"/>
        <v>15211.27845</v>
      </c>
      <c r="R93" s="66"/>
    </row>
    <row r="94" ht="14.25" customHeight="1">
      <c r="A94" s="107" t="s">
        <v>123</v>
      </c>
      <c r="B94" s="108" t="s">
        <v>87</v>
      </c>
      <c r="C94" s="62">
        <f t="shared" ref="C94:P94" si="38">D73</f>
        <v>10507.57843</v>
      </c>
      <c r="D94" s="62">
        <f t="shared" si="38"/>
        <v>9101.840138</v>
      </c>
      <c r="E94" s="62">
        <f t="shared" si="38"/>
        <v>12485.10093</v>
      </c>
      <c r="F94" s="62">
        <f t="shared" si="38"/>
        <v>7148.266017</v>
      </c>
      <c r="G94" s="62">
        <f t="shared" si="38"/>
        <v>7148.266017</v>
      </c>
      <c r="H94" s="62">
        <f t="shared" si="38"/>
        <v>11534.64689</v>
      </c>
      <c r="I94" s="62">
        <f t="shared" si="38"/>
        <v>7148.266017</v>
      </c>
      <c r="J94" s="62">
        <f t="shared" si="38"/>
        <v>9376.350984</v>
      </c>
      <c r="K94" s="62">
        <f t="shared" si="38"/>
        <v>7148.266017</v>
      </c>
      <c r="L94" s="62">
        <f t="shared" si="38"/>
        <v>7148.266017</v>
      </c>
      <c r="M94" s="62">
        <f t="shared" si="38"/>
        <v>13752.59922</v>
      </c>
      <c r="N94" s="62">
        <f t="shared" si="38"/>
        <v>7148.266017</v>
      </c>
      <c r="O94" s="62">
        <f t="shared" si="38"/>
        <v>7148.266017</v>
      </c>
      <c r="P94" s="62">
        <f t="shared" si="38"/>
        <v>7148.266017</v>
      </c>
      <c r="R94" s="66"/>
    </row>
    <row r="95" ht="14.25" customHeight="1">
      <c r="A95" s="107" t="s">
        <v>124</v>
      </c>
      <c r="B95" s="108" t="s">
        <v>89</v>
      </c>
      <c r="C95" s="62">
        <f t="shared" ref="C95:P95" si="39">D81</f>
        <v>16929.80038</v>
      </c>
      <c r="D95" s="62">
        <f t="shared" si="39"/>
        <v>14607.27625</v>
      </c>
      <c r="E95" s="62">
        <f t="shared" si="39"/>
        <v>20197.01147</v>
      </c>
      <c r="F95" s="62">
        <f t="shared" si="39"/>
        <v>11379.63205</v>
      </c>
      <c r="G95" s="62">
        <f t="shared" si="39"/>
        <v>11379.63205</v>
      </c>
      <c r="H95" s="62">
        <f t="shared" si="39"/>
        <v>18626.69611</v>
      </c>
      <c r="I95" s="62">
        <f t="shared" si="39"/>
        <v>11379.63205</v>
      </c>
      <c r="J95" s="62">
        <f t="shared" si="39"/>
        <v>15060.81591</v>
      </c>
      <c r="K95" s="62">
        <f t="shared" si="39"/>
        <v>11379.63205</v>
      </c>
      <c r="L95" s="62">
        <f t="shared" si="39"/>
        <v>11379.63205</v>
      </c>
      <c r="M95" s="62">
        <f t="shared" si="39"/>
        <v>22291.13908</v>
      </c>
      <c r="N95" s="62">
        <f t="shared" si="39"/>
        <v>11379.63205</v>
      </c>
      <c r="O95" s="62">
        <f t="shared" si="39"/>
        <v>11379.63205</v>
      </c>
      <c r="P95" s="62">
        <f t="shared" si="39"/>
        <v>11379.63205</v>
      </c>
      <c r="R95" s="66"/>
    </row>
    <row r="96" ht="14.25" customHeight="1">
      <c r="B96" s="109" t="s">
        <v>68</v>
      </c>
      <c r="C96" s="110">
        <f t="shared" ref="C96:P96" si="40">SUM(C86:C94,C95)</f>
        <v>242062.6852</v>
      </c>
      <c r="D96" s="110">
        <f t="shared" si="40"/>
        <v>217396.7805</v>
      </c>
      <c r="E96" s="110">
        <f t="shared" si="40"/>
        <v>276761.4496</v>
      </c>
      <c r="F96" s="110">
        <f t="shared" si="40"/>
        <v>358985.2964</v>
      </c>
      <c r="G96" s="110">
        <f t="shared" si="40"/>
        <v>183118.2284</v>
      </c>
      <c r="H96" s="110">
        <f t="shared" si="40"/>
        <v>297141.9318</v>
      </c>
      <c r="I96" s="110">
        <f t="shared" si="40"/>
        <v>183118.2284</v>
      </c>
      <c r="J96" s="110">
        <f t="shared" si="40"/>
        <v>322596.4749</v>
      </c>
      <c r="K96" s="110">
        <f t="shared" si="40"/>
        <v>183118.2284</v>
      </c>
      <c r="L96" s="110">
        <f t="shared" si="40"/>
        <v>183118.2284</v>
      </c>
      <c r="M96" s="110">
        <f t="shared" si="40"/>
        <v>354797.4674</v>
      </c>
      <c r="N96" s="110">
        <f t="shared" si="40"/>
        <v>401619.078</v>
      </c>
      <c r="O96" s="110">
        <f t="shared" si="40"/>
        <v>183118.2284</v>
      </c>
      <c r="P96" s="110">
        <f t="shared" si="40"/>
        <v>183118.2284</v>
      </c>
      <c r="Q96" s="71"/>
    </row>
    <row r="97" ht="14.25" customHeight="1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</row>
    <row r="98" ht="14.25" customHeight="1">
      <c r="B98" s="105" t="s">
        <v>125</v>
      </c>
      <c r="C98" s="106">
        <v>16.0</v>
      </c>
      <c r="D98" s="106">
        <v>17.0</v>
      </c>
      <c r="E98" s="106">
        <v>18.0</v>
      </c>
      <c r="F98" s="106">
        <v>19.0</v>
      </c>
      <c r="G98" s="106">
        <v>20.0</v>
      </c>
      <c r="H98" s="106">
        <v>21.0</v>
      </c>
      <c r="I98" s="106">
        <v>22.0</v>
      </c>
      <c r="J98" s="106">
        <v>23.0</v>
      </c>
      <c r="K98" s="106">
        <v>24.0</v>
      </c>
      <c r="L98" s="106">
        <v>25.0</v>
      </c>
      <c r="M98" s="106">
        <v>26.0</v>
      </c>
      <c r="N98" s="106">
        <v>27.0</v>
      </c>
      <c r="O98" s="106">
        <v>28.0</v>
      </c>
      <c r="P98" s="106">
        <v>29.0</v>
      </c>
    </row>
    <row r="99" ht="14.25" customHeight="1">
      <c r="A99" s="107" t="s">
        <v>115</v>
      </c>
      <c r="B99" s="108" t="s">
        <v>71</v>
      </c>
      <c r="C99" s="62">
        <f t="shared" ref="C99:P99" si="41">C86*10</f>
        <v>437575.4612</v>
      </c>
      <c r="D99" s="62">
        <f t="shared" si="41"/>
        <v>437575.4612</v>
      </c>
      <c r="E99" s="62">
        <f t="shared" si="41"/>
        <v>437575.4612</v>
      </c>
      <c r="F99" s="62">
        <f t="shared" si="41"/>
        <v>1088042.699</v>
      </c>
      <c r="G99" s="62">
        <f t="shared" si="41"/>
        <v>437575.4612</v>
      </c>
      <c r="H99" s="62">
        <f t="shared" si="41"/>
        <v>682179.7346</v>
      </c>
      <c r="I99" s="62">
        <f t="shared" si="41"/>
        <v>437575.4612</v>
      </c>
      <c r="J99" s="62">
        <f t="shared" si="41"/>
        <v>863481.2089</v>
      </c>
      <c r="K99" s="62">
        <f t="shared" si="41"/>
        <v>437575.4612</v>
      </c>
      <c r="L99" s="62">
        <f t="shared" si="41"/>
        <v>437575.4612</v>
      </c>
      <c r="M99" s="62">
        <f t="shared" si="41"/>
        <v>805862.7054</v>
      </c>
      <c r="N99" s="62">
        <f t="shared" si="41"/>
        <v>1245729.289</v>
      </c>
      <c r="O99" s="62">
        <f t="shared" si="41"/>
        <v>437575.4612</v>
      </c>
      <c r="P99" s="62">
        <f t="shared" si="41"/>
        <v>437575.4612</v>
      </c>
    </row>
    <row r="100" ht="14.25" customHeight="1">
      <c r="A100" s="107" t="s">
        <v>116</v>
      </c>
      <c r="B100" s="108" t="s">
        <v>73</v>
      </c>
      <c r="C100" s="62">
        <f t="shared" ref="C100:P100" si="42">C87*5</f>
        <v>170814.7032</v>
      </c>
      <c r="D100" s="62">
        <f t="shared" si="42"/>
        <v>170814.7032</v>
      </c>
      <c r="E100" s="62">
        <f t="shared" si="42"/>
        <v>170814.7032</v>
      </c>
      <c r="F100" s="62">
        <f t="shared" si="42"/>
        <v>423774.1846</v>
      </c>
      <c r="G100" s="62">
        <f t="shared" si="42"/>
        <v>170814.7032</v>
      </c>
      <c r="H100" s="62">
        <f t="shared" si="42"/>
        <v>265938.5873</v>
      </c>
      <c r="I100" s="62">
        <f t="shared" si="42"/>
        <v>170814.7032</v>
      </c>
      <c r="J100" s="62">
        <f t="shared" si="42"/>
        <v>336444.7162</v>
      </c>
      <c r="K100" s="62">
        <f t="shared" si="42"/>
        <v>170814.7032</v>
      </c>
      <c r="L100" s="62">
        <f t="shared" si="42"/>
        <v>170814.7032</v>
      </c>
      <c r="M100" s="62">
        <f t="shared" si="42"/>
        <v>314037.5204</v>
      </c>
      <c r="N100" s="62">
        <f t="shared" si="42"/>
        <v>485096.7472</v>
      </c>
      <c r="O100" s="62">
        <f t="shared" si="42"/>
        <v>170814.7032</v>
      </c>
      <c r="P100" s="111">
        <f t="shared" si="42"/>
        <v>170814.7032</v>
      </c>
      <c r="R100" s="66"/>
    </row>
    <row r="101" ht="14.25" customHeight="1">
      <c r="A101" s="107" t="s">
        <v>117</v>
      </c>
      <c r="B101" s="108" t="s">
        <v>75</v>
      </c>
      <c r="C101" s="62">
        <f t="shared" ref="C101:P101" si="43">C88*24</f>
        <v>375521.4558</v>
      </c>
      <c r="D101" s="62">
        <f t="shared" si="43"/>
        <v>375521.4558</v>
      </c>
      <c r="E101" s="62">
        <f t="shared" si="43"/>
        <v>375521.4558</v>
      </c>
      <c r="F101" s="62">
        <f t="shared" si="43"/>
        <v>917577.4873</v>
      </c>
      <c r="G101" s="62">
        <f t="shared" si="43"/>
        <v>375521.4558</v>
      </c>
      <c r="H101" s="62">
        <f t="shared" si="43"/>
        <v>579358.3503</v>
      </c>
      <c r="I101" s="62">
        <f t="shared" si="43"/>
        <v>375521.4558</v>
      </c>
      <c r="J101" s="62">
        <f t="shared" si="43"/>
        <v>730442.9122</v>
      </c>
      <c r="K101" s="62">
        <f t="shared" si="43"/>
        <v>375521.4558</v>
      </c>
      <c r="L101" s="62">
        <f t="shared" si="43"/>
        <v>375521.4558</v>
      </c>
      <c r="M101" s="62">
        <f t="shared" si="43"/>
        <v>682427.4926</v>
      </c>
      <c r="N101" s="62">
        <f t="shared" si="43"/>
        <v>1048982.979</v>
      </c>
      <c r="O101" s="62">
        <f t="shared" si="43"/>
        <v>375521.4558</v>
      </c>
      <c r="P101" s="111">
        <f t="shared" si="43"/>
        <v>375521.4558</v>
      </c>
      <c r="R101" s="66"/>
    </row>
    <row r="102" ht="14.25" customHeight="1">
      <c r="A102" s="107" t="s">
        <v>118</v>
      </c>
      <c r="B102" s="108" t="s">
        <v>77</v>
      </c>
      <c r="C102" s="62">
        <f t="shared" ref="C102:P102" si="44">C89*24</f>
        <v>614439.9501</v>
      </c>
      <c r="D102" s="62">
        <f t="shared" si="44"/>
        <v>614439.9501</v>
      </c>
      <c r="E102" s="62">
        <f t="shared" si="44"/>
        <v>614439.9501</v>
      </c>
      <c r="F102" s="62">
        <f t="shared" si="44"/>
        <v>1517866.669</v>
      </c>
      <c r="G102" s="62">
        <f t="shared" si="44"/>
        <v>614439.9501</v>
      </c>
      <c r="H102" s="62">
        <f t="shared" si="44"/>
        <v>954168.1076</v>
      </c>
      <c r="I102" s="62">
        <f t="shared" si="44"/>
        <v>614439.9501</v>
      </c>
      <c r="J102" s="62">
        <f t="shared" si="44"/>
        <v>1205975.711</v>
      </c>
      <c r="K102" s="62">
        <f t="shared" si="44"/>
        <v>614439.9501</v>
      </c>
      <c r="L102" s="62">
        <f t="shared" si="44"/>
        <v>614439.9501</v>
      </c>
      <c r="M102" s="62">
        <f t="shared" si="44"/>
        <v>1125950.012</v>
      </c>
      <c r="N102" s="62">
        <f t="shared" si="44"/>
        <v>1736875.822</v>
      </c>
      <c r="O102" s="62">
        <f t="shared" si="44"/>
        <v>614439.9501</v>
      </c>
      <c r="P102" s="111">
        <f t="shared" si="44"/>
        <v>614439.9501</v>
      </c>
      <c r="R102" s="66"/>
    </row>
    <row r="103" ht="14.25" customHeight="1">
      <c r="A103" s="107" t="s">
        <v>119</v>
      </c>
      <c r="B103" s="108" t="s">
        <v>79</v>
      </c>
      <c r="C103" s="62">
        <f t="shared" ref="C103:P103" si="45">C90*40</f>
        <v>1808096.958</v>
      </c>
      <c r="D103" s="62">
        <f t="shared" si="45"/>
        <v>1360461.47</v>
      </c>
      <c r="E103" s="62">
        <f t="shared" si="45"/>
        <v>2437808.233</v>
      </c>
      <c r="F103" s="62">
        <f t="shared" si="45"/>
        <v>738376.1847</v>
      </c>
      <c r="G103" s="62">
        <f t="shared" si="45"/>
        <v>738376.1847</v>
      </c>
      <c r="H103" s="62">
        <f t="shared" si="45"/>
        <v>1402275.293</v>
      </c>
      <c r="I103" s="62">
        <f t="shared" si="45"/>
        <v>738376.1847</v>
      </c>
      <c r="J103" s="62">
        <f t="shared" si="45"/>
        <v>1075607.188</v>
      </c>
      <c r="K103" s="62">
        <f t="shared" si="45"/>
        <v>738376.1847</v>
      </c>
      <c r="L103" s="62">
        <f t="shared" si="45"/>
        <v>738376.1847</v>
      </c>
      <c r="M103" s="62">
        <f t="shared" si="45"/>
        <v>1737972.674</v>
      </c>
      <c r="N103" s="62">
        <f t="shared" si="45"/>
        <v>738376.1847</v>
      </c>
      <c r="O103" s="62">
        <f t="shared" si="45"/>
        <v>738376.1847</v>
      </c>
      <c r="P103" s="111">
        <f t="shared" si="45"/>
        <v>738376.1847</v>
      </c>
      <c r="R103" s="66"/>
    </row>
    <row r="104" ht="14.25" customHeight="1">
      <c r="A104" s="107" t="s">
        <v>120</v>
      </c>
      <c r="B104" s="108" t="s">
        <v>81</v>
      </c>
      <c r="C104" s="62">
        <f t="shared" ref="C104:P104" si="46">C91*24</f>
        <v>328246.8122</v>
      </c>
      <c r="D104" s="62">
        <f t="shared" si="46"/>
        <v>249424.0415</v>
      </c>
      <c r="E104" s="62">
        <f t="shared" si="46"/>
        <v>439130.7541</v>
      </c>
      <c r="F104" s="62">
        <f t="shared" si="46"/>
        <v>139882.9369</v>
      </c>
      <c r="G104" s="62">
        <f t="shared" si="46"/>
        <v>139882.9369</v>
      </c>
      <c r="H104" s="62">
        <f t="shared" si="46"/>
        <v>256786.9103</v>
      </c>
      <c r="I104" s="62">
        <f t="shared" si="46"/>
        <v>139882.9369</v>
      </c>
      <c r="J104" s="62">
        <f t="shared" si="46"/>
        <v>199264.9179</v>
      </c>
      <c r="K104" s="62">
        <f t="shared" si="46"/>
        <v>139882.9369</v>
      </c>
      <c r="L104" s="62">
        <f t="shared" si="46"/>
        <v>139882.9369</v>
      </c>
      <c r="M104" s="62">
        <f t="shared" si="46"/>
        <v>315898.8405</v>
      </c>
      <c r="N104" s="62">
        <f t="shared" si="46"/>
        <v>139882.9369</v>
      </c>
      <c r="O104" s="62">
        <f t="shared" si="46"/>
        <v>139882.9369</v>
      </c>
      <c r="P104" s="111">
        <f t="shared" si="46"/>
        <v>139882.9369</v>
      </c>
      <c r="R104" s="66"/>
    </row>
    <row r="105" ht="14.25" customHeight="1">
      <c r="A105" s="107" t="s">
        <v>121</v>
      </c>
      <c r="B105" s="108" t="s">
        <v>83</v>
      </c>
      <c r="C105" s="62">
        <f t="shared" ref="C105:P105" si="47">C92*12</f>
        <v>165249.6918</v>
      </c>
      <c r="D105" s="62">
        <f t="shared" si="47"/>
        <v>125838.3065</v>
      </c>
      <c r="E105" s="62">
        <f t="shared" si="47"/>
        <v>220691.6628</v>
      </c>
      <c r="F105" s="62">
        <f t="shared" si="47"/>
        <v>71067.75415</v>
      </c>
      <c r="G105" s="62">
        <f t="shared" si="47"/>
        <v>71067.75415</v>
      </c>
      <c r="H105" s="62">
        <f t="shared" si="47"/>
        <v>129519.7409</v>
      </c>
      <c r="I105" s="62">
        <f t="shared" si="47"/>
        <v>71067.75415</v>
      </c>
      <c r="J105" s="62">
        <f t="shared" si="47"/>
        <v>100758.7447</v>
      </c>
      <c r="K105" s="62">
        <f t="shared" si="47"/>
        <v>71067.75415</v>
      </c>
      <c r="L105" s="62">
        <f t="shared" si="47"/>
        <v>71067.75415</v>
      </c>
      <c r="M105" s="62">
        <f t="shared" si="47"/>
        <v>159075.706</v>
      </c>
      <c r="N105" s="62">
        <f t="shared" si="47"/>
        <v>71067.75415</v>
      </c>
      <c r="O105" s="62">
        <f t="shared" si="47"/>
        <v>71067.75415</v>
      </c>
      <c r="P105" s="111">
        <f t="shared" si="47"/>
        <v>71067.75415</v>
      </c>
      <c r="R105" s="66"/>
    </row>
    <row r="106" ht="14.25" customHeight="1">
      <c r="A106" s="107" t="s">
        <v>122</v>
      </c>
      <c r="B106" s="108" t="s">
        <v>85</v>
      </c>
      <c r="C106" s="62">
        <f t="shared" ref="C106:P106" si="48">C93*60</f>
        <v>1368374.738</v>
      </c>
      <c r="D106" s="62">
        <f t="shared" si="48"/>
        <v>1177683.283</v>
      </c>
      <c r="E106" s="62">
        <f t="shared" si="48"/>
        <v>1636629.964</v>
      </c>
      <c r="F106" s="62">
        <f t="shared" si="48"/>
        <v>912676.7069</v>
      </c>
      <c r="G106" s="62">
        <f t="shared" si="48"/>
        <v>912676.7069</v>
      </c>
      <c r="H106" s="62">
        <f t="shared" si="48"/>
        <v>1507698.808</v>
      </c>
      <c r="I106" s="62">
        <f t="shared" si="48"/>
        <v>912676.7069</v>
      </c>
      <c r="J106" s="62">
        <f t="shared" si="48"/>
        <v>1214921.276</v>
      </c>
      <c r="K106" s="62">
        <f t="shared" si="48"/>
        <v>912676.7069</v>
      </c>
      <c r="L106" s="62">
        <f t="shared" si="48"/>
        <v>912676.7069</v>
      </c>
      <c r="M106" s="62">
        <f t="shared" si="48"/>
        <v>1808568.863</v>
      </c>
      <c r="N106" s="62">
        <f t="shared" si="48"/>
        <v>912676.7069</v>
      </c>
      <c r="O106" s="62">
        <f t="shared" si="48"/>
        <v>912676.7069</v>
      </c>
      <c r="P106" s="111">
        <f t="shared" si="48"/>
        <v>912676.7069</v>
      </c>
      <c r="R106" s="66"/>
    </row>
    <row r="107" ht="14.25" customHeight="1">
      <c r="A107" s="107" t="s">
        <v>123</v>
      </c>
      <c r="B107" s="108" t="s">
        <v>87</v>
      </c>
      <c r="C107" s="62">
        <f t="shared" ref="C107:P107" si="49">C94*60</f>
        <v>630454.7055</v>
      </c>
      <c r="D107" s="62">
        <f t="shared" si="49"/>
        <v>546110.4083</v>
      </c>
      <c r="E107" s="62">
        <f t="shared" si="49"/>
        <v>749106.0557</v>
      </c>
      <c r="F107" s="62">
        <f t="shared" si="49"/>
        <v>428895.961</v>
      </c>
      <c r="G107" s="62">
        <f t="shared" si="49"/>
        <v>428895.961</v>
      </c>
      <c r="H107" s="62">
        <f t="shared" si="49"/>
        <v>692078.8135</v>
      </c>
      <c r="I107" s="62">
        <f t="shared" si="49"/>
        <v>428895.961</v>
      </c>
      <c r="J107" s="62">
        <f t="shared" si="49"/>
        <v>562581.059</v>
      </c>
      <c r="K107" s="62">
        <f t="shared" si="49"/>
        <v>428895.961</v>
      </c>
      <c r="L107" s="62">
        <f t="shared" si="49"/>
        <v>428895.961</v>
      </c>
      <c r="M107" s="62">
        <f t="shared" si="49"/>
        <v>825155.9532</v>
      </c>
      <c r="N107" s="62">
        <f t="shared" si="49"/>
        <v>428895.961</v>
      </c>
      <c r="O107" s="62">
        <f t="shared" si="49"/>
        <v>428895.961</v>
      </c>
      <c r="P107" s="111">
        <f t="shared" si="49"/>
        <v>428895.961</v>
      </c>
      <c r="R107" s="66"/>
    </row>
    <row r="108" ht="14.25" customHeight="1">
      <c r="A108" s="107" t="s">
        <v>124</v>
      </c>
      <c r="B108" s="108" t="s">
        <v>89</v>
      </c>
      <c r="C108" s="62">
        <f t="shared" ref="C108:P108" si="50">C95*50</f>
        <v>846490.019</v>
      </c>
      <c r="D108" s="62">
        <f t="shared" si="50"/>
        <v>730363.8126</v>
      </c>
      <c r="E108" s="62">
        <f t="shared" si="50"/>
        <v>1009850.574</v>
      </c>
      <c r="F108" s="62">
        <f t="shared" si="50"/>
        <v>568981.6026</v>
      </c>
      <c r="G108" s="62">
        <f t="shared" si="50"/>
        <v>568981.6026</v>
      </c>
      <c r="H108" s="62">
        <f t="shared" si="50"/>
        <v>931334.8053</v>
      </c>
      <c r="I108" s="62">
        <f t="shared" si="50"/>
        <v>568981.6026</v>
      </c>
      <c r="J108" s="62">
        <f t="shared" si="50"/>
        <v>753040.7956</v>
      </c>
      <c r="K108" s="62">
        <f t="shared" si="50"/>
        <v>568981.6026</v>
      </c>
      <c r="L108" s="62">
        <f t="shared" si="50"/>
        <v>568981.6026</v>
      </c>
      <c r="M108" s="62">
        <f t="shared" si="50"/>
        <v>1114556.954</v>
      </c>
      <c r="N108" s="62">
        <f t="shared" si="50"/>
        <v>568981.6026</v>
      </c>
      <c r="O108" s="62">
        <f t="shared" si="50"/>
        <v>568981.6026</v>
      </c>
      <c r="P108" s="111">
        <f t="shared" si="50"/>
        <v>568981.6026</v>
      </c>
    </row>
    <row r="109" ht="14.25" customHeight="1">
      <c r="B109" s="109" t="s">
        <v>68</v>
      </c>
      <c r="C109" s="110">
        <f t="shared" ref="C109:P109" si="51">SUM(C99:C108)</f>
        <v>6745264.495</v>
      </c>
      <c r="D109" s="110">
        <f t="shared" si="51"/>
        <v>5788232.893</v>
      </c>
      <c r="E109" s="110">
        <f t="shared" si="51"/>
        <v>8091568.814</v>
      </c>
      <c r="F109" s="110">
        <f t="shared" si="51"/>
        <v>6807142.187</v>
      </c>
      <c r="G109" s="110">
        <f t="shared" si="51"/>
        <v>4458232.717</v>
      </c>
      <c r="H109" s="110">
        <f t="shared" si="51"/>
        <v>7401339.151</v>
      </c>
      <c r="I109" s="110">
        <f t="shared" si="51"/>
        <v>4458232.717</v>
      </c>
      <c r="J109" s="110">
        <f t="shared" si="51"/>
        <v>7042518.53</v>
      </c>
      <c r="K109" s="110">
        <f t="shared" si="51"/>
        <v>4458232.717</v>
      </c>
      <c r="L109" s="110">
        <f t="shared" si="51"/>
        <v>4458232.717</v>
      </c>
      <c r="M109" s="110">
        <f t="shared" si="51"/>
        <v>8889506.721</v>
      </c>
      <c r="N109" s="110">
        <f t="shared" si="51"/>
        <v>7376565.982</v>
      </c>
      <c r="O109" s="110">
        <f t="shared" si="51"/>
        <v>4458232.717</v>
      </c>
      <c r="P109" s="110">
        <f t="shared" si="51"/>
        <v>4458232.717</v>
      </c>
    </row>
    <row r="110" ht="14.25" customHeight="1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</row>
    <row r="111" ht="14.25" customHeight="1">
      <c r="B111" s="105" t="s">
        <v>126</v>
      </c>
      <c r="C111" s="106">
        <v>16.0</v>
      </c>
      <c r="D111" s="106">
        <v>17.0</v>
      </c>
      <c r="E111" s="106">
        <v>18.0</v>
      </c>
      <c r="F111" s="106">
        <v>19.0</v>
      </c>
      <c r="G111" s="106">
        <v>20.0</v>
      </c>
      <c r="H111" s="106">
        <v>21.0</v>
      </c>
      <c r="I111" s="106">
        <v>22.0</v>
      </c>
      <c r="J111" s="106">
        <v>23.0</v>
      </c>
      <c r="K111" s="106">
        <v>24.0</v>
      </c>
      <c r="L111" s="106">
        <v>25.0</v>
      </c>
      <c r="M111" s="106">
        <v>26.0</v>
      </c>
      <c r="N111" s="106">
        <v>27.0</v>
      </c>
      <c r="O111" s="106">
        <v>28.0</v>
      </c>
      <c r="P111" s="106">
        <v>29.0</v>
      </c>
    </row>
    <row r="112" ht="14.25" customHeight="1">
      <c r="A112" s="107" t="s">
        <v>115</v>
      </c>
      <c r="B112" s="108" t="s">
        <v>71</v>
      </c>
      <c r="C112" s="62">
        <f t="shared" ref="C112:P112" si="52">C99*50</f>
        <v>21878773.06</v>
      </c>
      <c r="D112" s="62">
        <f t="shared" si="52"/>
        <v>21878773.06</v>
      </c>
      <c r="E112" s="62">
        <f t="shared" si="52"/>
        <v>21878773.06</v>
      </c>
      <c r="F112" s="62">
        <f t="shared" si="52"/>
        <v>54402134.95</v>
      </c>
      <c r="G112" s="62">
        <f t="shared" si="52"/>
        <v>21878773.06</v>
      </c>
      <c r="H112" s="62">
        <f t="shared" si="52"/>
        <v>34108986.73</v>
      </c>
      <c r="I112" s="62">
        <f t="shared" si="52"/>
        <v>21878773.06</v>
      </c>
      <c r="J112" s="62">
        <f t="shared" si="52"/>
        <v>43174060.45</v>
      </c>
      <c r="K112" s="62">
        <f t="shared" si="52"/>
        <v>21878773.06</v>
      </c>
      <c r="L112" s="62">
        <f t="shared" si="52"/>
        <v>21878773.06</v>
      </c>
      <c r="M112" s="62">
        <f t="shared" si="52"/>
        <v>40293135.27</v>
      </c>
      <c r="N112" s="62">
        <f t="shared" si="52"/>
        <v>62286464.43</v>
      </c>
      <c r="O112" s="62">
        <f t="shared" si="52"/>
        <v>21878773.06</v>
      </c>
      <c r="P112" s="62">
        <f t="shared" si="52"/>
        <v>21878773.06</v>
      </c>
    </row>
    <row r="113" ht="14.25" customHeight="1">
      <c r="A113" s="107" t="s">
        <v>116</v>
      </c>
      <c r="B113" s="108" t="s">
        <v>73</v>
      </c>
      <c r="C113" s="62">
        <f t="shared" ref="C113:P113" si="53">C100*100</f>
        <v>17081470.32</v>
      </c>
      <c r="D113" s="62">
        <f t="shared" si="53"/>
        <v>17081470.32</v>
      </c>
      <c r="E113" s="62">
        <f t="shared" si="53"/>
        <v>17081470.32</v>
      </c>
      <c r="F113" s="62">
        <f t="shared" si="53"/>
        <v>42377418.46</v>
      </c>
      <c r="G113" s="62">
        <f t="shared" si="53"/>
        <v>17081470.32</v>
      </c>
      <c r="H113" s="62">
        <f t="shared" si="53"/>
        <v>26593858.73</v>
      </c>
      <c r="I113" s="62">
        <f t="shared" si="53"/>
        <v>17081470.32</v>
      </c>
      <c r="J113" s="62">
        <f t="shared" si="53"/>
        <v>33644471.62</v>
      </c>
      <c r="K113" s="62">
        <f t="shared" si="53"/>
        <v>17081470.32</v>
      </c>
      <c r="L113" s="62">
        <f t="shared" si="53"/>
        <v>17081470.32</v>
      </c>
      <c r="M113" s="62">
        <f t="shared" si="53"/>
        <v>31403752.04</v>
      </c>
      <c r="N113" s="62">
        <f t="shared" si="53"/>
        <v>48509674.72</v>
      </c>
      <c r="O113" s="62">
        <f t="shared" si="53"/>
        <v>17081470.32</v>
      </c>
      <c r="P113" s="62">
        <f t="shared" si="53"/>
        <v>17081470.32</v>
      </c>
    </row>
    <row r="114" ht="14.25" customHeight="1">
      <c r="A114" s="107" t="s">
        <v>117</v>
      </c>
      <c r="B114" s="108" t="s">
        <v>75</v>
      </c>
      <c r="C114" s="62">
        <f t="shared" ref="C114:P114" si="54">C101*20</f>
        <v>7510429.116</v>
      </c>
      <c r="D114" s="62">
        <f t="shared" si="54"/>
        <v>7510429.116</v>
      </c>
      <c r="E114" s="62">
        <f t="shared" si="54"/>
        <v>7510429.116</v>
      </c>
      <c r="F114" s="62">
        <f t="shared" si="54"/>
        <v>18351549.75</v>
      </c>
      <c r="G114" s="62">
        <f t="shared" si="54"/>
        <v>7510429.116</v>
      </c>
      <c r="H114" s="62">
        <f t="shared" si="54"/>
        <v>11587167.01</v>
      </c>
      <c r="I114" s="62">
        <f t="shared" si="54"/>
        <v>7510429.116</v>
      </c>
      <c r="J114" s="62">
        <f t="shared" si="54"/>
        <v>14608858.24</v>
      </c>
      <c r="K114" s="62">
        <f t="shared" si="54"/>
        <v>7510429.116</v>
      </c>
      <c r="L114" s="62">
        <f t="shared" si="54"/>
        <v>7510429.116</v>
      </c>
      <c r="M114" s="62">
        <f t="shared" si="54"/>
        <v>13648549.85</v>
      </c>
      <c r="N114" s="62">
        <f t="shared" si="54"/>
        <v>20979659.57</v>
      </c>
      <c r="O114" s="62">
        <f t="shared" si="54"/>
        <v>7510429.116</v>
      </c>
      <c r="P114" s="62">
        <f t="shared" si="54"/>
        <v>7510429.116</v>
      </c>
    </row>
    <row r="115" ht="14.25" customHeight="1">
      <c r="A115" s="107" t="s">
        <v>118</v>
      </c>
      <c r="B115" s="108" t="s">
        <v>77</v>
      </c>
      <c r="C115" s="62">
        <f t="shared" ref="C115:P115" si="55">C102*24</f>
        <v>14746558.8</v>
      </c>
      <c r="D115" s="62">
        <f t="shared" si="55"/>
        <v>14746558.8</v>
      </c>
      <c r="E115" s="62">
        <f t="shared" si="55"/>
        <v>14746558.8</v>
      </c>
      <c r="F115" s="62">
        <f t="shared" si="55"/>
        <v>36428800.06</v>
      </c>
      <c r="G115" s="62">
        <f t="shared" si="55"/>
        <v>14746558.8</v>
      </c>
      <c r="H115" s="62">
        <f t="shared" si="55"/>
        <v>22900034.58</v>
      </c>
      <c r="I115" s="62">
        <f t="shared" si="55"/>
        <v>14746558.8</v>
      </c>
      <c r="J115" s="62">
        <f t="shared" si="55"/>
        <v>28943417.06</v>
      </c>
      <c r="K115" s="62">
        <f t="shared" si="55"/>
        <v>14746558.8</v>
      </c>
      <c r="L115" s="62">
        <f t="shared" si="55"/>
        <v>14746558.8</v>
      </c>
      <c r="M115" s="62">
        <f t="shared" si="55"/>
        <v>27022800.28</v>
      </c>
      <c r="N115" s="62">
        <f t="shared" si="55"/>
        <v>41685019.72</v>
      </c>
      <c r="O115" s="62">
        <f t="shared" si="55"/>
        <v>14746558.8</v>
      </c>
      <c r="P115" s="62">
        <f t="shared" si="55"/>
        <v>14746558.8</v>
      </c>
    </row>
    <row r="116" ht="14.25" customHeight="1">
      <c r="A116" s="107" t="s">
        <v>119</v>
      </c>
      <c r="B116" s="108" t="s">
        <v>79</v>
      </c>
      <c r="C116" s="62">
        <f t="shared" ref="C116:P116" si="56">C103*15</f>
        <v>27121454.37</v>
      </c>
      <c r="D116" s="62">
        <f t="shared" si="56"/>
        <v>20406922.06</v>
      </c>
      <c r="E116" s="62">
        <f t="shared" si="56"/>
        <v>36567123.5</v>
      </c>
      <c r="F116" s="62">
        <f t="shared" si="56"/>
        <v>11075642.77</v>
      </c>
      <c r="G116" s="62">
        <f t="shared" si="56"/>
        <v>11075642.77</v>
      </c>
      <c r="H116" s="62">
        <f t="shared" si="56"/>
        <v>21034129.4</v>
      </c>
      <c r="I116" s="62">
        <f t="shared" si="56"/>
        <v>11075642.77</v>
      </c>
      <c r="J116" s="62">
        <f t="shared" si="56"/>
        <v>16134107.82</v>
      </c>
      <c r="K116" s="62">
        <f t="shared" si="56"/>
        <v>11075642.77</v>
      </c>
      <c r="L116" s="62">
        <f t="shared" si="56"/>
        <v>11075642.77</v>
      </c>
      <c r="M116" s="62">
        <f t="shared" si="56"/>
        <v>26069590.12</v>
      </c>
      <c r="N116" s="62">
        <f t="shared" si="56"/>
        <v>11075642.77</v>
      </c>
      <c r="O116" s="62">
        <f t="shared" si="56"/>
        <v>11075642.77</v>
      </c>
      <c r="P116" s="62">
        <f t="shared" si="56"/>
        <v>11075642.77</v>
      </c>
    </row>
    <row r="117" ht="14.25" customHeight="1">
      <c r="A117" s="107" t="s">
        <v>120</v>
      </c>
      <c r="B117" s="108" t="s">
        <v>81</v>
      </c>
      <c r="C117" s="62">
        <f t="shared" ref="C117:P117" si="57">C104*50</f>
        <v>16412340.61</v>
      </c>
      <c r="D117" s="62">
        <f t="shared" si="57"/>
        <v>12471202.08</v>
      </c>
      <c r="E117" s="62">
        <f t="shared" si="57"/>
        <v>21956537.71</v>
      </c>
      <c r="F117" s="62">
        <f t="shared" si="57"/>
        <v>6994146.844</v>
      </c>
      <c r="G117" s="62">
        <f t="shared" si="57"/>
        <v>6994146.844</v>
      </c>
      <c r="H117" s="62">
        <f t="shared" si="57"/>
        <v>12839345.51</v>
      </c>
      <c r="I117" s="62">
        <f t="shared" si="57"/>
        <v>6994146.844</v>
      </c>
      <c r="J117" s="62">
        <f t="shared" si="57"/>
        <v>9963245.894</v>
      </c>
      <c r="K117" s="62">
        <f t="shared" si="57"/>
        <v>6994146.844</v>
      </c>
      <c r="L117" s="62">
        <f t="shared" si="57"/>
        <v>6994146.844</v>
      </c>
      <c r="M117" s="62">
        <f t="shared" si="57"/>
        <v>15794942.02</v>
      </c>
      <c r="N117" s="62">
        <f t="shared" si="57"/>
        <v>6994146.844</v>
      </c>
      <c r="O117" s="62">
        <f t="shared" si="57"/>
        <v>6994146.844</v>
      </c>
      <c r="P117" s="62">
        <f t="shared" si="57"/>
        <v>6994146.844</v>
      </c>
    </row>
    <row r="118" ht="14.25" customHeight="1">
      <c r="A118" s="107" t="s">
        <v>121</v>
      </c>
      <c r="B118" s="108" t="s">
        <v>83</v>
      </c>
      <c r="C118" s="62">
        <f t="shared" ref="C118:P118" si="58">C105*100</f>
        <v>16524969.18</v>
      </c>
      <c r="D118" s="62">
        <f t="shared" si="58"/>
        <v>12583830.65</v>
      </c>
      <c r="E118" s="62">
        <f t="shared" si="58"/>
        <v>22069166.28</v>
      </c>
      <c r="F118" s="62">
        <f t="shared" si="58"/>
        <v>7106775.415</v>
      </c>
      <c r="G118" s="62">
        <f t="shared" si="58"/>
        <v>7106775.415</v>
      </c>
      <c r="H118" s="62">
        <f t="shared" si="58"/>
        <v>12951974.09</v>
      </c>
      <c r="I118" s="62">
        <f t="shared" si="58"/>
        <v>7106775.415</v>
      </c>
      <c r="J118" s="62">
        <f t="shared" si="58"/>
        <v>10075874.47</v>
      </c>
      <c r="K118" s="62">
        <f t="shared" si="58"/>
        <v>7106775.415</v>
      </c>
      <c r="L118" s="62">
        <f t="shared" si="58"/>
        <v>7106775.415</v>
      </c>
      <c r="M118" s="62">
        <f t="shared" si="58"/>
        <v>15907570.6</v>
      </c>
      <c r="N118" s="62">
        <f t="shared" si="58"/>
        <v>7106775.415</v>
      </c>
      <c r="O118" s="62">
        <f t="shared" si="58"/>
        <v>7106775.415</v>
      </c>
      <c r="P118" s="62">
        <f t="shared" si="58"/>
        <v>7106775.415</v>
      </c>
    </row>
    <row r="119" ht="14.25" customHeight="1">
      <c r="A119" s="107" t="s">
        <v>122</v>
      </c>
      <c r="B119" s="108" t="s">
        <v>85</v>
      </c>
      <c r="C119" s="62">
        <f t="shared" ref="C119:P119" si="59">C106*15</f>
        <v>20525621.07</v>
      </c>
      <c r="D119" s="62">
        <f t="shared" si="59"/>
        <v>17665249.25</v>
      </c>
      <c r="E119" s="62">
        <f t="shared" si="59"/>
        <v>24549449.47</v>
      </c>
      <c r="F119" s="62">
        <f t="shared" si="59"/>
        <v>13690150.6</v>
      </c>
      <c r="G119" s="62">
        <f t="shared" si="59"/>
        <v>13690150.6</v>
      </c>
      <c r="H119" s="62">
        <f t="shared" si="59"/>
        <v>22615482.12</v>
      </c>
      <c r="I119" s="62">
        <f t="shared" si="59"/>
        <v>13690150.6</v>
      </c>
      <c r="J119" s="62">
        <f t="shared" si="59"/>
        <v>18223819.15</v>
      </c>
      <c r="K119" s="62">
        <f t="shared" si="59"/>
        <v>13690150.6</v>
      </c>
      <c r="L119" s="62">
        <f t="shared" si="59"/>
        <v>13690150.6</v>
      </c>
      <c r="M119" s="62">
        <f t="shared" si="59"/>
        <v>27128532.95</v>
      </c>
      <c r="N119" s="62">
        <f t="shared" si="59"/>
        <v>13690150.6</v>
      </c>
      <c r="O119" s="62">
        <f t="shared" si="59"/>
        <v>13690150.6</v>
      </c>
      <c r="P119" s="62">
        <f t="shared" si="59"/>
        <v>13690150.6</v>
      </c>
    </row>
    <row r="120" ht="14.25" customHeight="1">
      <c r="A120" s="107" t="s">
        <v>123</v>
      </c>
      <c r="B120" s="108" t="s">
        <v>87</v>
      </c>
      <c r="C120" s="62">
        <f t="shared" ref="C120:P120" si="60">C107*20</f>
        <v>12609094.11</v>
      </c>
      <c r="D120" s="62">
        <f t="shared" si="60"/>
        <v>10922208.17</v>
      </c>
      <c r="E120" s="62">
        <f t="shared" si="60"/>
        <v>14982121.11</v>
      </c>
      <c r="F120" s="62">
        <f t="shared" si="60"/>
        <v>8577919.22</v>
      </c>
      <c r="G120" s="62">
        <f t="shared" si="60"/>
        <v>8577919.22</v>
      </c>
      <c r="H120" s="62">
        <f t="shared" si="60"/>
        <v>13841576.27</v>
      </c>
      <c r="I120" s="62">
        <f t="shared" si="60"/>
        <v>8577919.22</v>
      </c>
      <c r="J120" s="62">
        <f t="shared" si="60"/>
        <v>11251621.18</v>
      </c>
      <c r="K120" s="62">
        <f t="shared" si="60"/>
        <v>8577919.22</v>
      </c>
      <c r="L120" s="62">
        <f t="shared" si="60"/>
        <v>8577919.22</v>
      </c>
      <c r="M120" s="62">
        <f t="shared" si="60"/>
        <v>16503119.06</v>
      </c>
      <c r="N120" s="62">
        <f t="shared" si="60"/>
        <v>8577919.22</v>
      </c>
      <c r="O120" s="62">
        <f t="shared" si="60"/>
        <v>8577919.22</v>
      </c>
      <c r="P120" s="62">
        <f t="shared" si="60"/>
        <v>8577919.22</v>
      </c>
    </row>
    <row r="121" ht="14.25" customHeight="1">
      <c r="A121" s="107" t="s">
        <v>124</v>
      </c>
      <c r="B121" s="108" t="s">
        <v>89</v>
      </c>
      <c r="C121" s="62">
        <f t="shared" ref="C121:P121" si="61">C108*24</f>
        <v>20315760.46</v>
      </c>
      <c r="D121" s="62">
        <f t="shared" si="61"/>
        <v>17528731.5</v>
      </c>
      <c r="E121" s="62">
        <f t="shared" si="61"/>
        <v>24236413.77</v>
      </c>
      <c r="F121" s="62">
        <f t="shared" si="61"/>
        <v>13655558.46</v>
      </c>
      <c r="G121" s="62">
        <f t="shared" si="61"/>
        <v>13655558.46</v>
      </c>
      <c r="H121" s="62">
        <f t="shared" si="61"/>
        <v>22352035.33</v>
      </c>
      <c r="I121" s="62">
        <f t="shared" si="61"/>
        <v>13655558.46</v>
      </c>
      <c r="J121" s="62">
        <f t="shared" si="61"/>
        <v>18072979.09</v>
      </c>
      <c r="K121" s="62">
        <f t="shared" si="61"/>
        <v>13655558.46</v>
      </c>
      <c r="L121" s="62">
        <f t="shared" si="61"/>
        <v>13655558.46</v>
      </c>
      <c r="M121" s="62">
        <f t="shared" si="61"/>
        <v>26749366.9</v>
      </c>
      <c r="N121" s="62">
        <f t="shared" si="61"/>
        <v>13655558.46</v>
      </c>
      <c r="O121" s="62">
        <f t="shared" si="61"/>
        <v>13655558.46</v>
      </c>
      <c r="P121" s="62">
        <f t="shared" si="61"/>
        <v>13655558.46</v>
      </c>
    </row>
    <row r="122" ht="14.25" customHeight="1">
      <c r="B122" s="109" t="s">
        <v>68</v>
      </c>
      <c r="C122" s="110">
        <f t="shared" ref="C122:P122" si="62">SUM(C112:C121)</f>
        <v>174726471.1</v>
      </c>
      <c r="D122" s="110">
        <f t="shared" si="62"/>
        <v>152795375</v>
      </c>
      <c r="E122" s="110">
        <f t="shared" si="62"/>
        <v>205578043.1</v>
      </c>
      <c r="F122" s="110">
        <f t="shared" si="62"/>
        <v>212660096.5</v>
      </c>
      <c r="G122" s="110">
        <f t="shared" si="62"/>
        <v>122317424.6</v>
      </c>
      <c r="H122" s="110">
        <f t="shared" si="62"/>
        <v>200824589.8</v>
      </c>
      <c r="I122" s="110">
        <f t="shared" si="62"/>
        <v>122317424.6</v>
      </c>
      <c r="J122" s="110">
        <f t="shared" si="62"/>
        <v>204092455</v>
      </c>
      <c r="K122" s="110">
        <f t="shared" si="62"/>
        <v>122317424.6</v>
      </c>
      <c r="L122" s="110">
        <f t="shared" si="62"/>
        <v>122317424.6</v>
      </c>
      <c r="M122" s="110">
        <f t="shared" si="62"/>
        <v>240521359.1</v>
      </c>
      <c r="N122" s="110">
        <f t="shared" si="62"/>
        <v>234561011.8</v>
      </c>
      <c r="O122" s="110">
        <f t="shared" si="62"/>
        <v>122317424.6</v>
      </c>
      <c r="P122" s="110">
        <f t="shared" si="62"/>
        <v>122317424.6</v>
      </c>
    </row>
    <row r="123" ht="14.25" customHeight="1"/>
    <row r="124" ht="14.25" customHeight="1">
      <c r="B124" s="105" t="s">
        <v>127</v>
      </c>
      <c r="C124" s="106">
        <v>16.0</v>
      </c>
      <c r="D124" s="106">
        <v>17.0</v>
      </c>
      <c r="E124" s="106">
        <v>18.0</v>
      </c>
      <c r="F124" s="106">
        <v>19.0</v>
      </c>
      <c r="G124" s="106">
        <v>20.0</v>
      </c>
      <c r="H124" s="106">
        <v>21.0</v>
      </c>
      <c r="I124" s="106">
        <v>22.0</v>
      </c>
      <c r="J124" s="106">
        <v>23.0</v>
      </c>
      <c r="K124" s="106">
        <v>24.0</v>
      </c>
      <c r="L124" s="106">
        <v>25.0</v>
      </c>
      <c r="M124" s="106">
        <v>26.0</v>
      </c>
      <c r="N124" s="106">
        <v>27.0</v>
      </c>
      <c r="O124" s="106">
        <v>28.0</v>
      </c>
      <c r="P124" s="106">
        <v>29.0</v>
      </c>
    </row>
    <row r="125" ht="14.25" customHeight="1">
      <c r="A125" s="107" t="s">
        <v>115</v>
      </c>
      <c r="B125" s="108" t="s">
        <v>71</v>
      </c>
      <c r="C125" s="62">
        <f t="shared" ref="C125:P125" si="63">C112*0.016</f>
        <v>350060.369</v>
      </c>
      <c r="D125" s="62">
        <f t="shared" si="63"/>
        <v>350060.369</v>
      </c>
      <c r="E125" s="62">
        <f t="shared" si="63"/>
        <v>350060.369</v>
      </c>
      <c r="F125" s="62">
        <f t="shared" si="63"/>
        <v>870434.1593</v>
      </c>
      <c r="G125" s="62">
        <f t="shared" si="63"/>
        <v>350060.369</v>
      </c>
      <c r="H125" s="62">
        <f t="shared" si="63"/>
        <v>545743.7877</v>
      </c>
      <c r="I125" s="62">
        <f t="shared" si="63"/>
        <v>350060.369</v>
      </c>
      <c r="J125" s="62">
        <f t="shared" si="63"/>
        <v>690784.9672</v>
      </c>
      <c r="K125" s="62">
        <f t="shared" si="63"/>
        <v>350060.369</v>
      </c>
      <c r="L125" s="62">
        <f t="shared" si="63"/>
        <v>350060.369</v>
      </c>
      <c r="M125" s="62">
        <f t="shared" si="63"/>
        <v>644690.1644</v>
      </c>
      <c r="N125" s="62">
        <f t="shared" si="63"/>
        <v>996583.4309</v>
      </c>
      <c r="O125" s="62">
        <f t="shared" si="63"/>
        <v>350060.369</v>
      </c>
      <c r="P125" s="62">
        <f t="shared" si="63"/>
        <v>350060.369</v>
      </c>
    </row>
    <row r="126" ht="14.25" customHeight="1">
      <c r="A126" s="107" t="s">
        <v>116</v>
      </c>
      <c r="B126" s="108" t="s">
        <v>73</v>
      </c>
      <c r="C126" s="62">
        <f t="shared" ref="C126:P126" si="64">C113*0.016</f>
        <v>273303.5251</v>
      </c>
      <c r="D126" s="62">
        <f t="shared" si="64"/>
        <v>273303.5251</v>
      </c>
      <c r="E126" s="62">
        <f t="shared" si="64"/>
        <v>273303.5251</v>
      </c>
      <c r="F126" s="62">
        <f t="shared" si="64"/>
        <v>678038.6953</v>
      </c>
      <c r="G126" s="62">
        <f t="shared" si="64"/>
        <v>273303.5251</v>
      </c>
      <c r="H126" s="62">
        <f t="shared" si="64"/>
        <v>425501.7396</v>
      </c>
      <c r="I126" s="62">
        <f t="shared" si="64"/>
        <v>273303.5251</v>
      </c>
      <c r="J126" s="62">
        <f t="shared" si="64"/>
        <v>538311.5459</v>
      </c>
      <c r="K126" s="62">
        <f t="shared" si="64"/>
        <v>273303.5251</v>
      </c>
      <c r="L126" s="62">
        <f t="shared" si="64"/>
        <v>273303.5251</v>
      </c>
      <c r="M126" s="62">
        <f t="shared" si="64"/>
        <v>502460.0326</v>
      </c>
      <c r="N126" s="62">
        <f t="shared" si="64"/>
        <v>776154.7955</v>
      </c>
      <c r="O126" s="62">
        <f t="shared" si="64"/>
        <v>273303.5251</v>
      </c>
      <c r="P126" s="62">
        <f t="shared" si="64"/>
        <v>273303.5251</v>
      </c>
    </row>
    <row r="127" ht="14.25" customHeight="1">
      <c r="A127" s="107" t="s">
        <v>117</v>
      </c>
      <c r="B127" s="108" t="s">
        <v>75</v>
      </c>
      <c r="C127" s="62">
        <f t="shared" ref="C127:P127" si="65">C114*0.016</f>
        <v>120166.8659</v>
      </c>
      <c r="D127" s="62">
        <f t="shared" si="65"/>
        <v>120166.8659</v>
      </c>
      <c r="E127" s="62">
        <f t="shared" si="65"/>
        <v>120166.8659</v>
      </c>
      <c r="F127" s="62">
        <f t="shared" si="65"/>
        <v>293624.7959</v>
      </c>
      <c r="G127" s="62">
        <f t="shared" si="65"/>
        <v>120166.8659</v>
      </c>
      <c r="H127" s="62">
        <f t="shared" si="65"/>
        <v>185394.6721</v>
      </c>
      <c r="I127" s="62">
        <f t="shared" si="65"/>
        <v>120166.8659</v>
      </c>
      <c r="J127" s="62">
        <f t="shared" si="65"/>
        <v>233741.7319</v>
      </c>
      <c r="K127" s="62">
        <f t="shared" si="65"/>
        <v>120166.8659</v>
      </c>
      <c r="L127" s="62">
        <f t="shared" si="65"/>
        <v>120166.8659</v>
      </c>
      <c r="M127" s="62">
        <f t="shared" si="65"/>
        <v>218376.7976</v>
      </c>
      <c r="N127" s="62">
        <f t="shared" si="65"/>
        <v>335674.5532</v>
      </c>
      <c r="O127" s="62">
        <f t="shared" si="65"/>
        <v>120166.8659</v>
      </c>
      <c r="P127" s="62">
        <f t="shared" si="65"/>
        <v>120166.8659</v>
      </c>
    </row>
    <row r="128" ht="14.25" customHeight="1">
      <c r="A128" s="107" t="s">
        <v>118</v>
      </c>
      <c r="B128" s="108" t="s">
        <v>77</v>
      </c>
      <c r="C128" s="62">
        <f t="shared" ref="C128:P128" si="66">C115*0.016</f>
        <v>235944.9409</v>
      </c>
      <c r="D128" s="62">
        <f t="shared" si="66"/>
        <v>235944.9409</v>
      </c>
      <c r="E128" s="62">
        <f t="shared" si="66"/>
        <v>235944.9409</v>
      </c>
      <c r="F128" s="62">
        <f t="shared" si="66"/>
        <v>582860.801</v>
      </c>
      <c r="G128" s="62">
        <f t="shared" si="66"/>
        <v>235944.9409</v>
      </c>
      <c r="H128" s="62">
        <f t="shared" si="66"/>
        <v>366400.5533</v>
      </c>
      <c r="I128" s="62">
        <f t="shared" si="66"/>
        <v>235944.9409</v>
      </c>
      <c r="J128" s="62">
        <f t="shared" si="66"/>
        <v>463094.673</v>
      </c>
      <c r="K128" s="62">
        <f t="shared" si="66"/>
        <v>235944.9409</v>
      </c>
      <c r="L128" s="62">
        <f t="shared" si="66"/>
        <v>235944.9409</v>
      </c>
      <c r="M128" s="62">
        <f t="shared" si="66"/>
        <v>432364.8044</v>
      </c>
      <c r="N128" s="62">
        <f t="shared" si="66"/>
        <v>666960.3155</v>
      </c>
      <c r="O128" s="62">
        <f t="shared" si="66"/>
        <v>235944.9409</v>
      </c>
      <c r="P128" s="62">
        <f t="shared" si="66"/>
        <v>235944.9409</v>
      </c>
    </row>
    <row r="129" ht="14.25" customHeight="1">
      <c r="A129" s="107" t="s">
        <v>119</v>
      </c>
      <c r="B129" s="108" t="s">
        <v>79</v>
      </c>
      <c r="C129" s="62">
        <f t="shared" ref="C129:P129" si="67">C116*0.0025</f>
        <v>67803.63592</v>
      </c>
      <c r="D129" s="62">
        <f t="shared" si="67"/>
        <v>51017.30514</v>
      </c>
      <c r="E129" s="62">
        <f t="shared" si="67"/>
        <v>91417.80875</v>
      </c>
      <c r="F129" s="62">
        <f t="shared" si="67"/>
        <v>27689.10693</v>
      </c>
      <c r="G129" s="62">
        <f t="shared" si="67"/>
        <v>27689.10693</v>
      </c>
      <c r="H129" s="62">
        <f t="shared" si="67"/>
        <v>52585.32349</v>
      </c>
      <c r="I129" s="62">
        <f t="shared" si="67"/>
        <v>27689.10693</v>
      </c>
      <c r="J129" s="62">
        <f t="shared" si="67"/>
        <v>40335.26955</v>
      </c>
      <c r="K129" s="62">
        <f t="shared" si="67"/>
        <v>27689.10693</v>
      </c>
      <c r="L129" s="62">
        <f t="shared" si="67"/>
        <v>27689.10693</v>
      </c>
      <c r="M129" s="62">
        <f t="shared" si="67"/>
        <v>65173.97529</v>
      </c>
      <c r="N129" s="62">
        <f t="shared" si="67"/>
        <v>27689.10693</v>
      </c>
      <c r="O129" s="62">
        <f t="shared" si="67"/>
        <v>27689.10693</v>
      </c>
      <c r="P129" s="62">
        <f t="shared" si="67"/>
        <v>27689.10693</v>
      </c>
    </row>
    <row r="130" ht="14.25" customHeight="1">
      <c r="A130" s="107" t="s">
        <v>120</v>
      </c>
      <c r="B130" s="108" t="s">
        <v>81</v>
      </c>
      <c r="C130" s="62">
        <f t="shared" ref="C130:P130" si="68">C117*0.0025</f>
        <v>41030.85152</v>
      </c>
      <c r="D130" s="62">
        <f t="shared" si="68"/>
        <v>31178.00519</v>
      </c>
      <c r="E130" s="62">
        <f t="shared" si="68"/>
        <v>54891.34426</v>
      </c>
      <c r="F130" s="62">
        <f t="shared" si="68"/>
        <v>17485.36711</v>
      </c>
      <c r="G130" s="62">
        <f t="shared" si="68"/>
        <v>17485.36711</v>
      </c>
      <c r="H130" s="62">
        <f t="shared" si="68"/>
        <v>32098.36379</v>
      </c>
      <c r="I130" s="62">
        <f t="shared" si="68"/>
        <v>17485.36711</v>
      </c>
      <c r="J130" s="62">
        <f t="shared" si="68"/>
        <v>24908.11474</v>
      </c>
      <c r="K130" s="62">
        <f t="shared" si="68"/>
        <v>17485.36711</v>
      </c>
      <c r="L130" s="62">
        <f t="shared" si="68"/>
        <v>17485.36711</v>
      </c>
      <c r="M130" s="62">
        <f t="shared" si="68"/>
        <v>39487.35506</v>
      </c>
      <c r="N130" s="62">
        <f t="shared" si="68"/>
        <v>17485.36711</v>
      </c>
      <c r="O130" s="62">
        <f t="shared" si="68"/>
        <v>17485.36711</v>
      </c>
      <c r="P130" s="62">
        <f t="shared" si="68"/>
        <v>17485.36711</v>
      </c>
    </row>
    <row r="131" ht="14.25" customHeight="1">
      <c r="A131" s="107" t="s">
        <v>121</v>
      </c>
      <c r="B131" s="108" t="s">
        <v>83</v>
      </c>
      <c r="C131" s="62">
        <f t="shared" ref="C131:P131" si="69">C118*0.0025</f>
        <v>41312.42295</v>
      </c>
      <c r="D131" s="62">
        <f t="shared" si="69"/>
        <v>31459.57662</v>
      </c>
      <c r="E131" s="62">
        <f t="shared" si="69"/>
        <v>55172.91569</v>
      </c>
      <c r="F131" s="62">
        <f t="shared" si="69"/>
        <v>17766.93854</v>
      </c>
      <c r="G131" s="62">
        <f t="shared" si="69"/>
        <v>17766.93854</v>
      </c>
      <c r="H131" s="62">
        <f t="shared" si="69"/>
        <v>32379.93522</v>
      </c>
      <c r="I131" s="62">
        <f t="shared" si="69"/>
        <v>17766.93854</v>
      </c>
      <c r="J131" s="62">
        <f t="shared" si="69"/>
        <v>25189.68616</v>
      </c>
      <c r="K131" s="62">
        <f t="shared" si="69"/>
        <v>17766.93854</v>
      </c>
      <c r="L131" s="62">
        <f t="shared" si="69"/>
        <v>17766.93854</v>
      </c>
      <c r="M131" s="62">
        <f t="shared" si="69"/>
        <v>39768.92649</v>
      </c>
      <c r="N131" s="62">
        <f t="shared" si="69"/>
        <v>17766.93854</v>
      </c>
      <c r="O131" s="62">
        <f t="shared" si="69"/>
        <v>17766.93854</v>
      </c>
      <c r="P131" s="62">
        <f t="shared" si="69"/>
        <v>17766.93854</v>
      </c>
    </row>
    <row r="132" ht="14.25" customHeight="1">
      <c r="A132" s="107" t="s">
        <v>122</v>
      </c>
      <c r="B132" s="108" t="s">
        <v>85</v>
      </c>
      <c r="C132" s="62">
        <f t="shared" ref="C132:P132" si="70">C119*0.001</f>
        <v>20525.62107</v>
      </c>
      <c r="D132" s="62">
        <f t="shared" si="70"/>
        <v>17665.24925</v>
      </c>
      <c r="E132" s="62">
        <f t="shared" si="70"/>
        <v>24549.44947</v>
      </c>
      <c r="F132" s="62">
        <f t="shared" si="70"/>
        <v>13690.1506</v>
      </c>
      <c r="G132" s="62">
        <f t="shared" si="70"/>
        <v>13690.1506</v>
      </c>
      <c r="H132" s="62">
        <f t="shared" si="70"/>
        <v>22615.48212</v>
      </c>
      <c r="I132" s="62">
        <f t="shared" si="70"/>
        <v>13690.1506</v>
      </c>
      <c r="J132" s="62">
        <f t="shared" si="70"/>
        <v>18223.81915</v>
      </c>
      <c r="K132" s="62">
        <f t="shared" si="70"/>
        <v>13690.1506</v>
      </c>
      <c r="L132" s="62">
        <f t="shared" si="70"/>
        <v>13690.1506</v>
      </c>
      <c r="M132" s="62">
        <f t="shared" si="70"/>
        <v>27128.53295</v>
      </c>
      <c r="N132" s="62">
        <f t="shared" si="70"/>
        <v>13690.1506</v>
      </c>
      <c r="O132" s="62">
        <f t="shared" si="70"/>
        <v>13690.1506</v>
      </c>
      <c r="P132" s="62">
        <f t="shared" si="70"/>
        <v>13690.1506</v>
      </c>
    </row>
    <row r="133" ht="14.25" customHeight="1">
      <c r="A133" s="107" t="s">
        <v>123</v>
      </c>
      <c r="B133" s="108" t="s">
        <v>87</v>
      </c>
      <c r="C133" s="62">
        <f t="shared" ref="C133:P133" si="71">C120*0.001</f>
        <v>12609.09411</v>
      </c>
      <c r="D133" s="62">
        <f t="shared" si="71"/>
        <v>10922.20817</v>
      </c>
      <c r="E133" s="62">
        <f t="shared" si="71"/>
        <v>14982.12111</v>
      </c>
      <c r="F133" s="62">
        <f t="shared" si="71"/>
        <v>8577.91922</v>
      </c>
      <c r="G133" s="62">
        <f t="shared" si="71"/>
        <v>8577.91922</v>
      </c>
      <c r="H133" s="62">
        <f t="shared" si="71"/>
        <v>13841.57627</v>
      </c>
      <c r="I133" s="62">
        <f t="shared" si="71"/>
        <v>8577.91922</v>
      </c>
      <c r="J133" s="62">
        <f t="shared" si="71"/>
        <v>11251.62118</v>
      </c>
      <c r="K133" s="62">
        <f t="shared" si="71"/>
        <v>8577.91922</v>
      </c>
      <c r="L133" s="62">
        <f t="shared" si="71"/>
        <v>8577.91922</v>
      </c>
      <c r="M133" s="62">
        <f t="shared" si="71"/>
        <v>16503.11906</v>
      </c>
      <c r="N133" s="62">
        <f t="shared" si="71"/>
        <v>8577.91922</v>
      </c>
      <c r="O133" s="62">
        <f t="shared" si="71"/>
        <v>8577.91922</v>
      </c>
      <c r="P133" s="62">
        <f t="shared" si="71"/>
        <v>8577.91922</v>
      </c>
    </row>
    <row r="134" ht="14.25" customHeight="1">
      <c r="A134" s="107" t="s">
        <v>124</v>
      </c>
      <c r="B134" s="108" t="s">
        <v>89</v>
      </c>
      <c r="C134" s="62">
        <f t="shared" ref="C134:P134" si="72">C121*0.001</f>
        <v>20315.76046</v>
      </c>
      <c r="D134" s="62">
        <f t="shared" si="72"/>
        <v>17528.7315</v>
      </c>
      <c r="E134" s="62">
        <f t="shared" si="72"/>
        <v>24236.41377</v>
      </c>
      <c r="F134" s="62">
        <f t="shared" si="72"/>
        <v>13655.55846</v>
      </c>
      <c r="G134" s="62">
        <f t="shared" si="72"/>
        <v>13655.55846</v>
      </c>
      <c r="H134" s="62">
        <f t="shared" si="72"/>
        <v>22352.03533</v>
      </c>
      <c r="I134" s="62">
        <f t="shared" si="72"/>
        <v>13655.55846</v>
      </c>
      <c r="J134" s="62">
        <f t="shared" si="72"/>
        <v>18072.97909</v>
      </c>
      <c r="K134" s="62">
        <f t="shared" si="72"/>
        <v>13655.55846</v>
      </c>
      <c r="L134" s="62">
        <f t="shared" si="72"/>
        <v>13655.55846</v>
      </c>
      <c r="M134" s="62">
        <f t="shared" si="72"/>
        <v>26749.3669</v>
      </c>
      <c r="N134" s="62">
        <f t="shared" si="72"/>
        <v>13655.55846</v>
      </c>
      <c r="O134" s="62">
        <f t="shared" si="72"/>
        <v>13655.55846</v>
      </c>
      <c r="P134" s="62">
        <f t="shared" si="72"/>
        <v>13655.55846</v>
      </c>
    </row>
    <row r="135" ht="14.25" customHeight="1">
      <c r="B135" s="109" t="s">
        <v>68</v>
      </c>
      <c r="C135" s="110">
        <f t="shared" ref="C135:P135" si="73">SUM(C125:C134)</f>
        <v>1183073.087</v>
      </c>
      <c r="D135" s="110">
        <f t="shared" si="73"/>
        <v>1139246.777</v>
      </c>
      <c r="E135" s="110">
        <f t="shared" si="73"/>
        <v>1244725.754</v>
      </c>
      <c r="F135" s="110">
        <f t="shared" si="73"/>
        <v>2523823.492</v>
      </c>
      <c r="G135" s="110">
        <f t="shared" si="73"/>
        <v>1078340.742</v>
      </c>
      <c r="H135" s="110">
        <f t="shared" si="73"/>
        <v>1698913.469</v>
      </c>
      <c r="I135" s="110">
        <f t="shared" si="73"/>
        <v>1078340.742</v>
      </c>
      <c r="J135" s="110">
        <f t="shared" si="73"/>
        <v>2063914.408</v>
      </c>
      <c r="K135" s="110">
        <f t="shared" si="73"/>
        <v>1078340.742</v>
      </c>
      <c r="L135" s="110">
        <f t="shared" si="73"/>
        <v>1078340.742</v>
      </c>
      <c r="M135" s="110">
        <f t="shared" si="73"/>
        <v>2012703.075</v>
      </c>
      <c r="N135" s="110">
        <f t="shared" si="73"/>
        <v>2874238.136</v>
      </c>
      <c r="O135" s="110">
        <f t="shared" si="73"/>
        <v>1078340.742</v>
      </c>
      <c r="P135" s="110">
        <f t="shared" si="73"/>
        <v>1078340.742</v>
      </c>
    </row>
    <row r="136" ht="14.25" customHeight="1"/>
    <row r="137" ht="14.25" customHeight="1"/>
    <row r="138" ht="14.25" customHeight="1">
      <c r="K138" s="71"/>
    </row>
    <row r="139" ht="14.25" customHeight="1"/>
    <row r="140" ht="14.25" customHeight="1">
      <c r="D140" s="66"/>
      <c r="E140" s="71"/>
    </row>
    <row r="141" ht="14.25" customHeight="1">
      <c r="D141" s="66"/>
      <c r="E141" s="71"/>
    </row>
    <row r="142" ht="14.25" customHeight="1">
      <c r="D142" s="66"/>
      <c r="E142" s="71"/>
    </row>
    <row r="143" ht="14.25" customHeight="1">
      <c r="D143" s="66"/>
      <c r="E143" s="71"/>
    </row>
    <row r="144" ht="14.25" customHeight="1">
      <c r="D144" s="66"/>
      <c r="E144" s="71"/>
    </row>
    <row r="145" ht="14.25" customHeight="1">
      <c r="D145" s="66"/>
      <c r="E145" s="71"/>
    </row>
    <row r="146" ht="14.25" customHeight="1">
      <c r="D146" s="66"/>
      <c r="E146" s="71"/>
    </row>
    <row r="147" ht="14.25" customHeight="1">
      <c r="D147" s="66"/>
      <c r="E147" s="71"/>
    </row>
    <row r="148" ht="14.25" customHeight="1">
      <c r="D148" s="66"/>
      <c r="E148" s="71"/>
    </row>
    <row r="149" ht="14.25" customHeight="1">
      <c r="D149" s="66"/>
      <c r="E149" s="71"/>
    </row>
    <row r="150" ht="14.25" customHeight="1"/>
    <row r="151" ht="14.25" customHeight="1"/>
    <row r="152" ht="14.25" customHeight="1"/>
    <row r="153" ht="14.25" customHeight="1"/>
    <row r="154" ht="14.25" customHeight="1">
      <c r="A154" s="85"/>
      <c r="B154" s="86"/>
      <c r="C154" s="86"/>
      <c r="D154" s="86"/>
      <c r="E154" s="86"/>
      <c r="F154" s="85"/>
      <c r="G154" s="86"/>
      <c r="H154" s="86"/>
      <c r="I154" s="86"/>
      <c r="J154" s="86"/>
      <c r="K154" s="86"/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35:A41"/>
    <mergeCell ref="A43:A49"/>
    <mergeCell ref="A51:A57"/>
    <mergeCell ref="A59:A65"/>
    <mergeCell ref="A67:A73"/>
    <mergeCell ref="A75:A81"/>
    <mergeCell ref="A154:E154"/>
    <mergeCell ref="F154:K154"/>
    <mergeCell ref="D1:I1"/>
    <mergeCell ref="J1:N1"/>
    <mergeCell ref="O1:T1"/>
    <mergeCell ref="A3:A9"/>
    <mergeCell ref="A11:A17"/>
    <mergeCell ref="A19:A25"/>
    <mergeCell ref="A27:A3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63"/>
    <col customWidth="1" min="3" max="3" width="23.13"/>
    <col customWidth="1" min="4" max="4" width="24.38"/>
    <col customWidth="1" min="5" max="5" width="26.5"/>
    <col customWidth="1" min="6" max="6" width="29.0"/>
    <col customWidth="1" min="7" max="7" width="24.75"/>
    <col customWidth="1" min="8" max="8" width="22.13"/>
    <col customWidth="1" min="9" max="26" width="11.5"/>
  </cols>
  <sheetData>
    <row r="1" ht="14.25" customHeight="1">
      <c r="A1" s="112" t="s">
        <v>1</v>
      </c>
      <c r="B1" s="113"/>
      <c r="C1" s="31"/>
      <c r="D1" s="31"/>
      <c r="E1" s="31"/>
      <c r="F1" s="31"/>
      <c r="G1" s="14"/>
    </row>
    <row r="2" ht="14.25" customHeight="1">
      <c r="A2" s="100"/>
      <c r="B2" s="114" t="s">
        <v>128</v>
      </c>
      <c r="C2" s="115" t="s">
        <v>2</v>
      </c>
      <c r="D2" s="115" t="s">
        <v>129</v>
      </c>
      <c r="E2" s="115" t="s">
        <v>130</v>
      </c>
      <c r="F2" s="115" t="s">
        <v>3</v>
      </c>
      <c r="G2" s="115" t="s">
        <v>131</v>
      </c>
    </row>
    <row r="3" ht="14.25" customHeight="1">
      <c r="A3" s="61"/>
      <c r="B3" s="116" t="s">
        <v>127</v>
      </c>
      <c r="C3" s="20">
        <v>2.0</v>
      </c>
      <c r="D3" s="20">
        <v>3.0</v>
      </c>
      <c r="E3" s="20">
        <v>6.0</v>
      </c>
      <c r="F3" s="62">
        <v>48000.0</v>
      </c>
      <c r="G3" s="62">
        <f>PRODUCT(C3:F3)</f>
        <v>1728000</v>
      </c>
      <c r="H3" s="71"/>
    </row>
    <row r="4" ht="14.25" customHeight="1">
      <c r="A4" s="117" t="s">
        <v>132</v>
      </c>
      <c r="B4" s="118"/>
      <c r="C4" s="82"/>
      <c r="D4" s="82"/>
      <c r="E4" s="82"/>
      <c r="F4" s="82"/>
      <c r="G4" s="82"/>
    </row>
    <row r="5" ht="14.25" customHeight="1">
      <c r="A5" s="100"/>
      <c r="B5" s="114" t="s">
        <v>128</v>
      </c>
      <c r="C5" s="115" t="s">
        <v>2</v>
      </c>
      <c r="D5" s="115" t="s">
        <v>129</v>
      </c>
      <c r="E5" s="115" t="s">
        <v>130</v>
      </c>
      <c r="F5" s="115" t="s">
        <v>3</v>
      </c>
      <c r="G5" s="115" t="s">
        <v>131</v>
      </c>
      <c r="H5" s="71"/>
    </row>
    <row r="6" ht="14.25" customHeight="1">
      <c r="A6" s="119"/>
      <c r="B6" s="120" t="s">
        <v>127</v>
      </c>
      <c r="C6" s="121">
        <v>2.0</v>
      </c>
      <c r="D6" s="121">
        <v>3.0</v>
      </c>
      <c r="E6" s="121">
        <v>6.0</v>
      </c>
      <c r="F6" s="71">
        <v>41800.0</v>
      </c>
      <c r="G6" s="71">
        <f>PRODUCT(C6:F6)</f>
        <v>1504800</v>
      </c>
    </row>
    <row r="7" ht="14.25" customHeight="1">
      <c r="A7" s="122" t="s">
        <v>133</v>
      </c>
      <c r="B7" s="58"/>
      <c r="C7" s="31"/>
      <c r="D7" s="31"/>
      <c r="E7" s="31"/>
      <c r="F7" s="31"/>
      <c r="G7" s="14"/>
    </row>
    <row r="8" ht="14.25" customHeight="1">
      <c r="A8" s="123" t="s">
        <v>134</v>
      </c>
      <c r="B8" s="58"/>
      <c r="C8" s="31"/>
      <c r="D8" s="31"/>
      <c r="E8" s="31"/>
      <c r="F8" s="31"/>
      <c r="G8" s="14"/>
    </row>
    <row r="9" ht="14.25" customHeight="1">
      <c r="A9" s="100"/>
      <c r="B9" s="115" t="s">
        <v>128</v>
      </c>
      <c r="C9" s="115" t="s">
        <v>2</v>
      </c>
      <c r="D9" s="115" t="s">
        <v>129</v>
      </c>
      <c r="E9" s="115" t="s">
        <v>130</v>
      </c>
      <c r="F9" s="115" t="s">
        <v>3</v>
      </c>
      <c r="G9" s="115" t="s">
        <v>131</v>
      </c>
    </row>
    <row r="10" ht="14.25" customHeight="1">
      <c r="A10" s="61"/>
      <c r="B10" s="10" t="s">
        <v>127</v>
      </c>
      <c r="C10" s="20">
        <v>2.0</v>
      </c>
      <c r="D10" s="20">
        <v>3.0</v>
      </c>
      <c r="E10" s="20">
        <v>6.0</v>
      </c>
      <c r="F10" s="62">
        <v>37150.0</v>
      </c>
      <c r="G10" s="62">
        <f>PRODUCT(C10:F10)</f>
        <v>1337400</v>
      </c>
    </row>
    <row r="11" ht="14.25" customHeight="1">
      <c r="A11" s="123" t="s">
        <v>135</v>
      </c>
      <c r="B11" s="58"/>
      <c r="C11" s="31"/>
      <c r="D11" s="31"/>
      <c r="E11" s="31"/>
      <c r="F11" s="31"/>
      <c r="G11" s="14"/>
    </row>
    <row r="12" ht="14.25" customHeight="1">
      <c r="A12" s="100"/>
      <c r="B12" s="115" t="s">
        <v>128</v>
      </c>
      <c r="C12" s="115" t="s">
        <v>2</v>
      </c>
      <c r="D12" s="115" t="s">
        <v>129</v>
      </c>
      <c r="E12" s="115" t="s">
        <v>130</v>
      </c>
      <c r="F12" s="115" t="s">
        <v>3</v>
      </c>
      <c r="G12" s="115" t="s">
        <v>131</v>
      </c>
    </row>
    <row r="13" ht="14.25" customHeight="1">
      <c r="A13" s="61"/>
      <c r="B13" s="10" t="s">
        <v>127</v>
      </c>
      <c r="C13" s="20">
        <v>2.0</v>
      </c>
      <c r="D13" s="20">
        <v>3.0</v>
      </c>
      <c r="E13" s="20">
        <v>6.0</v>
      </c>
      <c r="F13" s="62">
        <v>2880.0</v>
      </c>
      <c r="G13" s="62">
        <f>PRODUCT(C13:F13)</f>
        <v>103680</v>
      </c>
    </row>
    <row r="14" ht="14.25" customHeight="1">
      <c r="A14" s="124" t="s">
        <v>136</v>
      </c>
      <c r="B14" s="58"/>
      <c r="C14" s="31"/>
      <c r="D14" s="31"/>
      <c r="E14" s="31"/>
      <c r="F14" s="31"/>
      <c r="G14" s="14"/>
    </row>
    <row r="15" ht="14.25" customHeight="1">
      <c r="A15" s="125" t="s">
        <v>134</v>
      </c>
      <c r="B15" s="58"/>
      <c r="C15" s="31"/>
      <c r="D15" s="31"/>
      <c r="E15" s="31"/>
      <c r="F15" s="31"/>
      <c r="G15" s="14"/>
    </row>
    <row r="16" ht="14.25" customHeight="1">
      <c r="A16" s="100"/>
      <c r="B16" s="115" t="s">
        <v>128</v>
      </c>
      <c r="C16" s="115" t="s">
        <v>2</v>
      </c>
      <c r="D16" s="115" t="s">
        <v>129</v>
      </c>
      <c r="E16" s="115" t="s">
        <v>130</v>
      </c>
      <c r="F16" s="115" t="s">
        <v>3</v>
      </c>
      <c r="G16" s="115" t="s">
        <v>131</v>
      </c>
      <c r="H16" s="115" t="s">
        <v>137</v>
      </c>
    </row>
    <row r="17" ht="14.25" customHeight="1">
      <c r="A17" s="61"/>
      <c r="B17" s="10" t="s">
        <v>126</v>
      </c>
      <c r="C17" s="62">
        <v>2.0</v>
      </c>
      <c r="D17" s="62">
        <v>3.0</v>
      </c>
      <c r="E17" s="62">
        <v>6.0</v>
      </c>
      <c r="F17" s="62">
        <v>2400000.0</v>
      </c>
      <c r="G17" s="62">
        <f>PRODUCT(C17:F17)</f>
        <v>86400000</v>
      </c>
      <c r="H17" s="62">
        <f>G17*0.016</f>
        <v>1382400</v>
      </c>
    </row>
    <row r="18" ht="14.25" customHeight="1">
      <c r="A18" s="125" t="s">
        <v>135</v>
      </c>
      <c r="B18" s="58"/>
      <c r="C18" s="31"/>
      <c r="D18" s="31"/>
      <c r="E18" s="31"/>
      <c r="F18" s="31"/>
      <c r="G18" s="14"/>
      <c r="H18" s="7"/>
    </row>
    <row r="19" ht="14.25" customHeight="1">
      <c r="A19" s="100"/>
      <c r="B19" s="115" t="s">
        <v>128</v>
      </c>
      <c r="C19" s="115" t="s">
        <v>2</v>
      </c>
      <c r="D19" s="115" t="s">
        <v>129</v>
      </c>
      <c r="E19" s="115" t="s">
        <v>130</v>
      </c>
      <c r="F19" s="115" t="s">
        <v>3</v>
      </c>
      <c r="G19" s="115" t="s">
        <v>131</v>
      </c>
      <c r="H19" s="115" t="s">
        <v>137</v>
      </c>
    </row>
    <row r="20" ht="14.25" customHeight="1">
      <c r="A20" s="61"/>
      <c r="B20" s="10" t="s">
        <v>126</v>
      </c>
      <c r="C20" s="62">
        <v>2.0</v>
      </c>
      <c r="D20" s="62">
        <v>3.0</v>
      </c>
      <c r="E20" s="62">
        <v>6.0</v>
      </c>
      <c r="F20" s="62">
        <v>1200000.0</v>
      </c>
      <c r="G20" s="62">
        <f>PRODUCT(C20:F20)</f>
        <v>43200000</v>
      </c>
      <c r="H20" s="62">
        <f>G20*0.0025</f>
        <v>108000</v>
      </c>
      <c r="I20" s="71"/>
    </row>
    <row r="21" ht="14.25" customHeight="1">
      <c r="A21" s="125" t="s">
        <v>138</v>
      </c>
      <c r="B21" s="58"/>
      <c r="C21" s="31"/>
      <c r="D21" s="31"/>
      <c r="E21" s="31"/>
      <c r="F21" s="31"/>
      <c r="G21" s="14"/>
      <c r="H21" s="7"/>
    </row>
    <row r="22" ht="14.25" customHeight="1">
      <c r="A22" s="100"/>
      <c r="B22" s="115" t="s">
        <v>128</v>
      </c>
      <c r="C22" s="115" t="s">
        <v>2</v>
      </c>
      <c r="D22" s="115" t="s">
        <v>129</v>
      </c>
      <c r="E22" s="115" t="s">
        <v>130</v>
      </c>
      <c r="F22" s="115" t="s">
        <v>3</v>
      </c>
      <c r="G22" s="115" t="s">
        <v>131</v>
      </c>
      <c r="H22" s="126" t="s">
        <v>137</v>
      </c>
    </row>
    <row r="23" ht="14.25" customHeight="1">
      <c r="A23" s="61"/>
      <c r="B23" s="10" t="s">
        <v>126</v>
      </c>
      <c r="C23" s="62">
        <v>2.0</v>
      </c>
      <c r="D23" s="62">
        <v>3.0</v>
      </c>
      <c r="E23" s="62">
        <v>6.0</v>
      </c>
      <c r="F23" s="62">
        <v>1300000.0</v>
      </c>
      <c r="G23" s="62">
        <f>PRODUCT(C23:F23)</f>
        <v>46800000</v>
      </c>
      <c r="H23" s="62">
        <f>G23*0.001</f>
        <v>46800</v>
      </c>
    </row>
    <row r="24" ht="14.25" customHeight="1">
      <c r="A24" s="117" t="s">
        <v>139</v>
      </c>
      <c r="B24" s="58"/>
      <c r="C24" s="31"/>
      <c r="D24" s="31"/>
      <c r="E24" s="31"/>
      <c r="F24" s="31"/>
      <c r="G24" s="14"/>
    </row>
    <row r="25" ht="14.25" customHeight="1">
      <c r="A25" s="100"/>
      <c r="B25" s="115" t="s">
        <v>128</v>
      </c>
      <c r="C25" s="115" t="s">
        <v>140</v>
      </c>
      <c r="D25" s="115" t="s">
        <v>141</v>
      </c>
      <c r="E25" s="115" t="s">
        <v>142</v>
      </c>
      <c r="F25" s="115" t="s">
        <v>143</v>
      </c>
      <c r="G25" s="115" t="s">
        <v>131</v>
      </c>
    </row>
    <row r="26" ht="14.25" customHeight="1">
      <c r="A26" s="61"/>
      <c r="B26" s="20" t="s">
        <v>144</v>
      </c>
      <c r="C26" s="62">
        <v>710.0</v>
      </c>
      <c r="D26" s="62">
        <v>1.0</v>
      </c>
      <c r="E26" s="62">
        <v>6.0</v>
      </c>
      <c r="F26" s="62">
        <v>50.0</v>
      </c>
      <c r="G26" s="62">
        <f>PRODUCT(C26:F26)</f>
        <v>213000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A3"/>
    <mergeCell ref="B1:G1"/>
    <mergeCell ref="A4:A6"/>
    <mergeCell ref="B4:G4"/>
    <mergeCell ref="B7:G7"/>
    <mergeCell ref="A8:A10"/>
    <mergeCell ref="B8:G8"/>
    <mergeCell ref="A21:A23"/>
    <mergeCell ref="B21:G21"/>
    <mergeCell ref="A24:A26"/>
    <mergeCell ref="B24:G24"/>
    <mergeCell ref="A11:A13"/>
    <mergeCell ref="B11:G11"/>
    <mergeCell ref="B14:G14"/>
    <mergeCell ref="A15:A17"/>
    <mergeCell ref="B15:G15"/>
    <mergeCell ref="A18:A20"/>
    <mergeCell ref="B18:G1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9.63"/>
    <col customWidth="1" min="3" max="3" width="15.5"/>
    <col customWidth="1" min="4" max="4" width="15.0"/>
    <col customWidth="1" min="5" max="5" width="11.63"/>
    <col customWidth="1" min="6" max="6" width="15.63"/>
    <col customWidth="1" min="7" max="7" width="15.38"/>
    <col customWidth="1" min="8" max="8" width="14.75"/>
    <col customWidth="1" min="9" max="9" width="15.38"/>
    <col customWidth="1" min="10" max="10" width="16.0"/>
    <col customWidth="1" min="11" max="11" width="14.13"/>
    <col customWidth="1" min="12" max="12" width="13.5"/>
    <col customWidth="1" min="13" max="13" width="15.38"/>
    <col customWidth="1" min="14" max="14" width="12.75"/>
    <col customWidth="1" min="15" max="16" width="11.63"/>
    <col customWidth="1" min="17" max="17" width="17.13"/>
    <col customWidth="1" min="18" max="26" width="11.5"/>
  </cols>
  <sheetData>
    <row r="1" ht="14.25" customHeight="1">
      <c r="A1" s="127" t="s">
        <v>145</v>
      </c>
      <c r="B1" s="128" t="s">
        <v>146</v>
      </c>
      <c r="C1" s="129">
        <v>16.0</v>
      </c>
      <c r="D1" s="129">
        <v>17.0</v>
      </c>
      <c r="E1" s="129">
        <v>18.0</v>
      </c>
      <c r="F1" s="129">
        <v>19.0</v>
      </c>
      <c r="G1" s="129">
        <v>20.0</v>
      </c>
      <c r="H1" s="129">
        <v>21.0</v>
      </c>
      <c r="I1" s="129">
        <v>22.0</v>
      </c>
      <c r="J1" s="129">
        <v>23.0</v>
      </c>
      <c r="K1" s="129">
        <v>24.0</v>
      </c>
      <c r="L1" s="129">
        <v>25.0</v>
      </c>
      <c r="M1" s="129">
        <v>26.0</v>
      </c>
      <c r="N1" s="129">
        <v>27.0</v>
      </c>
      <c r="O1" s="129">
        <v>28.0</v>
      </c>
      <c r="P1" s="130">
        <v>29.0</v>
      </c>
    </row>
    <row r="2" ht="14.25" customHeight="1">
      <c r="A2" s="103" t="s">
        <v>1</v>
      </c>
      <c r="B2" s="7" t="s">
        <v>147</v>
      </c>
      <c r="C2" s="68">
        <f>'Initial MPS'!C135</f>
        <v>1183073.087</v>
      </c>
      <c r="D2" s="68">
        <f>'Initial MPS'!D135</f>
        <v>1139246.777</v>
      </c>
      <c r="E2" s="68">
        <f>'Initial MPS'!E135</f>
        <v>1244725.754</v>
      </c>
      <c r="F2" s="68">
        <f>'Initial MPS'!F135</f>
        <v>2523823.492</v>
      </c>
      <c r="G2" s="68">
        <f>'Initial MPS'!G135</f>
        <v>1078340.742</v>
      </c>
      <c r="H2" s="68">
        <f>'Initial MPS'!H135</f>
        <v>1698913.469</v>
      </c>
      <c r="I2" s="68">
        <f>'Initial MPS'!I135</f>
        <v>1078340.742</v>
      </c>
      <c r="J2" s="68">
        <f>'Initial MPS'!J135</f>
        <v>2063914.408</v>
      </c>
      <c r="K2" s="68">
        <f>'Initial MPS'!K135</f>
        <v>1078340.742</v>
      </c>
      <c r="L2" s="68">
        <f>'Initial MPS'!L135</f>
        <v>1078340.742</v>
      </c>
      <c r="M2" s="68">
        <f>'Initial MPS'!M135</f>
        <v>2012703.075</v>
      </c>
      <c r="N2" s="68">
        <f>'Initial MPS'!N135</f>
        <v>2874238.136</v>
      </c>
      <c r="O2" s="68">
        <f>'Initial MPS'!O135</f>
        <v>1078340.742</v>
      </c>
      <c r="P2" s="73">
        <f>'Initial MPS'!P135</f>
        <v>1078340.742</v>
      </c>
      <c r="Q2" s="71"/>
    </row>
    <row r="3" ht="14.25" customHeight="1">
      <c r="A3" s="103" t="s">
        <v>1</v>
      </c>
      <c r="B3" s="7" t="s">
        <v>148</v>
      </c>
      <c r="C3" s="62">
        <f t="shared" ref="C3:G3" si="1">48000*3*2*7</f>
        <v>2016000</v>
      </c>
      <c r="D3" s="62">
        <f t="shared" si="1"/>
        <v>2016000</v>
      </c>
      <c r="E3" s="62">
        <f t="shared" si="1"/>
        <v>2016000</v>
      </c>
      <c r="F3" s="62">
        <f t="shared" si="1"/>
        <v>2016000</v>
      </c>
      <c r="G3" s="62">
        <f t="shared" si="1"/>
        <v>2016000</v>
      </c>
      <c r="H3" s="62">
        <f>G3</f>
        <v>2016000</v>
      </c>
      <c r="I3" s="62">
        <f t="shared" ref="I3:P3" si="2">48000*2*3*7</f>
        <v>2016000</v>
      </c>
      <c r="J3" s="62">
        <f t="shared" si="2"/>
        <v>2016000</v>
      </c>
      <c r="K3" s="62">
        <f t="shared" si="2"/>
        <v>2016000</v>
      </c>
      <c r="L3" s="62">
        <f t="shared" si="2"/>
        <v>2016000</v>
      </c>
      <c r="M3" s="62">
        <f t="shared" si="2"/>
        <v>2016000</v>
      </c>
      <c r="N3" s="62">
        <f t="shared" si="2"/>
        <v>2016000</v>
      </c>
      <c r="O3" s="62">
        <f t="shared" si="2"/>
        <v>2016000</v>
      </c>
      <c r="P3" s="111">
        <f t="shared" si="2"/>
        <v>2016000</v>
      </c>
    </row>
    <row r="4" ht="14.25" customHeight="1">
      <c r="A4" s="103" t="s">
        <v>1</v>
      </c>
      <c r="B4" s="7" t="s">
        <v>149</v>
      </c>
      <c r="C4" s="77">
        <f t="shared" ref="C4:P4" si="3">C2/C3</f>
        <v>0.5868418089</v>
      </c>
      <c r="D4" s="77">
        <f t="shared" si="3"/>
        <v>0.5651025678</v>
      </c>
      <c r="E4" s="77">
        <f t="shared" si="3"/>
        <v>0.617423489</v>
      </c>
      <c r="F4" s="77">
        <f t="shared" si="3"/>
        <v>1.251896574</v>
      </c>
      <c r="G4" s="77">
        <f t="shared" si="3"/>
        <v>0.5348912409</v>
      </c>
      <c r="H4" s="77">
        <f t="shared" si="3"/>
        <v>0.8427150144</v>
      </c>
      <c r="I4" s="77">
        <f t="shared" si="3"/>
        <v>0.5348912409</v>
      </c>
      <c r="J4" s="77">
        <f t="shared" si="3"/>
        <v>1.023767067</v>
      </c>
      <c r="K4" s="77">
        <f t="shared" si="3"/>
        <v>0.5348912409</v>
      </c>
      <c r="L4" s="77">
        <f t="shared" si="3"/>
        <v>0.5348912409</v>
      </c>
      <c r="M4" s="77">
        <f t="shared" si="3"/>
        <v>0.9983646204</v>
      </c>
      <c r="N4" s="77">
        <f t="shared" si="3"/>
        <v>1.425713361</v>
      </c>
      <c r="O4" s="77">
        <f t="shared" si="3"/>
        <v>0.5348912409</v>
      </c>
      <c r="P4" s="131">
        <f t="shared" si="3"/>
        <v>0.5348912409</v>
      </c>
    </row>
    <row r="5" ht="14.25" customHeight="1"/>
    <row r="6" ht="14.25" customHeight="1">
      <c r="A6" s="132" t="s">
        <v>150</v>
      </c>
    </row>
    <row r="7" ht="14.25" customHeight="1">
      <c r="A7" s="127" t="s">
        <v>145</v>
      </c>
      <c r="B7" s="128" t="s">
        <v>146</v>
      </c>
      <c r="C7" s="129">
        <v>16.0</v>
      </c>
      <c r="D7" s="129">
        <v>17.0</v>
      </c>
      <c r="E7" s="129">
        <v>18.0</v>
      </c>
      <c r="F7" s="129">
        <v>19.0</v>
      </c>
      <c r="G7" s="129">
        <v>20.0</v>
      </c>
      <c r="H7" s="129">
        <v>21.0</v>
      </c>
      <c r="I7" s="129">
        <v>22.0</v>
      </c>
      <c r="J7" s="129">
        <v>23.0</v>
      </c>
      <c r="K7" s="129">
        <v>24.0</v>
      </c>
      <c r="L7" s="129">
        <v>25.0</v>
      </c>
      <c r="M7" s="129">
        <v>26.0</v>
      </c>
      <c r="N7" s="129">
        <v>27.0</v>
      </c>
      <c r="O7" s="129">
        <v>28.0</v>
      </c>
      <c r="P7" s="130">
        <v>29.0</v>
      </c>
    </row>
    <row r="8" ht="14.25" customHeight="1">
      <c r="A8" s="103" t="s">
        <v>1</v>
      </c>
      <c r="B8" s="7" t="s">
        <v>147</v>
      </c>
      <c r="C8" s="62">
        <f t="shared" ref="C8:E8" si="4">C2+($F$2-$F$3)/3</f>
        <v>1352347.584</v>
      </c>
      <c r="D8" s="62">
        <f t="shared" si="4"/>
        <v>1308521.274</v>
      </c>
      <c r="E8" s="62">
        <f t="shared" si="4"/>
        <v>1414000.251</v>
      </c>
      <c r="F8" s="62">
        <f>F3</f>
        <v>2016000</v>
      </c>
      <c r="G8" s="62">
        <f t="shared" ref="G8:I8" si="5">($J$2-$J$3)/3+G2</f>
        <v>1094312.211</v>
      </c>
      <c r="H8" s="62">
        <f t="shared" si="5"/>
        <v>1714884.938</v>
      </c>
      <c r="I8" s="62">
        <f t="shared" si="5"/>
        <v>1094312.211</v>
      </c>
      <c r="J8" s="62">
        <f>J3</f>
        <v>2016000</v>
      </c>
      <c r="K8" s="62">
        <f t="shared" ref="K8:L8" si="6">K2+($N$2-$N$3)/2</f>
        <v>1507459.81</v>
      </c>
      <c r="L8" s="62">
        <f t="shared" si="6"/>
        <v>1507459.81</v>
      </c>
      <c r="M8" s="62">
        <f>M2</f>
        <v>2012703.075</v>
      </c>
      <c r="N8" s="62">
        <f>N3</f>
        <v>2016000</v>
      </c>
      <c r="O8" s="62">
        <v>1078340.7416632152</v>
      </c>
      <c r="P8" s="62">
        <v>1078340.7416632152</v>
      </c>
      <c r="Q8" s="71"/>
    </row>
    <row r="9" ht="14.25" customHeight="1">
      <c r="A9" s="103" t="s">
        <v>1</v>
      </c>
      <c r="B9" s="7" t="s">
        <v>148</v>
      </c>
      <c r="C9" s="62">
        <f t="shared" ref="C9:L9" si="7">C3</f>
        <v>2016000</v>
      </c>
      <c r="D9" s="62">
        <f t="shared" si="7"/>
        <v>2016000</v>
      </c>
      <c r="E9" s="62">
        <f t="shared" si="7"/>
        <v>2016000</v>
      </c>
      <c r="F9" s="62">
        <f t="shared" si="7"/>
        <v>2016000</v>
      </c>
      <c r="G9" s="62">
        <f t="shared" si="7"/>
        <v>2016000</v>
      </c>
      <c r="H9" s="62">
        <f t="shared" si="7"/>
        <v>2016000</v>
      </c>
      <c r="I9" s="62">
        <f t="shared" si="7"/>
        <v>2016000</v>
      </c>
      <c r="J9" s="62">
        <f t="shared" si="7"/>
        <v>2016000</v>
      </c>
      <c r="K9" s="62">
        <f t="shared" si="7"/>
        <v>2016000</v>
      </c>
      <c r="L9" s="62">
        <f t="shared" si="7"/>
        <v>2016000</v>
      </c>
      <c r="M9" s="62">
        <f>L9</f>
        <v>2016000</v>
      </c>
      <c r="N9" s="62">
        <f t="shared" ref="N9:P9" si="8">N3</f>
        <v>2016000</v>
      </c>
      <c r="O9" s="62">
        <f t="shared" si="8"/>
        <v>2016000</v>
      </c>
      <c r="P9" s="62">
        <f t="shared" si="8"/>
        <v>2016000</v>
      </c>
    </row>
    <row r="10" ht="14.25" customHeight="1">
      <c r="A10" s="103" t="s">
        <v>1</v>
      </c>
      <c r="B10" s="7" t="s">
        <v>149</v>
      </c>
      <c r="C10" s="77">
        <f t="shared" ref="C10:P10" si="9">C8/C9</f>
        <v>0.6708073335</v>
      </c>
      <c r="D10" s="77">
        <f t="shared" si="9"/>
        <v>0.6490680923</v>
      </c>
      <c r="E10" s="77">
        <f t="shared" si="9"/>
        <v>0.7013890135</v>
      </c>
      <c r="F10" s="77">
        <f t="shared" si="9"/>
        <v>1</v>
      </c>
      <c r="G10" s="77">
        <f t="shared" si="9"/>
        <v>0.5428135967</v>
      </c>
      <c r="H10" s="77">
        <f t="shared" si="9"/>
        <v>0.8506373702</v>
      </c>
      <c r="I10" s="77">
        <f t="shared" si="9"/>
        <v>0.5428135967</v>
      </c>
      <c r="J10" s="77">
        <f t="shared" si="9"/>
        <v>1</v>
      </c>
      <c r="K10" s="77">
        <f t="shared" si="9"/>
        <v>0.7477479214</v>
      </c>
      <c r="L10" s="77">
        <f t="shared" si="9"/>
        <v>0.7477479214</v>
      </c>
      <c r="M10" s="77">
        <f t="shared" si="9"/>
        <v>0.9983646204</v>
      </c>
      <c r="N10" s="77">
        <f t="shared" si="9"/>
        <v>1</v>
      </c>
      <c r="O10" s="77">
        <f t="shared" si="9"/>
        <v>0.5348912409</v>
      </c>
      <c r="P10" s="77">
        <f t="shared" si="9"/>
        <v>0.5348912409</v>
      </c>
    </row>
    <row r="11" ht="14.25" customHeight="1"/>
    <row r="12" ht="14.25" customHeight="1">
      <c r="A12" s="127" t="s">
        <v>145</v>
      </c>
      <c r="B12" s="128" t="s">
        <v>146</v>
      </c>
      <c r="C12" s="129">
        <v>16.0</v>
      </c>
      <c r="D12" s="129">
        <v>17.0</v>
      </c>
      <c r="E12" s="129">
        <v>18.0</v>
      </c>
      <c r="F12" s="129">
        <v>19.0</v>
      </c>
      <c r="G12" s="129">
        <v>20.0</v>
      </c>
      <c r="H12" s="129">
        <v>21.0</v>
      </c>
      <c r="I12" s="129">
        <v>22.0</v>
      </c>
      <c r="J12" s="129">
        <v>23.0</v>
      </c>
      <c r="K12" s="129">
        <v>24.0</v>
      </c>
      <c r="L12" s="129">
        <v>25.0</v>
      </c>
      <c r="M12" s="129">
        <v>26.0</v>
      </c>
      <c r="N12" s="129">
        <v>27.0</v>
      </c>
      <c r="O12" s="129">
        <v>28.0</v>
      </c>
      <c r="P12" s="130">
        <v>29.0</v>
      </c>
      <c r="R12" s="69"/>
    </row>
    <row r="13" ht="14.25" customHeight="1">
      <c r="A13" s="103" t="s">
        <v>132</v>
      </c>
      <c r="B13" s="7" t="s">
        <v>147</v>
      </c>
      <c r="C13" s="68">
        <f>'Initial MPS'!C135</f>
        <v>1183073.087</v>
      </c>
      <c r="D13" s="68">
        <f>'Initial MPS'!D135</f>
        <v>1139246.777</v>
      </c>
      <c r="E13" s="68">
        <f>'Initial MPS'!E135</f>
        <v>1244725.754</v>
      </c>
      <c r="F13" s="68">
        <f>'Initial MPS'!F135</f>
        <v>2523823.492</v>
      </c>
      <c r="G13" s="68">
        <f>'Initial MPS'!G135</f>
        <v>1078340.742</v>
      </c>
      <c r="H13" s="68">
        <f>'Initial MPS'!H135</f>
        <v>1698913.469</v>
      </c>
      <c r="I13" s="68">
        <f>'Initial MPS'!I135</f>
        <v>1078340.742</v>
      </c>
      <c r="J13" s="68">
        <f>'Initial MPS'!J135</f>
        <v>2063914.408</v>
      </c>
      <c r="K13" s="68">
        <f>'Initial MPS'!K135</f>
        <v>1078340.742</v>
      </c>
      <c r="L13" s="68">
        <f>'Initial MPS'!L135</f>
        <v>1078340.742</v>
      </c>
      <c r="M13" s="68">
        <f>'Initial MPS'!M135</f>
        <v>2012703.075</v>
      </c>
      <c r="N13" s="68">
        <f>'Initial MPS'!N135</f>
        <v>2874238.136</v>
      </c>
      <c r="O13" s="68">
        <f>'Initial MPS'!O135</f>
        <v>1078340.742</v>
      </c>
      <c r="P13" s="73">
        <f>'Initial MPS'!P135</f>
        <v>1078340.742</v>
      </c>
      <c r="R13" s="74"/>
    </row>
    <row r="14" ht="14.25" customHeight="1">
      <c r="A14" s="103" t="s">
        <v>132</v>
      </c>
      <c r="B14" s="7" t="s">
        <v>148</v>
      </c>
      <c r="C14" s="62">
        <f>'max capa per week'!$G$6</f>
        <v>1504800</v>
      </c>
      <c r="D14" s="62">
        <f>'max capa per week'!$G$6</f>
        <v>1504800</v>
      </c>
      <c r="E14" s="62">
        <f>'max capa per week'!$G$6</f>
        <v>1504800</v>
      </c>
      <c r="F14" s="62">
        <f>'max capa per week'!$G$6</f>
        <v>1504800</v>
      </c>
      <c r="G14" s="62">
        <f>'max capa per week'!$G$6</f>
        <v>1504800</v>
      </c>
      <c r="H14" s="62">
        <f>'max capa per week'!$G$6</f>
        <v>1504800</v>
      </c>
      <c r="I14" s="62">
        <f>'max capa per week'!$G$6</f>
        <v>1504800</v>
      </c>
      <c r="J14" s="62">
        <f>'max capa per week'!$G$6</f>
        <v>1504800</v>
      </c>
      <c r="K14" s="62">
        <f>'max capa per week'!$G$6</f>
        <v>1504800</v>
      </c>
      <c r="L14" s="62">
        <f>'max capa per week'!$G$6</f>
        <v>1504800</v>
      </c>
      <c r="M14" s="62">
        <f>'max capa per week'!$G$6</f>
        <v>1504800</v>
      </c>
      <c r="N14" s="62">
        <f>'max capa per week'!$G$6</f>
        <v>1504800</v>
      </c>
      <c r="O14" s="62">
        <f>'max capa per week'!$G$6</f>
        <v>1504800</v>
      </c>
      <c r="P14" s="111">
        <f>'max capa per week'!$G$6</f>
        <v>1504800</v>
      </c>
      <c r="R14" s="71"/>
    </row>
    <row r="15" ht="14.25" customHeight="1">
      <c r="A15" s="103" t="s">
        <v>132</v>
      </c>
      <c r="B15" s="7" t="s">
        <v>149</v>
      </c>
      <c r="C15" s="77">
        <f t="shared" ref="C15:P15" si="10">C13/C14</f>
        <v>0.7861995527</v>
      </c>
      <c r="D15" s="77">
        <f t="shared" si="10"/>
        <v>0.7570752104</v>
      </c>
      <c r="E15" s="77">
        <f t="shared" si="10"/>
        <v>0.8271702245</v>
      </c>
      <c r="F15" s="77">
        <f t="shared" si="10"/>
        <v>1.677182012</v>
      </c>
      <c r="G15" s="77">
        <f t="shared" si="10"/>
        <v>0.7166007055</v>
      </c>
      <c r="H15" s="77">
        <f t="shared" si="10"/>
        <v>1.128996192</v>
      </c>
      <c r="I15" s="77">
        <f t="shared" si="10"/>
        <v>0.7166007055</v>
      </c>
      <c r="J15" s="77">
        <f t="shared" si="10"/>
        <v>1.371553966</v>
      </c>
      <c r="K15" s="77">
        <f t="shared" si="10"/>
        <v>0.7166007055</v>
      </c>
      <c r="L15" s="77">
        <f t="shared" si="10"/>
        <v>0.7166007055</v>
      </c>
      <c r="M15" s="77">
        <f t="shared" si="10"/>
        <v>1.33752198</v>
      </c>
      <c r="N15" s="77">
        <f t="shared" si="10"/>
        <v>1.910046608</v>
      </c>
      <c r="O15" s="77">
        <f t="shared" si="10"/>
        <v>0.7166007055</v>
      </c>
      <c r="P15" s="131">
        <f t="shared" si="10"/>
        <v>0.7166007055</v>
      </c>
      <c r="R15" s="133"/>
    </row>
    <row r="16" ht="14.25" customHeight="1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7" ht="14.25" customHeight="1">
      <c r="A17" s="132" t="s">
        <v>150</v>
      </c>
      <c r="D17" s="71"/>
      <c r="E17" s="71"/>
      <c r="F17" s="71"/>
      <c r="G17" s="71">
        <f>G16*56%/0.016/50/10</f>
        <v>0</v>
      </c>
    </row>
    <row r="18" ht="14.25" customHeight="1">
      <c r="A18" s="127" t="s">
        <v>145</v>
      </c>
      <c r="B18" s="128" t="s">
        <v>146</v>
      </c>
      <c r="C18" s="129">
        <v>16.0</v>
      </c>
      <c r="D18" s="129">
        <v>17.0</v>
      </c>
      <c r="E18" s="129">
        <v>18.0</v>
      </c>
      <c r="F18" s="129">
        <v>19.0</v>
      </c>
      <c r="G18" s="129">
        <v>20.0</v>
      </c>
      <c r="H18" s="129">
        <v>21.0</v>
      </c>
      <c r="I18" s="129">
        <v>22.0</v>
      </c>
      <c r="J18" s="129">
        <v>23.0</v>
      </c>
      <c r="K18" s="129">
        <v>24.0</v>
      </c>
      <c r="L18" s="129">
        <v>25.0</v>
      </c>
      <c r="M18" s="129">
        <v>26.0</v>
      </c>
      <c r="N18" s="129">
        <v>27.0</v>
      </c>
      <c r="O18" s="129">
        <v>28.0</v>
      </c>
      <c r="P18" s="130">
        <v>29.0</v>
      </c>
    </row>
    <row r="19" ht="14.25" customHeight="1">
      <c r="A19" s="103" t="s">
        <v>132</v>
      </c>
      <c r="B19" s="7" t="s">
        <v>147</v>
      </c>
      <c r="C19" s="71">
        <f t="shared" ref="C19:E19" si="11">C20</f>
        <v>2257200</v>
      </c>
      <c r="D19" s="71">
        <f t="shared" si="11"/>
        <v>2257200</v>
      </c>
      <c r="E19" s="71">
        <f t="shared" si="11"/>
        <v>2257200</v>
      </c>
      <c r="F19" s="71">
        <f>F13+(C13-C19)+(D13-D19)+(E13-E19)+(H13-H14)+(J13-J14)+(M13-M14)+(N13-N14)</f>
        <v>1949838.197</v>
      </c>
      <c r="G19" s="71">
        <f t="shared" ref="G19:P19" si="12">IF(G13&lt;=G14,G13,G14)</f>
        <v>1078340.742</v>
      </c>
      <c r="H19" s="71">
        <f t="shared" si="12"/>
        <v>1504800</v>
      </c>
      <c r="I19" s="71">
        <f t="shared" si="12"/>
        <v>1078340.742</v>
      </c>
      <c r="J19" s="71">
        <f t="shared" si="12"/>
        <v>1504800</v>
      </c>
      <c r="K19" s="71">
        <f t="shared" si="12"/>
        <v>1078340.742</v>
      </c>
      <c r="L19" s="71">
        <f t="shared" si="12"/>
        <v>1078340.742</v>
      </c>
      <c r="M19" s="71">
        <f t="shared" si="12"/>
        <v>1504800</v>
      </c>
      <c r="N19" s="71">
        <f t="shared" si="12"/>
        <v>1504800</v>
      </c>
      <c r="O19" s="71">
        <f t="shared" si="12"/>
        <v>1078340.742</v>
      </c>
      <c r="P19" s="71">
        <f t="shared" si="12"/>
        <v>1078340.742</v>
      </c>
      <c r="Q19" s="71"/>
    </row>
    <row r="20" ht="14.25" customHeight="1">
      <c r="A20" s="103" t="s">
        <v>132</v>
      </c>
      <c r="B20" s="7" t="s">
        <v>148</v>
      </c>
      <c r="C20" s="71">
        <f t="shared" ref="C20:F20" si="13">C14*1.5</f>
        <v>2257200</v>
      </c>
      <c r="D20" s="71">
        <f t="shared" si="13"/>
        <v>2257200</v>
      </c>
      <c r="E20" s="71">
        <f t="shared" si="13"/>
        <v>2257200</v>
      </c>
      <c r="F20" s="71">
        <f t="shared" si="13"/>
        <v>2257200</v>
      </c>
      <c r="G20" s="71">
        <f t="shared" ref="G20:P20" si="14">G14</f>
        <v>1504800</v>
      </c>
      <c r="H20" s="71">
        <f t="shared" si="14"/>
        <v>1504800</v>
      </c>
      <c r="I20" s="71">
        <f t="shared" si="14"/>
        <v>1504800</v>
      </c>
      <c r="J20" s="71">
        <f t="shared" si="14"/>
        <v>1504800</v>
      </c>
      <c r="K20" s="71">
        <f t="shared" si="14"/>
        <v>1504800</v>
      </c>
      <c r="L20" s="71">
        <f t="shared" si="14"/>
        <v>1504800</v>
      </c>
      <c r="M20" s="71">
        <f t="shared" si="14"/>
        <v>1504800</v>
      </c>
      <c r="N20" s="71">
        <f t="shared" si="14"/>
        <v>1504800</v>
      </c>
      <c r="O20" s="71">
        <f t="shared" si="14"/>
        <v>1504800</v>
      </c>
      <c r="P20" s="71">
        <f t="shared" si="14"/>
        <v>1504800</v>
      </c>
    </row>
    <row r="21" ht="14.25" customHeight="1">
      <c r="A21" s="103" t="s">
        <v>132</v>
      </c>
      <c r="B21" s="7" t="s">
        <v>149</v>
      </c>
      <c r="C21" s="77">
        <f t="shared" ref="C21:P21" si="15">C19/C20</f>
        <v>1</v>
      </c>
      <c r="D21" s="77">
        <f t="shared" si="15"/>
        <v>1</v>
      </c>
      <c r="E21" s="77">
        <f t="shared" si="15"/>
        <v>1</v>
      </c>
      <c r="F21" s="77">
        <f t="shared" si="15"/>
        <v>0.8638304967</v>
      </c>
      <c r="G21" s="77">
        <f t="shared" si="15"/>
        <v>0.7166007055</v>
      </c>
      <c r="H21" s="77">
        <f t="shared" si="15"/>
        <v>1</v>
      </c>
      <c r="I21" s="77">
        <f t="shared" si="15"/>
        <v>0.7166007055</v>
      </c>
      <c r="J21" s="77">
        <f t="shared" si="15"/>
        <v>1</v>
      </c>
      <c r="K21" s="77">
        <f t="shared" si="15"/>
        <v>0.7166007055</v>
      </c>
      <c r="L21" s="77">
        <f t="shared" si="15"/>
        <v>0.7166007055</v>
      </c>
      <c r="M21" s="77">
        <f t="shared" si="15"/>
        <v>1</v>
      </c>
      <c r="N21" s="77">
        <f t="shared" si="15"/>
        <v>1</v>
      </c>
      <c r="O21" s="77">
        <f t="shared" si="15"/>
        <v>0.7166007055</v>
      </c>
      <c r="P21" s="77">
        <f t="shared" si="15"/>
        <v>0.7166007055</v>
      </c>
    </row>
    <row r="22" ht="14.25" customHeight="1"/>
    <row r="23" ht="14.25" customHeight="1">
      <c r="A23" s="127" t="s">
        <v>145</v>
      </c>
      <c r="B23" s="128" t="s">
        <v>146</v>
      </c>
      <c r="C23" s="129">
        <v>16.0</v>
      </c>
      <c r="D23" s="129">
        <v>17.0</v>
      </c>
      <c r="E23" s="129">
        <v>18.0</v>
      </c>
      <c r="F23" s="129">
        <v>19.0</v>
      </c>
      <c r="G23" s="129">
        <v>20.0</v>
      </c>
      <c r="H23" s="129">
        <v>21.0</v>
      </c>
      <c r="I23" s="129">
        <v>22.0</v>
      </c>
      <c r="J23" s="129">
        <v>23.0</v>
      </c>
      <c r="K23" s="129">
        <v>24.0</v>
      </c>
      <c r="L23" s="129">
        <v>25.0</v>
      </c>
      <c r="M23" s="129">
        <v>26.0</v>
      </c>
      <c r="N23" s="129">
        <v>27.0</v>
      </c>
      <c r="O23" s="129">
        <v>28.0</v>
      </c>
      <c r="P23" s="130">
        <v>29.0</v>
      </c>
    </row>
    <row r="24" ht="14.25" customHeight="1">
      <c r="A24" s="103" t="s">
        <v>151</v>
      </c>
      <c r="B24" s="7" t="s">
        <v>147</v>
      </c>
      <c r="C24" s="71">
        <f>SUM('Initial MPS'!C125:C128)</f>
        <v>979475.7008</v>
      </c>
      <c r="D24" s="71">
        <f>SUM('Initial MPS'!D125:D128)</f>
        <v>979475.7008</v>
      </c>
      <c r="E24" s="71">
        <f>SUM('Initial MPS'!E125:E128)</f>
        <v>979475.7008</v>
      </c>
      <c r="F24" s="71">
        <f>SUM('Initial MPS'!F125:F128)</f>
        <v>2424958.452</v>
      </c>
      <c r="G24" s="71">
        <f>SUM('Initial MPS'!G125:G128)</f>
        <v>979475.7008</v>
      </c>
      <c r="H24" s="71">
        <f>SUM('Initial MPS'!H125:H128)</f>
        <v>1523040.753</v>
      </c>
      <c r="I24" s="71">
        <f>SUM('Initial MPS'!I125:I128)</f>
        <v>979475.7008</v>
      </c>
      <c r="J24" s="71">
        <f>SUM('Initial MPS'!J125:J128)</f>
        <v>1925932.918</v>
      </c>
      <c r="K24" s="71">
        <f>SUM('Initial MPS'!K125:K128)</f>
        <v>979475.7008</v>
      </c>
      <c r="L24" s="71">
        <f>SUM('Initial MPS'!L125:L128)</f>
        <v>979475.7008</v>
      </c>
      <c r="M24" s="71">
        <f>SUM('Initial MPS'!M125:M128)</f>
        <v>1797891.799</v>
      </c>
      <c r="N24" s="71">
        <f>SUM('Initial MPS'!N125:N128)</f>
        <v>2775373.095</v>
      </c>
      <c r="O24" s="71">
        <f>SUM('Initial MPS'!O125:O128)</f>
        <v>979475.7008</v>
      </c>
      <c r="P24" s="71">
        <f>SUM('Initial MPS'!P125:P128)</f>
        <v>979475.7008</v>
      </c>
      <c r="Q24" s="71"/>
    </row>
    <row r="25" ht="14.25" customHeight="1">
      <c r="A25" s="103" t="s">
        <v>151</v>
      </c>
      <c r="B25" s="7" t="s">
        <v>148</v>
      </c>
      <c r="C25" s="71">
        <f>'max capa per week'!$G$10</f>
        <v>1337400</v>
      </c>
      <c r="D25" s="71">
        <f>'max capa per week'!$G$10</f>
        <v>1337400</v>
      </c>
      <c r="E25" s="71">
        <f>'max capa per week'!$G$10</f>
        <v>1337400</v>
      </c>
      <c r="F25" s="71">
        <f>'max capa per week'!$G$10</f>
        <v>1337400</v>
      </c>
      <c r="G25" s="71">
        <f>'max capa per week'!$G$10</f>
        <v>1337400</v>
      </c>
      <c r="H25" s="71">
        <f>'max capa per week'!$G$10</f>
        <v>1337400</v>
      </c>
      <c r="I25" s="71">
        <f>'max capa per week'!$G$10</f>
        <v>1337400</v>
      </c>
      <c r="J25" s="71">
        <f>'max capa per week'!$G$10</f>
        <v>1337400</v>
      </c>
      <c r="K25" s="71">
        <f>'max capa per week'!$G$10</f>
        <v>1337400</v>
      </c>
      <c r="L25" s="71">
        <f>'max capa per week'!$G$10</f>
        <v>1337400</v>
      </c>
      <c r="M25" s="71">
        <f>'max capa per week'!$G$10</f>
        <v>1337400</v>
      </c>
      <c r="N25" s="71">
        <f>'max capa per week'!$G$10</f>
        <v>1337400</v>
      </c>
      <c r="O25" s="71">
        <f>'max capa per week'!$G$10</f>
        <v>1337400</v>
      </c>
      <c r="P25" s="71">
        <f>'max capa per week'!$G$10</f>
        <v>1337400</v>
      </c>
    </row>
    <row r="26" ht="14.25" customHeight="1">
      <c r="A26" s="103" t="s">
        <v>151</v>
      </c>
      <c r="B26" s="7" t="s">
        <v>149</v>
      </c>
      <c r="C26" s="77">
        <f t="shared" ref="C26:P26" si="16">C24/C25</f>
        <v>0.7323730378</v>
      </c>
      <c r="D26" s="77">
        <f t="shared" si="16"/>
        <v>0.7323730378</v>
      </c>
      <c r="E26" s="77">
        <f t="shared" si="16"/>
        <v>0.7323730378</v>
      </c>
      <c r="F26" s="77">
        <f t="shared" si="16"/>
        <v>1.813188613</v>
      </c>
      <c r="G26" s="77">
        <f t="shared" si="16"/>
        <v>0.7323730378</v>
      </c>
      <c r="H26" s="77">
        <f t="shared" si="16"/>
        <v>1.138807203</v>
      </c>
      <c r="I26" s="77">
        <f t="shared" si="16"/>
        <v>0.7323730378</v>
      </c>
      <c r="J26" s="77">
        <f t="shared" si="16"/>
        <v>1.440057513</v>
      </c>
      <c r="K26" s="77">
        <f t="shared" si="16"/>
        <v>0.7323730378</v>
      </c>
      <c r="L26" s="77">
        <f t="shared" si="16"/>
        <v>0.7323730378</v>
      </c>
      <c r="M26" s="77">
        <f t="shared" si="16"/>
        <v>1.344318677</v>
      </c>
      <c r="N26" s="77">
        <f t="shared" si="16"/>
        <v>2.07520046</v>
      </c>
      <c r="O26" s="77">
        <f t="shared" si="16"/>
        <v>0.7323730378</v>
      </c>
      <c r="P26" s="77">
        <f t="shared" si="16"/>
        <v>0.7323730378</v>
      </c>
    </row>
    <row r="27" ht="14.25" customHeight="1">
      <c r="A27" s="103" t="s">
        <v>152</v>
      </c>
      <c r="B27" s="7" t="s">
        <v>147</v>
      </c>
      <c r="C27" s="71">
        <f>SUM('Initial MPS'!C129:C131)-'capacity adjust'!C30</f>
        <v>107706.9015</v>
      </c>
      <c r="D27" s="71">
        <f>SUM('Initial MPS'!D129:D131)-'capacity adjust'!D30</f>
        <v>88974.32942</v>
      </c>
      <c r="E27" s="71">
        <f>SUM('Initial MPS'!E129:E131)-'capacity adjust'!E30</f>
        <v>134058.9494</v>
      </c>
      <c r="F27" s="71">
        <f>SUM('Initial MPS'!F129:F131)</f>
        <v>62941.41258</v>
      </c>
      <c r="G27" s="71">
        <f>SUM('Initial MPS'!G129:G131)</f>
        <v>62941.41258</v>
      </c>
      <c r="H27" s="71">
        <f>SUM('Initial MPS'!H129:H131)</f>
        <v>117063.6225</v>
      </c>
      <c r="I27" s="71">
        <f>SUM('Initial MPS'!I129:I131)</f>
        <v>62941.41258</v>
      </c>
      <c r="J27" s="71">
        <f>SUM('Initial MPS'!J129:J131)</f>
        <v>90433.07045</v>
      </c>
      <c r="K27" s="71">
        <f>SUM('Initial MPS'!K129:K131)</f>
        <v>62941.41258</v>
      </c>
      <c r="L27" s="71">
        <f>SUM('Initial MPS'!L129:L131)</f>
        <v>62941.41258</v>
      </c>
      <c r="M27" s="71">
        <f>SUM('Initial MPS'!M129:M131)</f>
        <v>144430.2568</v>
      </c>
      <c r="N27" s="71">
        <f>SUM('Initial MPS'!N129:N131)</f>
        <v>62941.41258</v>
      </c>
      <c r="O27" s="71">
        <f>SUM('Initial MPS'!O129:O131)</f>
        <v>62941.41258</v>
      </c>
      <c r="P27" s="71">
        <f>SUM('Initial MPS'!P129:P131)</f>
        <v>62941.41258</v>
      </c>
      <c r="Q27" s="71"/>
    </row>
    <row r="28" ht="14.25" customHeight="1">
      <c r="A28" s="103" t="s">
        <v>152</v>
      </c>
      <c r="B28" s="7" t="s">
        <v>148</v>
      </c>
      <c r="C28" s="71">
        <f>'max capa per week'!$G$13</f>
        <v>103680</v>
      </c>
      <c r="D28" s="71">
        <f>'max capa per week'!$G$13</f>
        <v>103680</v>
      </c>
      <c r="E28" s="71">
        <f>'max capa per week'!$G$13</f>
        <v>103680</v>
      </c>
      <c r="F28" s="71">
        <f>'max capa per week'!$G$13</f>
        <v>103680</v>
      </c>
      <c r="G28" s="71">
        <f>'max capa per week'!$G$13</f>
        <v>103680</v>
      </c>
      <c r="H28" s="71">
        <f>'max capa per week'!$G$13</f>
        <v>103680</v>
      </c>
      <c r="I28" s="71">
        <f>'max capa per week'!$G$13</f>
        <v>103680</v>
      </c>
      <c r="J28" s="71">
        <f>'max capa per week'!$G$13</f>
        <v>103680</v>
      </c>
      <c r="K28" s="71">
        <f>'max capa per week'!$G$13</f>
        <v>103680</v>
      </c>
      <c r="L28" s="71">
        <f>'max capa per week'!$G$13</f>
        <v>103680</v>
      </c>
      <c r="M28" s="71">
        <f>'max capa per week'!$G$13</f>
        <v>103680</v>
      </c>
      <c r="N28" s="71">
        <f>'max capa per week'!$G$13</f>
        <v>103680</v>
      </c>
      <c r="O28" s="71">
        <f>'max capa per week'!$G$13</f>
        <v>103680</v>
      </c>
      <c r="P28" s="71">
        <f>'max capa per week'!$G$13</f>
        <v>103680</v>
      </c>
    </row>
    <row r="29" ht="14.25" customHeight="1">
      <c r="A29" s="103" t="s">
        <v>152</v>
      </c>
      <c r="B29" s="7" t="s">
        <v>149</v>
      </c>
      <c r="C29" s="77">
        <f t="shared" ref="C29:P29" si="17">C27/C28</f>
        <v>1.038839713</v>
      </c>
      <c r="D29" s="77">
        <f t="shared" si="17"/>
        <v>0.8581628995</v>
      </c>
      <c r="E29" s="77">
        <f t="shared" si="17"/>
        <v>1.293006842</v>
      </c>
      <c r="F29" s="77">
        <f t="shared" si="17"/>
        <v>0.6070738096</v>
      </c>
      <c r="G29" s="77">
        <f t="shared" si="17"/>
        <v>0.6070738096</v>
      </c>
      <c r="H29" s="77">
        <f t="shared" si="17"/>
        <v>1.129085865</v>
      </c>
      <c r="I29" s="77">
        <f t="shared" si="17"/>
        <v>0.6070738096</v>
      </c>
      <c r="J29" s="77">
        <f t="shared" si="17"/>
        <v>0.8722325468</v>
      </c>
      <c r="K29" s="77">
        <f t="shared" si="17"/>
        <v>0.6070738096</v>
      </c>
      <c r="L29" s="77">
        <f t="shared" si="17"/>
        <v>0.6070738096</v>
      </c>
      <c r="M29" s="77">
        <f t="shared" si="17"/>
        <v>1.393038743</v>
      </c>
      <c r="N29" s="77">
        <f t="shared" si="17"/>
        <v>0.6070738096</v>
      </c>
      <c r="O29" s="77">
        <f t="shared" si="17"/>
        <v>0.6070738096</v>
      </c>
      <c r="P29" s="77">
        <f t="shared" si="17"/>
        <v>0.6070738096</v>
      </c>
    </row>
    <row r="30" ht="14.25" customHeight="1">
      <c r="A30" s="90" t="s">
        <v>153</v>
      </c>
      <c r="B30" s="7" t="s">
        <v>147</v>
      </c>
      <c r="C30" s="71">
        <f>SUM('Initial MPS'!D38,'Initial MPS'!D46,'Initial MPS'!D54)</f>
        <v>42440.00894</v>
      </c>
      <c r="D30" s="71">
        <f>SUM('Initial MPS'!E38,'Initial MPS'!E46,'Initial MPS'!E54)</f>
        <v>24680.55753</v>
      </c>
      <c r="E30" s="71">
        <f>SUM('Initial MPS'!F38,'Initial MPS'!F46,'Initial MPS'!F54)</f>
        <v>67423.11931</v>
      </c>
      <c r="F30" s="71">
        <v>0.0</v>
      </c>
      <c r="G30" s="71">
        <v>0.0</v>
      </c>
      <c r="H30" s="71">
        <v>0.0</v>
      </c>
      <c r="I30" s="71">
        <v>0.0</v>
      </c>
      <c r="J30" s="71">
        <v>0.0</v>
      </c>
      <c r="K30" s="71">
        <v>0.0</v>
      </c>
      <c r="L30" s="71">
        <v>0.0</v>
      </c>
      <c r="M30" s="71">
        <v>0.0</v>
      </c>
      <c r="N30" s="71">
        <v>0.0</v>
      </c>
      <c r="O30" s="71">
        <v>0.0</v>
      </c>
      <c r="P30" s="71">
        <v>0.0</v>
      </c>
    </row>
    <row r="31" ht="14.25" customHeight="1">
      <c r="A31" s="90" t="s">
        <v>153</v>
      </c>
      <c r="B31" s="7" t="s">
        <v>148</v>
      </c>
      <c r="C31" s="71">
        <v>0.0</v>
      </c>
      <c r="D31" s="71">
        <v>0.0</v>
      </c>
      <c r="E31" s="71">
        <v>0.0</v>
      </c>
      <c r="F31" s="71">
        <v>0.0</v>
      </c>
      <c r="G31" s="71">
        <v>0.0</v>
      </c>
      <c r="H31" s="71">
        <v>0.0</v>
      </c>
      <c r="I31" s="71">
        <v>0.0</v>
      </c>
      <c r="J31" s="71">
        <v>0.0</v>
      </c>
      <c r="K31" s="71">
        <v>0.0</v>
      </c>
      <c r="L31" s="71">
        <v>0.0</v>
      </c>
      <c r="M31" s="71">
        <v>0.0</v>
      </c>
      <c r="N31" s="71">
        <v>0.0</v>
      </c>
      <c r="O31" s="71">
        <v>0.0</v>
      </c>
      <c r="P31" s="71">
        <v>0.0</v>
      </c>
    </row>
    <row r="32" ht="14.25" customHeight="1">
      <c r="A32" s="90" t="s">
        <v>153</v>
      </c>
      <c r="B32" s="7" t="s">
        <v>149</v>
      </c>
      <c r="C32" s="77" t="str">
        <f t="shared" ref="C32:P32" si="18">C30/C31</f>
        <v>#DIV/0!</v>
      </c>
      <c r="D32" s="77" t="str">
        <f t="shared" si="18"/>
        <v>#DIV/0!</v>
      </c>
      <c r="E32" s="77" t="str">
        <f t="shared" si="18"/>
        <v>#DIV/0!</v>
      </c>
      <c r="F32" s="134" t="str">
        <f t="shared" si="18"/>
        <v>#DIV/0!</v>
      </c>
      <c r="G32" s="134" t="str">
        <f t="shared" si="18"/>
        <v>#DIV/0!</v>
      </c>
      <c r="H32" s="134" t="str">
        <f t="shared" si="18"/>
        <v>#DIV/0!</v>
      </c>
      <c r="I32" s="134" t="str">
        <f t="shared" si="18"/>
        <v>#DIV/0!</v>
      </c>
      <c r="J32" s="134" t="str">
        <f t="shared" si="18"/>
        <v>#DIV/0!</v>
      </c>
      <c r="K32" s="134" t="str">
        <f t="shared" si="18"/>
        <v>#DIV/0!</v>
      </c>
      <c r="L32" s="134" t="str">
        <f t="shared" si="18"/>
        <v>#DIV/0!</v>
      </c>
      <c r="M32" s="134" t="str">
        <f t="shared" si="18"/>
        <v>#DIV/0!</v>
      </c>
      <c r="N32" s="134" t="str">
        <f t="shared" si="18"/>
        <v>#DIV/0!</v>
      </c>
      <c r="O32" s="134" t="str">
        <f t="shared" si="18"/>
        <v>#DIV/0!</v>
      </c>
      <c r="P32" s="134" t="str">
        <f t="shared" si="18"/>
        <v>#DIV/0!</v>
      </c>
    </row>
    <row r="33" ht="14.25" customHeight="1">
      <c r="C33" s="71"/>
      <c r="D33" s="71"/>
      <c r="E33" s="71"/>
    </row>
    <row r="34" ht="14.25" customHeight="1">
      <c r="A34" s="132" t="s">
        <v>150</v>
      </c>
    </row>
    <row r="35" ht="14.25" customHeight="1">
      <c r="A35" s="127" t="s">
        <v>145</v>
      </c>
      <c r="B35" s="128" t="s">
        <v>146</v>
      </c>
      <c r="C35" s="129">
        <v>16.0</v>
      </c>
      <c r="D35" s="129">
        <v>17.0</v>
      </c>
      <c r="E35" s="129">
        <v>18.0</v>
      </c>
      <c r="F35" s="129">
        <v>19.0</v>
      </c>
      <c r="G35" s="129">
        <v>20.0</v>
      </c>
      <c r="H35" s="129">
        <v>21.0</v>
      </c>
      <c r="I35" s="129">
        <v>22.0</v>
      </c>
      <c r="J35" s="129">
        <v>23.0</v>
      </c>
      <c r="K35" s="129">
        <v>24.0</v>
      </c>
      <c r="L35" s="129">
        <v>25.0</v>
      </c>
      <c r="M35" s="129">
        <v>26.0</v>
      </c>
      <c r="N35" s="129">
        <v>27.0</v>
      </c>
      <c r="O35" s="129">
        <v>28.0</v>
      </c>
      <c r="P35" s="130">
        <v>29.0</v>
      </c>
    </row>
    <row r="36" ht="14.25" customHeight="1">
      <c r="A36" s="103" t="s">
        <v>151</v>
      </c>
      <c r="B36" s="7" t="s">
        <v>147</v>
      </c>
      <c r="C36" s="62">
        <f t="shared" ref="C36:D36" si="19">C37</f>
        <v>2006100</v>
      </c>
      <c r="D36" s="62">
        <f t="shared" si="19"/>
        <v>2006100</v>
      </c>
      <c r="E36" s="62">
        <v>2006100.0</v>
      </c>
      <c r="F36" s="62">
        <f>E36</f>
        <v>2006100</v>
      </c>
      <c r="G36" s="71">
        <f>G24+(C24-C37)+(D24-D37)+(E24-E37)+(F24-F37)+(H24-H25)+(J24-J25)+(M24-M25)+(N24-N25)</f>
        <v>991099.8195</v>
      </c>
      <c r="H36" s="62">
        <f t="shared" ref="H36:P36" si="20">IF(H24&gt;=H25,H25,H24)</f>
        <v>1337400</v>
      </c>
      <c r="I36" s="62">
        <f t="shared" si="20"/>
        <v>979475.7008</v>
      </c>
      <c r="J36" s="62">
        <f t="shared" si="20"/>
        <v>1337400</v>
      </c>
      <c r="K36" s="62">
        <f t="shared" si="20"/>
        <v>979475.7008</v>
      </c>
      <c r="L36" s="62">
        <f t="shared" si="20"/>
        <v>979475.7008</v>
      </c>
      <c r="M36" s="62">
        <f t="shared" si="20"/>
        <v>1337400</v>
      </c>
      <c r="N36" s="62">
        <f t="shared" si="20"/>
        <v>1337400</v>
      </c>
      <c r="O36" s="62">
        <f t="shared" si="20"/>
        <v>979475.7008</v>
      </c>
      <c r="P36" s="62">
        <f t="shared" si="20"/>
        <v>979475.7008</v>
      </c>
      <c r="Q36" s="71"/>
    </row>
    <row r="37" ht="14.25" customHeight="1">
      <c r="A37" s="103" t="s">
        <v>151</v>
      </c>
      <c r="B37" s="7" t="s">
        <v>148</v>
      </c>
      <c r="C37" s="62">
        <f>C25*1.5</f>
        <v>2006100</v>
      </c>
      <c r="D37" s="62">
        <f t="shared" ref="D37:F37" si="21">C37</f>
        <v>2006100</v>
      </c>
      <c r="E37" s="62">
        <f t="shared" si="21"/>
        <v>2006100</v>
      </c>
      <c r="F37" s="62">
        <f t="shared" si="21"/>
        <v>2006100</v>
      </c>
      <c r="G37" s="71">
        <f>'max capa per week'!$G$10</f>
        <v>1337400</v>
      </c>
      <c r="H37" s="62">
        <f t="shared" ref="H37:P37" si="22">H25</f>
        <v>1337400</v>
      </c>
      <c r="I37" s="62">
        <f t="shared" si="22"/>
        <v>1337400</v>
      </c>
      <c r="J37" s="62">
        <f t="shared" si="22"/>
        <v>1337400</v>
      </c>
      <c r="K37" s="62">
        <f t="shared" si="22"/>
        <v>1337400</v>
      </c>
      <c r="L37" s="62">
        <f t="shared" si="22"/>
        <v>1337400</v>
      </c>
      <c r="M37" s="62">
        <f t="shared" si="22"/>
        <v>1337400</v>
      </c>
      <c r="N37" s="62">
        <f t="shared" si="22"/>
        <v>1337400</v>
      </c>
      <c r="O37" s="62">
        <f t="shared" si="22"/>
        <v>1337400</v>
      </c>
      <c r="P37" s="62">
        <f t="shared" si="22"/>
        <v>1337400</v>
      </c>
    </row>
    <row r="38" ht="14.25" customHeight="1">
      <c r="A38" s="103" t="s">
        <v>151</v>
      </c>
      <c r="B38" s="7" t="s">
        <v>149</v>
      </c>
      <c r="C38" s="77">
        <f t="shared" ref="C38:P38" si="23">C36/C37</f>
        <v>1</v>
      </c>
      <c r="D38" s="77">
        <f t="shared" si="23"/>
        <v>1</v>
      </c>
      <c r="E38" s="77">
        <f t="shared" si="23"/>
        <v>1</v>
      </c>
      <c r="F38" s="77">
        <f t="shared" si="23"/>
        <v>1</v>
      </c>
      <c r="G38" s="77">
        <f t="shared" si="23"/>
        <v>0.7410646175</v>
      </c>
      <c r="H38" s="77">
        <f t="shared" si="23"/>
        <v>1</v>
      </c>
      <c r="I38" s="77">
        <f t="shared" si="23"/>
        <v>0.7323730378</v>
      </c>
      <c r="J38" s="77">
        <f t="shared" si="23"/>
        <v>1</v>
      </c>
      <c r="K38" s="77">
        <f t="shared" si="23"/>
        <v>0.7323730378</v>
      </c>
      <c r="L38" s="77">
        <f t="shared" si="23"/>
        <v>0.7323730378</v>
      </c>
      <c r="M38" s="77">
        <f t="shared" si="23"/>
        <v>1</v>
      </c>
      <c r="N38" s="77">
        <f t="shared" si="23"/>
        <v>1</v>
      </c>
      <c r="O38" s="77">
        <f t="shared" si="23"/>
        <v>0.7323730378</v>
      </c>
      <c r="P38" s="77">
        <f t="shared" si="23"/>
        <v>0.7323730378</v>
      </c>
    </row>
    <row r="39" ht="14.25" customHeight="1">
      <c r="A39" s="103" t="s">
        <v>152</v>
      </c>
      <c r="B39" s="7" t="s">
        <v>147</v>
      </c>
      <c r="C39" s="62">
        <f t="shared" ref="C39:D39" si="24">C40</f>
        <v>103680</v>
      </c>
      <c r="D39" s="62">
        <f t="shared" si="24"/>
        <v>103680</v>
      </c>
      <c r="E39" s="62">
        <f>E28</f>
        <v>103680</v>
      </c>
      <c r="F39" s="62">
        <f t="shared" ref="F39:G39" si="25">F27+(($C$27-$C$28)+($D$27-$D$28)+($E$27-$E$28)+($H$27-$H$28))/2</f>
        <v>79483.31395</v>
      </c>
      <c r="G39" s="62">
        <f t="shared" si="25"/>
        <v>79483.31395</v>
      </c>
      <c r="H39" s="62">
        <f>H28</f>
        <v>103680</v>
      </c>
      <c r="I39" s="62">
        <f t="shared" ref="I39:L39" si="26">I27+($M$27-$M$28)/4</f>
        <v>73128.97678</v>
      </c>
      <c r="J39" s="62">
        <f t="shared" si="26"/>
        <v>100620.6347</v>
      </c>
      <c r="K39" s="62">
        <f t="shared" si="26"/>
        <v>73128.97678</v>
      </c>
      <c r="L39" s="62">
        <f t="shared" si="26"/>
        <v>73128.97678</v>
      </c>
      <c r="M39" s="62">
        <f>M28</f>
        <v>103680</v>
      </c>
      <c r="N39" s="62">
        <v>62941.412575204435</v>
      </c>
      <c r="O39" s="62">
        <v>62941.412575204435</v>
      </c>
      <c r="P39" s="62">
        <v>62941.412575204435</v>
      </c>
      <c r="Q39" s="71"/>
    </row>
    <row r="40" ht="14.25" customHeight="1">
      <c r="A40" s="103" t="s">
        <v>152</v>
      </c>
      <c r="B40" s="7" t="s">
        <v>148</v>
      </c>
      <c r="C40" s="71">
        <f>'max capa per week'!$G$13</f>
        <v>103680</v>
      </c>
      <c r="D40" s="71">
        <f>'max capa per week'!$G$13</f>
        <v>103680</v>
      </c>
      <c r="E40" s="71">
        <f>'max capa per week'!$G$13</f>
        <v>103680</v>
      </c>
      <c r="F40" s="71">
        <f>'max capa per week'!$G$13</f>
        <v>103680</v>
      </c>
      <c r="G40" s="71">
        <f>'max capa per week'!$G$13</f>
        <v>103680</v>
      </c>
      <c r="H40" s="71">
        <f>'max capa per week'!$G$13</f>
        <v>103680</v>
      </c>
      <c r="I40" s="71">
        <f>'max capa per week'!$G$13</f>
        <v>103680</v>
      </c>
      <c r="J40" s="71">
        <f>'max capa per week'!$G$13</f>
        <v>103680</v>
      </c>
      <c r="K40" s="71">
        <f>'max capa per week'!$G$13</f>
        <v>103680</v>
      </c>
      <c r="L40" s="71">
        <f>'max capa per week'!$G$13</f>
        <v>103680</v>
      </c>
      <c r="M40" s="71">
        <f>'max capa per week'!$G$13</f>
        <v>103680</v>
      </c>
      <c r="N40" s="71">
        <f>'max capa per week'!$G$13</f>
        <v>103680</v>
      </c>
      <c r="O40" s="71">
        <f>'max capa per week'!$G$13</f>
        <v>103680</v>
      </c>
      <c r="P40" s="71">
        <f>'max capa per week'!$G$13</f>
        <v>103680</v>
      </c>
    </row>
    <row r="41" ht="14.25" customHeight="1">
      <c r="A41" s="103" t="s">
        <v>152</v>
      </c>
      <c r="B41" s="7" t="s">
        <v>149</v>
      </c>
      <c r="C41" s="77">
        <f t="shared" ref="C41:P41" si="27">C39/C40</f>
        <v>1</v>
      </c>
      <c r="D41" s="77">
        <f t="shared" si="27"/>
        <v>1</v>
      </c>
      <c r="E41" s="77">
        <f t="shared" si="27"/>
        <v>1</v>
      </c>
      <c r="F41" s="77">
        <f t="shared" si="27"/>
        <v>0.7666214694</v>
      </c>
      <c r="G41" s="77">
        <f t="shared" si="27"/>
        <v>0.7666214694</v>
      </c>
      <c r="H41" s="77">
        <f t="shared" si="27"/>
        <v>1</v>
      </c>
      <c r="I41" s="77">
        <f t="shared" si="27"/>
        <v>0.7053334952</v>
      </c>
      <c r="J41" s="77">
        <f t="shared" si="27"/>
        <v>0.9704922324</v>
      </c>
      <c r="K41" s="77">
        <f t="shared" si="27"/>
        <v>0.7053334952</v>
      </c>
      <c r="L41" s="77">
        <f t="shared" si="27"/>
        <v>0.7053334952</v>
      </c>
      <c r="M41" s="77">
        <f t="shared" si="27"/>
        <v>1</v>
      </c>
      <c r="N41" s="77">
        <f t="shared" si="27"/>
        <v>0.6070738096</v>
      </c>
      <c r="O41" s="77">
        <f t="shared" si="27"/>
        <v>0.6070738096</v>
      </c>
      <c r="P41" s="77">
        <f t="shared" si="27"/>
        <v>0.6070738096</v>
      </c>
    </row>
    <row r="42" ht="14.25" customHeight="1">
      <c r="A42" s="103" t="s">
        <v>152</v>
      </c>
      <c r="B42" s="7" t="s">
        <v>147</v>
      </c>
      <c r="C42" s="62">
        <f t="shared" ref="C42:P42" si="28">C30</f>
        <v>42440.00894</v>
      </c>
      <c r="D42" s="62">
        <f t="shared" si="28"/>
        <v>24680.55753</v>
      </c>
      <c r="E42" s="62">
        <f t="shared" si="28"/>
        <v>67423.11931</v>
      </c>
      <c r="F42" s="62">
        <f t="shared" si="28"/>
        <v>0</v>
      </c>
      <c r="G42" s="62">
        <f t="shared" si="28"/>
        <v>0</v>
      </c>
      <c r="H42" s="62">
        <f t="shared" si="28"/>
        <v>0</v>
      </c>
      <c r="I42" s="62">
        <f t="shared" si="28"/>
        <v>0</v>
      </c>
      <c r="J42" s="62">
        <f t="shared" si="28"/>
        <v>0</v>
      </c>
      <c r="K42" s="62">
        <f t="shared" si="28"/>
        <v>0</v>
      </c>
      <c r="L42" s="62">
        <f t="shared" si="28"/>
        <v>0</v>
      </c>
      <c r="M42" s="62">
        <f t="shared" si="28"/>
        <v>0</v>
      </c>
      <c r="N42" s="62">
        <f t="shared" si="28"/>
        <v>0</v>
      </c>
      <c r="O42" s="62">
        <f t="shared" si="28"/>
        <v>0</v>
      </c>
      <c r="P42" s="62">
        <f t="shared" si="28"/>
        <v>0</v>
      </c>
    </row>
    <row r="43" ht="14.25" customHeight="1">
      <c r="A43" s="103" t="s">
        <v>152</v>
      </c>
      <c r="B43" s="7" t="s">
        <v>148</v>
      </c>
      <c r="C43" s="62">
        <f t="shared" ref="C43:E43" si="29">C28</f>
        <v>103680</v>
      </c>
      <c r="D43" s="62">
        <f t="shared" si="29"/>
        <v>103680</v>
      </c>
      <c r="E43" s="62">
        <f t="shared" si="29"/>
        <v>103680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0.0</v>
      </c>
    </row>
    <row r="44" ht="14.25" customHeight="1">
      <c r="A44" s="103" t="s">
        <v>152</v>
      </c>
      <c r="B44" s="7" t="s">
        <v>149</v>
      </c>
      <c r="C44" s="77">
        <f t="shared" ref="C44:P44" si="30">C42/C43</f>
        <v>0.409336506</v>
      </c>
      <c r="D44" s="77">
        <f t="shared" si="30"/>
        <v>0.2380455008</v>
      </c>
      <c r="E44" s="77">
        <f t="shared" si="30"/>
        <v>0.6503001477</v>
      </c>
      <c r="F44" s="135" t="str">
        <f t="shared" si="30"/>
        <v>#DIV/0!</v>
      </c>
      <c r="G44" s="135" t="str">
        <f t="shared" si="30"/>
        <v>#DIV/0!</v>
      </c>
      <c r="H44" s="135" t="str">
        <f t="shared" si="30"/>
        <v>#DIV/0!</v>
      </c>
      <c r="I44" s="135" t="str">
        <f t="shared" si="30"/>
        <v>#DIV/0!</v>
      </c>
      <c r="J44" s="135" t="str">
        <f t="shared" si="30"/>
        <v>#DIV/0!</v>
      </c>
      <c r="K44" s="135" t="str">
        <f t="shared" si="30"/>
        <v>#DIV/0!</v>
      </c>
      <c r="L44" s="135" t="str">
        <f t="shared" si="30"/>
        <v>#DIV/0!</v>
      </c>
      <c r="M44" s="135" t="str">
        <f t="shared" si="30"/>
        <v>#DIV/0!</v>
      </c>
      <c r="N44" s="135" t="str">
        <f t="shared" si="30"/>
        <v>#DIV/0!</v>
      </c>
      <c r="O44" s="135" t="str">
        <f t="shared" si="30"/>
        <v>#DIV/0!</v>
      </c>
      <c r="P44" s="135" t="str">
        <f t="shared" si="30"/>
        <v>#DIV/0!</v>
      </c>
    </row>
    <row r="45" ht="14.25" customHeight="1"/>
    <row r="46" ht="14.25" customHeight="1"/>
    <row r="47" ht="14.25" customHeight="1">
      <c r="A47" s="127" t="s">
        <v>145</v>
      </c>
      <c r="B47" s="128" t="s">
        <v>146</v>
      </c>
      <c r="C47" s="129">
        <v>16.0</v>
      </c>
      <c r="D47" s="129">
        <v>17.0</v>
      </c>
      <c r="E47" s="129">
        <v>18.0</v>
      </c>
      <c r="F47" s="129">
        <v>19.0</v>
      </c>
      <c r="G47" s="129">
        <v>20.0</v>
      </c>
      <c r="H47" s="129">
        <v>21.0</v>
      </c>
      <c r="I47" s="129">
        <v>22.0</v>
      </c>
      <c r="J47" s="129">
        <v>23.0</v>
      </c>
      <c r="K47" s="129">
        <v>24.0</v>
      </c>
      <c r="L47" s="129">
        <v>25.0</v>
      </c>
      <c r="M47" s="129">
        <v>26.0</v>
      </c>
      <c r="N47" s="129">
        <v>27.0</v>
      </c>
      <c r="O47" s="129">
        <v>28.0</v>
      </c>
      <c r="P47" s="130">
        <v>29.0</v>
      </c>
    </row>
    <row r="48" ht="14.25" customHeight="1">
      <c r="A48" s="103" t="s">
        <v>154</v>
      </c>
      <c r="B48" s="7" t="s">
        <v>147</v>
      </c>
      <c r="C48" s="62">
        <v>979475.700801116</v>
      </c>
      <c r="D48" s="62">
        <v>979475.700801116</v>
      </c>
      <c r="E48" s="62">
        <v>979475.700801116</v>
      </c>
      <c r="F48" s="62">
        <v>2424958.4515341776</v>
      </c>
      <c r="G48" s="62">
        <v>979475.700801116</v>
      </c>
      <c r="H48" s="62">
        <v>1523040.752780076</v>
      </c>
      <c r="I48" s="62">
        <v>979475.700801116</v>
      </c>
      <c r="J48" s="62">
        <v>1925932.917913594</v>
      </c>
      <c r="K48" s="62">
        <v>979475.700801116</v>
      </c>
      <c r="L48" s="62">
        <v>979475.700801116</v>
      </c>
      <c r="M48" s="62">
        <v>1797891.7990257149</v>
      </c>
      <c r="N48" s="62">
        <v>2775373.0950243743</v>
      </c>
      <c r="O48" s="62">
        <v>979475.700801116</v>
      </c>
      <c r="P48" s="62">
        <v>979475.700801116</v>
      </c>
      <c r="Q48" s="71"/>
    </row>
    <row r="49" ht="14.25" customHeight="1">
      <c r="A49" s="103" t="s">
        <v>154</v>
      </c>
      <c r="B49" s="7" t="s">
        <v>148</v>
      </c>
      <c r="C49" s="62">
        <v>1382400.0</v>
      </c>
      <c r="D49" s="62">
        <v>1382400.0</v>
      </c>
      <c r="E49" s="62">
        <v>1382400.0</v>
      </c>
      <c r="F49" s="62">
        <v>1382400.0</v>
      </c>
      <c r="G49" s="62">
        <v>1382400.0</v>
      </c>
      <c r="H49" s="62">
        <v>1382400.0</v>
      </c>
      <c r="I49" s="62">
        <v>1382400.0</v>
      </c>
      <c r="J49" s="62">
        <v>1382400.0</v>
      </c>
      <c r="K49" s="62">
        <v>1382400.0</v>
      </c>
      <c r="L49" s="62">
        <v>1382400.0</v>
      </c>
      <c r="M49" s="62">
        <v>1382400.0</v>
      </c>
      <c r="N49" s="62">
        <v>1382400.0</v>
      </c>
      <c r="O49" s="62">
        <v>1382400.0</v>
      </c>
      <c r="P49" s="62">
        <v>1382400.0</v>
      </c>
    </row>
    <row r="50" ht="14.25" customHeight="1">
      <c r="A50" s="103" t="s">
        <v>154</v>
      </c>
      <c r="B50" s="7" t="s">
        <v>149</v>
      </c>
      <c r="C50" s="77">
        <v>0.7085327696767331</v>
      </c>
      <c r="D50" s="77">
        <v>0.7085327696767331</v>
      </c>
      <c r="E50" s="77">
        <v>0.7085327696767331</v>
      </c>
      <c r="F50" s="77">
        <v>1.7541655465380337</v>
      </c>
      <c r="G50" s="77">
        <v>0.7085327696767331</v>
      </c>
      <c r="H50" s="77">
        <v>1.1017366556568837</v>
      </c>
      <c r="I50" s="77">
        <v>0.7085327696767331</v>
      </c>
      <c r="J50" s="77">
        <v>1.3931806408518477</v>
      </c>
      <c r="K50" s="77">
        <v>0.7085327696767331</v>
      </c>
      <c r="L50" s="77">
        <v>0.7085327696767331</v>
      </c>
      <c r="M50" s="77">
        <v>1.3005583036933703</v>
      </c>
      <c r="N50" s="77">
        <v>2.0076483615627705</v>
      </c>
      <c r="O50" s="77">
        <v>0.7085327696767331</v>
      </c>
      <c r="P50" s="77">
        <v>0.7085327696767331</v>
      </c>
    </row>
    <row r="51" ht="14.25" customHeight="1"/>
    <row r="52" ht="14.25" customHeight="1">
      <c r="A52" s="132" t="s">
        <v>150</v>
      </c>
    </row>
    <row r="53" ht="14.25" customHeight="1">
      <c r="A53" s="127" t="s">
        <v>145</v>
      </c>
      <c r="B53" s="128" t="s">
        <v>146</v>
      </c>
      <c r="C53" s="129">
        <v>16.0</v>
      </c>
      <c r="D53" s="129">
        <v>17.0</v>
      </c>
      <c r="E53" s="129">
        <v>18.0</v>
      </c>
      <c r="F53" s="129">
        <v>19.0</v>
      </c>
      <c r="G53" s="129">
        <v>20.0</v>
      </c>
      <c r="H53" s="129">
        <v>21.0</v>
      </c>
      <c r="I53" s="129">
        <v>22.0</v>
      </c>
      <c r="J53" s="129">
        <v>23.0</v>
      </c>
      <c r="K53" s="129">
        <v>24.0</v>
      </c>
      <c r="L53" s="129">
        <v>25.0</v>
      </c>
      <c r="M53" s="129">
        <v>26.0</v>
      </c>
      <c r="N53" s="129">
        <v>27.0</v>
      </c>
      <c r="O53" s="129">
        <v>28.0</v>
      </c>
      <c r="P53" s="130">
        <v>29.0</v>
      </c>
    </row>
    <row r="54" ht="14.25" customHeight="1">
      <c r="A54" s="103" t="s">
        <v>154</v>
      </c>
      <c r="B54" s="7" t="s">
        <v>147</v>
      </c>
      <c r="C54" s="62">
        <v>2073600.0</v>
      </c>
      <c r="D54" s="101">
        <v>2073600.0</v>
      </c>
      <c r="E54" s="101">
        <v>2073600.0</v>
      </c>
      <c r="F54" s="101">
        <v>2073600.0</v>
      </c>
      <c r="G54" s="62">
        <f>(C48-C54)+(D48-D54)+(E48-E54)+(F48-F54)+(H48-H49)+(J48-+J49)+(M48-M49)+(N48-N49)+G48</f>
        <v>541099.8195</v>
      </c>
      <c r="H54" s="62">
        <f t="shared" ref="H54:P54" si="31">IF(H48&lt;=H49,H48,H49)</f>
        <v>1382400</v>
      </c>
      <c r="I54" s="62">
        <f t="shared" si="31"/>
        <v>979475.7008</v>
      </c>
      <c r="J54" s="62">
        <f t="shared" si="31"/>
        <v>1382400</v>
      </c>
      <c r="K54" s="62">
        <f t="shared" si="31"/>
        <v>979475.7008</v>
      </c>
      <c r="L54" s="62">
        <f t="shared" si="31"/>
        <v>979475.7008</v>
      </c>
      <c r="M54" s="62">
        <f t="shared" si="31"/>
        <v>1382400</v>
      </c>
      <c r="N54" s="62">
        <f t="shared" si="31"/>
        <v>1382400</v>
      </c>
      <c r="O54" s="62">
        <f t="shared" si="31"/>
        <v>979475.7008</v>
      </c>
      <c r="P54" s="62">
        <f t="shared" si="31"/>
        <v>979475.7008</v>
      </c>
      <c r="Q54" s="71"/>
    </row>
    <row r="55" ht="14.25" customHeight="1">
      <c r="A55" s="103" t="s">
        <v>154</v>
      </c>
      <c r="B55" s="7" t="s">
        <v>148</v>
      </c>
      <c r="C55" s="62">
        <f t="shared" ref="C55:D55" si="32">C49*1.5</f>
        <v>2073600</v>
      </c>
      <c r="D55" s="62">
        <f t="shared" si="32"/>
        <v>2073600</v>
      </c>
      <c r="E55" s="101">
        <v>2073600.0</v>
      </c>
      <c r="F55" s="101">
        <v>2073600.0</v>
      </c>
      <c r="G55" s="62">
        <f t="shared" ref="G55:P55" si="33">G49</f>
        <v>1382400</v>
      </c>
      <c r="H55" s="62">
        <f t="shared" si="33"/>
        <v>1382400</v>
      </c>
      <c r="I55" s="62">
        <f t="shared" si="33"/>
        <v>1382400</v>
      </c>
      <c r="J55" s="62">
        <f t="shared" si="33"/>
        <v>1382400</v>
      </c>
      <c r="K55" s="62">
        <f t="shared" si="33"/>
        <v>1382400</v>
      </c>
      <c r="L55" s="62">
        <f t="shared" si="33"/>
        <v>1382400</v>
      </c>
      <c r="M55" s="62">
        <f t="shared" si="33"/>
        <v>1382400</v>
      </c>
      <c r="N55" s="62">
        <f t="shared" si="33"/>
        <v>1382400</v>
      </c>
      <c r="O55" s="62">
        <f t="shared" si="33"/>
        <v>1382400</v>
      </c>
      <c r="P55" s="62">
        <f t="shared" si="33"/>
        <v>1382400</v>
      </c>
    </row>
    <row r="56" ht="14.25" customHeight="1">
      <c r="A56" s="103" t="s">
        <v>154</v>
      </c>
      <c r="B56" s="7" t="s">
        <v>149</v>
      </c>
      <c r="C56" s="77">
        <f t="shared" ref="C56:P56" si="34">C54/C55</f>
        <v>1</v>
      </c>
      <c r="D56" s="77">
        <f t="shared" si="34"/>
        <v>1</v>
      </c>
      <c r="E56" s="77">
        <f t="shared" si="34"/>
        <v>1</v>
      </c>
      <c r="F56" s="77">
        <f t="shared" si="34"/>
        <v>1</v>
      </c>
      <c r="G56" s="77">
        <f t="shared" si="34"/>
        <v>0.391420587</v>
      </c>
      <c r="H56" s="77">
        <f t="shared" si="34"/>
        <v>1</v>
      </c>
      <c r="I56" s="77">
        <f t="shared" si="34"/>
        <v>0.7085327697</v>
      </c>
      <c r="J56" s="77">
        <f t="shared" si="34"/>
        <v>1</v>
      </c>
      <c r="K56" s="77">
        <f t="shared" si="34"/>
        <v>0.7085327697</v>
      </c>
      <c r="L56" s="77">
        <f t="shared" si="34"/>
        <v>0.7085327697</v>
      </c>
      <c r="M56" s="77">
        <f t="shared" si="34"/>
        <v>1</v>
      </c>
      <c r="N56" s="77">
        <f t="shared" si="34"/>
        <v>1</v>
      </c>
      <c r="O56" s="77">
        <f t="shared" si="34"/>
        <v>0.7085327697</v>
      </c>
      <c r="P56" s="77">
        <f t="shared" si="34"/>
        <v>0.7085327697</v>
      </c>
    </row>
    <row r="57" ht="14.25" customHeight="1"/>
    <row r="58" ht="14.25" customHeight="1">
      <c r="A58" s="127" t="s">
        <v>145</v>
      </c>
      <c r="B58" s="128" t="s">
        <v>146</v>
      </c>
      <c r="C58" s="129">
        <v>16.0</v>
      </c>
      <c r="D58" s="129">
        <v>17.0</v>
      </c>
      <c r="E58" s="129">
        <v>18.0</v>
      </c>
      <c r="F58" s="129">
        <v>19.0</v>
      </c>
      <c r="G58" s="129">
        <v>20.0</v>
      </c>
      <c r="H58" s="129">
        <v>21.0</v>
      </c>
      <c r="I58" s="129">
        <v>22.0</v>
      </c>
      <c r="J58" s="129">
        <v>23.0</v>
      </c>
      <c r="K58" s="129">
        <v>24.0</v>
      </c>
      <c r="L58" s="129">
        <v>25.0</v>
      </c>
      <c r="M58" s="129">
        <v>26.0</v>
      </c>
      <c r="N58" s="129">
        <v>27.0</v>
      </c>
      <c r="O58" s="129">
        <v>28.0</v>
      </c>
      <c r="P58" s="130">
        <v>29.0</v>
      </c>
    </row>
    <row r="59" ht="14.25" customHeight="1">
      <c r="A59" s="103" t="s">
        <v>155</v>
      </c>
      <c r="B59" s="7" t="s">
        <v>147</v>
      </c>
      <c r="C59" s="62">
        <v>150146.91039415507</v>
      </c>
      <c r="D59" s="62">
        <v>113654.88694727523</v>
      </c>
      <c r="E59" s="62">
        <v>201482.06870099858</v>
      </c>
      <c r="F59" s="62">
        <v>62941.412575204435</v>
      </c>
      <c r="G59" s="62">
        <v>62941.412575204435</v>
      </c>
      <c r="H59" s="62">
        <v>117063.62249207504</v>
      </c>
      <c r="I59" s="62">
        <v>62941.412575204435</v>
      </c>
      <c r="J59" s="62">
        <v>90433.07044960432</v>
      </c>
      <c r="K59" s="62">
        <v>62941.412575204435</v>
      </c>
      <c r="L59" s="62">
        <v>62941.412575204435</v>
      </c>
      <c r="M59" s="62">
        <v>144430.25683808478</v>
      </c>
      <c r="N59" s="62">
        <v>62941.412575204435</v>
      </c>
      <c r="O59" s="62">
        <v>62941.412575204435</v>
      </c>
      <c r="P59" s="62">
        <v>62941.412575204435</v>
      </c>
      <c r="Q59" s="71"/>
    </row>
    <row r="60" ht="14.25" customHeight="1">
      <c r="A60" s="103" t="s">
        <v>155</v>
      </c>
      <c r="B60" s="7" t="s">
        <v>148</v>
      </c>
      <c r="C60" s="62">
        <v>108000.0</v>
      </c>
      <c r="D60" s="62">
        <v>108000.0</v>
      </c>
      <c r="E60" s="62">
        <v>108000.0</v>
      </c>
      <c r="F60" s="62">
        <v>108000.0</v>
      </c>
      <c r="G60" s="62">
        <v>108000.0</v>
      </c>
      <c r="H60" s="62">
        <v>108000.0</v>
      </c>
      <c r="I60" s="62">
        <v>108000.0</v>
      </c>
      <c r="J60" s="62">
        <v>108000.0</v>
      </c>
      <c r="K60" s="62">
        <v>108000.0</v>
      </c>
      <c r="L60" s="62">
        <v>108000.0</v>
      </c>
      <c r="M60" s="62">
        <v>108000.0</v>
      </c>
      <c r="N60" s="62">
        <v>108000.0</v>
      </c>
      <c r="O60" s="62">
        <v>108000.0</v>
      </c>
      <c r="P60" s="62">
        <v>108000.0</v>
      </c>
    </row>
    <row r="61" ht="14.25" customHeight="1">
      <c r="A61" s="103" t="s">
        <v>155</v>
      </c>
      <c r="B61" s="7" t="s">
        <v>149</v>
      </c>
      <c r="C61" s="77">
        <v>1.3902491703162507</v>
      </c>
      <c r="D61" s="77">
        <v>1.0523600643266224</v>
      </c>
      <c r="E61" s="77">
        <v>1.8655747101944316</v>
      </c>
      <c r="F61" s="77">
        <v>0.5827908571778188</v>
      </c>
      <c r="G61" s="77">
        <v>0.5827908571778188</v>
      </c>
      <c r="H61" s="77">
        <v>1.0839224304821764</v>
      </c>
      <c r="I61" s="77">
        <v>0.5827908571778188</v>
      </c>
      <c r="J61" s="77">
        <v>0.8373432449037437</v>
      </c>
      <c r="K61" s="77">
        <v>0.5827908571778188</v>
      </c>
      <c r="L61" s="77">
        <v>0.5827908571778188</v>
      </c>
      <c r="M61" s="77">
        <v>1.3373171929452294</v>
      </c>
      <c r="N61" s="77">
        <v>0.5827908571778188</v>
      </c>
      <c r="O61" s="77">
        <v>0.5827908571778188</v>
      </c>
      <c r="P61" s="77">
        <v>0.5827908571778188</v>
      </c>
    </row>
    <row r="62" ht="14.25" customHeight="1"/>
    <row r="63" ht="14.25" customHeight="1">
      <c r="A63" s="132" t="s">
        <v>150</v>
      </c>
    </row>
    <row r="64" ht="14.25" customHeight="1">
      <c r="A64" s="127" t="s">
        <v>145</v>
      </c>
      <c r="B64" s="128" t="s">
        <v>146</v>
      </c>
      <c r="C64" s="129">
        <v>16.0</v>
      </c>
      <c r="D64" s="129">
        <v>17.0</v>
      </c>
      <c r="E64" s="129">
        <v>18.0</v>
      </c>
      <c r="F64" s="129">
        <v>19.0</v>
      </c>
      <c r="G64" s="129">
        <v>20.0</v>
      </c>
      <c r="H64" s="129">
        <v>21.0</v>
      </c>
      <c r="I64" s="129">
        <v>22.0</v>
      </c>
      <c r="J64" s="129">
        <v>23.0</v>
      </c>
      <c r="K64" s="129">
        <v>24.0</v>
      </c>
      <c r="L64" s="129">
        <v>25.0</v>
      </c>
      <c r="M64" s="129">
        <v>26.0</v>
      </c>
      <c r="N64" s="129">
        <v>27.0</v>
      </c>
      <c r="O64" s="129">
        <v>28.0</v>
      </c>
      <c r="P64" s="130">
        <v>29.0</v>
      </c>
    </row>
    <row r="65" ht="14.25" customHeight="1">
      <c r="A65" s="103" t="s">
        <v>155</v>
      </c>
      <c r="B65" s="7" t="s">
        <v>147</v>
      </c>
      <c r="C65" s="62">
        <f>162000</f>
        <v>162000</v>
      </c>
      <c r="D65" s="62">
        <v>162000.0</v>
      </c>
      <c r="E65" s="62">
        <f>D65</f>
        <v>162000</v>
      </c>
      <c r="F65" s="62">
        <f>F59+(SUM(C59:E59,H59,M59)-SUM(C65:E65,H60,M60))</f>
        <v>87719.15795</v>
      </c>
      <c r="G65" s="62">
        <f t="shared" ref="G65:P65" si="35">IF(G59&lt;=G60,G59,G60)</f>
        <v>62941.41258</v>
      </c>
      <c r="H65" s="62">
        <f t="shared" si="35"/>
        <v>108000</v>
      </c>
      <c r="I65" s="62">
        <f t="shared" si="35"/>
        <v>62941.41258</v>
      </c>
      <c r="J65" s="62">
        <f t="shared" si="35"/>
        <v>90433.07045</v>
      </c>
      <c r="K65" s="62">
        <f t="shared" si="35"/>
        <v>62941.41258</v>
      </c>
      <c r="L65" s="62">
        <f t="shared" si="35"/>
        <v>62941.41258</v>
      </c>
      <c r="M65" s="62">
        <f t="shared" si="35"/>
        <v>108000</v>
      </c>
      <c r="N65" s="62">
        <f t="shared" si="35"/>
        <v>62941.41258</v>
      </c>
      <c r="O65" s="62">
        <f t="shared" si="35"/>
        <v>62941.41258</v>
      </c>
      <c r="P65" s="62">
        <f t="shared" si="35"/>
        <v>62941.41258</v>
      </c>
      <c r="Q65" s="136"/>
    </row>
    <row r="66" ht="14.25" customHeight="1">
      <c r="A66" s="103" t="s">
        <v>155</v>
      </c>
      <c r="B66" s="7" t="s">
        <v>148</v>
      </c>
      <c r="C66" s="62">
        <f t="shared" ref="C66:E66" si="36">C60*1.5</f>
        <v>162000</v>
      </c>
      <c r="D66" s="62">
        <f t="shared" si="36"/>
        <v>162000</v>
      </c>
      <c r="E66" s="62">
        <f t="shared" si="36"/>
        <v>162000</v>
      </c>
      <c r="F66" s="62">
        <v>108000.0</v>
      </c>
      <c r="G66" s="62">
        <v>108000.0</v>
      </c>
      <c r="H66" s="62">
        <v>108000.0</v>
      </c>
      <c r="I66" s="62">
        <v>108000.0</v>
      </c>
      <c r="J66" s="62">
        <v>108000.0</v>
      </c>
      <c r="K66" s="62">
        <v>108000.0</v>
      </c>
      <c r="L66" s="62">
        <v>108000.0</v>
      </c>
      <c r="M66" s="62">
        <v>108000.0</v>
      </c>
      <c r="N66" s="62">
        <v>108000.0</v>
      </c>
      <c r="O66" s="62">
        <v>108000.0</v>
      </c>
      <c r="P66" s="62">
        <v>108000.0</v>
      </c>
    </row>
    <row r="67" ht="14.25" customHeight="1">
      <c r="A67" s="103" t="s">
        <v>155</v>
      </c>
      <c r="B67" s="7" t="s">
        <v>149</v>
      </c>
      <c r="C67" s="133">
        <f t="shared" ref="C67:P67" si="37">C65/C66</f>
        <v>1</v>
      </c>
      <c r="D67" s="133">
        <f t="shared" si="37"/>
        <v>1</v>
      </c>
      <c r="E67" s="133">
        <f t="shared" si="37"/>
        <v>1</v>
      </c>
      <c r="F67" s="133">
        <f t="shared" si="37"/>
        <v>0.8122144254</v>
      </c>
      <c r="G67" s="133">
        <f t="shared" si="37"/>
        <v>0.5827908572</v>
      </c>
      <c r="H67" s="133">
        <f t="shared" si="37"/>
        <v>1</v>
      </c>
      <c r="I67" s="133">
        <f t="shared" si="37"/>
        <v>0.5827908572</v>
      </c>
      <c r="J67" s="133">
        <f t="shared" si="37"/>
        <v>0.8373432449</v>
      </c>
      <c r="K67" s="133">
        <f t="shared" si="37"/>
        <v>0.5827908572</v>
      </c>
      <c r="L67" s="133">
        <f t="shared" si="37"/>
        <v>0.5827908572</v>
      </c>
      <c r="M67" s="133">
        <f t="shared" si="37"/>
        <v>1</v>
      </c>
      <c r="N67" s="133">
        <f t="shared" si="37"/>
        <v>0.5827908572</v>
      </c>
      <c r="O67" s="133">
        <f t="shared" si="37"/>
        <v>0.5827908572</v>
      </c>
      <c r="P67" s="133">
        <f t="shared" si="37"/>
        <v>0.5827908572</v>
      </c>
    </row>
    <row r="68" ht="14.25" customHeight="1"/>
    <row r="69" ht="14.25" customHeight="1">
      <c r="A69" s="127" t="s">
        <v>145</v>
      </c>
      <c r="B69" s="128" t="s">
        <v>146</v>
      </c>
      <c r="C69" s="129">
        <v>16.0</v>
      </c>
      <c r="D69" s="129">
        <v>17.0</v>
      </c>
      <c r="E69" s="129">
        <v>18.0</v>
      </c>
      <c r="F69" s="129">
        <v>19.0</v>
      </c>
      <c r="G69" s="129">
        <v>20.0</v>
      </c>
      <c r="H69" s="129">
        <v>21.0</v>
      </c>
      <c r="I69" s="129">
        <v>22.0</v>
      </c>
      <c r="J69" s="129">
        <v>23.0</v>
      </c>
      <c r="K69" s="129">
        <v>24.0</v>
      </c>
      <c r="L69" s="129">
        <v>25.0</v>
      </c>
      <c r="M69" s="129">
        <v>26.0</v>
      </c>
      <c r="N69" s="129">
        <v>27.0</v>
      </c>
      <c r="O69" s="129">
        <v>28.0</v>
      </c>
      <c r="P69" s="130">
        <v>29.0</v>
      </c>
    </row>
    <row r="70" ht="14.25" customHeight="1">
      <c r="A70" s="103" t="s">
        <v>156</v>
      </c>
      <c r="B70" s="7" t="s">
        <v>147</v>
      </c>
      <c r="C70" s="62">
        <f>SUM('Initial MPS'!C132:C134)</f>
        <v>53450.47564</v>
      </c>
      <c r="D70" s="62">
        <f>SUM('Initial MPS'!D132:D134)</f>
        <v>46116.18892</v>
      </c>
      <c r="E70" s="62">
        <f>SUM('Initial MPS'!E132:E134)</f>
        <v>63767.98435</v>
      </c>
      <c r="F70" s="62">
        <f>SUM('Initial MPS'!F132:F134)</f>
        <v>35923.62829</v>
      </c>
      <c r="G70" s="62">
        <f>SUM('Initial MPS'!G132:G134)</f>
        <v>35923.62829</v>
      </c>
      <c r="H70" s="62">
        <f>SUM('Initial MPS'!H132:H134)</f>
        <v>58809.09372</v>
      </c>
      <c r="I70" s="62">
        <f>SUM('Initial MPS'!I132:I134)</f>
        <v>35923.62829</v>
      </c>
      <c r="J70" s="62">
        <f>SUM('Initial MPS'!J132:J134)</f>
        <v>47548.41942</v>
      </c>
      <c r="K70" s="62">
        <f>SUM('Initial MPS'!K132:K134)</f>
        <v>35923.62829</v>
      </c>
      <c r="L70" s="62">
        <f>SUM('Initial MPS'!L132:L134)</f>
        <v>35923.62829</v>
      </c>
      <c r="M70" s="62">
        <f>SUM('Initial MPS'!M132:M134)</f>
        <v>70381.01891</v>
      </c>
      <c r="N70" s="62">
        <f>SUM('Initial MPS'!N132:N134)</f>
        <v>35923.62829</v>
      </c>
      <c r="O70" s="62">
        <f>SUM('Initial MPS'!O132:O134)</f>
        <v>35923.62829</v>
      </c>
      <c r="P70" s="62">
        <f>SUM('Initial MPS'!P132:P134)</f>
        <v>35923.62829</v>
      </c>
      <c r="Q70" s="71"/>
    </row>
    <row r="71" ht="14.25" customHeight="1">
      <c r="A71" s="103" t="s">
        <v>156</v>
      </c>
      <c r="B71" s="7" t="s">
        <v>148</v>
      </c>
      <c r="C71" s="62">
        <f>'max capa per week'!$H$23</f>
        <v>46800</v>
      </c>
      <c r="D71" s="62">
        <f>'max capa per week'!$H$23</f>
        <v>46800</v>
      </c>
      <c r="E71" s="62">
        <f>'max capa per week'!$H$23</f>
        <v>46800</v>
      </c>
      <c r="F71" s="62">
        <f>'max capa per week'!$H$23</f>
        <v>46800</v>
      </c>
      <c r="G71" s="62">
        <f>'max capa per week'!$H$23</f>
        <v>46800</v>
      </c>
      <c r="H71" s="62">
        <f>'max capa per week'!$H$23</f>
        <v>46800</v>
      </c>
      <c r="I71" s="62">
        <f>'max capa per week'!$H$23</f>
        <v>46800</v>
      </c>
      <c r="J71" s="62">
        <f>'max capa per week'!$H$23</f>
        <v>46800</v>
      </c>
      <c r="K71" s="62">
        <f>'max capa per week'!$H$23</f>
        <v>46800</v>
      </c>
      <c r="L71" s="62">
        <f>'max capa per week'!$H$23</f>
        <v>46800</v>
      </c>
      <c r="M71" s="62">
        <f>'max capa per week'!$H$23</f>
        <v>46800</v>
      </c>
      <c r="N71" s="62">
        <f>'max capa per week'!$H$23</f>
        <v>46800</v>
      </c>
      <c r="O71" s="62">
        <f>'max capa per week'!$H$23</f>
        <v>46800</v>
      </c>
      <c r="P71" s="62">
        <f>'max capa per week'!$H$23</f>
        <v>46800</v>
      </c>
    </row>
    <row r="72" ht="14.25" customHeight="1">
      <c r="A72" s="103" t="s">
        <v>156</v>
      </c>
      <c r="B72" s="7" t="s">
        <v>149</v>
      </c>
      <c r="C72" s="77">
        <v>1.14210418025964</v>
      </c>
      <c r="D72" s="77">
        <v>0.9853886520901822</v>
      </c>
      <c r="E72" s="77">
        <v>1.3625637680769762</v>
      </c>
      <c r="F72" s="77">
        <v>0.7675988950191237</v>
      </c>
      <c r="G72" s="77">
        <v>0.7675988950191237</v>
      </c>
      <c r="H72" s="77">
        <v>1.2566045666487484</v>
      </c>
      <c r="I72" s="77">
        <v>0.7675988950191237</v>
      </c>
      <c r="J72" s="77">
        <v>1.0159918679544773</v>
      </c>
      <c r="K72" s="77">
        <v>0.7675988950191237</v>
      </c>
      <c r="L72" s="77">
        <v>0.7675988950191237</v>
      </c>
      <c r="M72" s="77">
        <v>1.5038679254282161</v>
      </c>
      <c r="N72" s="77">
        <v>0.7675988950191237</v>
      </c>
      <c r="O72" s="77">
        <v>0.7675988950191237</v>
      </c>
      <c r="P72" s="77">
        <v>0.7675988950191237</v>
      </c>
    </row>
    <row r="73" ht="14.25" customHeight="1">
      <c r="D73" s="71"/>
    </row>
    <row r="74" ht="14.25" customHeight="1">
      <c r="A74" s="132" t="s">
        <v>150</v>
      </c>
    </row>
    <row r="75" ht="14.25" customHeight="1">
      <c r="A75" s="127" t="s">
        <v>145</v>
      </c>
      <c r="B75" s="128" t="s">
        <v>146</v>
      </c>
      <c r="C75" s="129">
        <v>16.0</v>
      </c>
      <c r="D75" s="129">
        <v>17.0</v>
      </c>
      <c r="E75" s="129">
        <v>18.0</v>
      </c>
      <c r="F75" s="129">
        <v>19.0</v>
      </c>
      <c r="G75" s="129">
        <v>20.0</v>
      </c>
      <c r="H75" s="129">
        <v>21.0</v>
      </c>
      <c r="I75" s="129">
        <v>22.0</v>
      </c>
      <c r="J75" s="129">
        <v>23.0</v>
      </c>
      <c r="K75" s="129">
        <v>24.0</v>
      </c>
      <c r="L75" s="129">
        <v>25.0</v>
      </c>
      <c r="M75" s="129">
        <v>26.0</v>
      </c>
      <c r="N75" s="129">
        <v>27.0</v>
      </c>
      <c r="O75" s="129">
        <v>28.0</v>
      </c>
      <c r="P75" s="130">
        <v>29.0</v>
      </c>
    </row>
    <row r="76" ht="14.25" customHeight="1">
      <c r="A76" s="103" t="s">
        <v>155</v>
      </c>
      <c r="B76" s="7" t="s">
        <v>147</v>
      </c>
      <c r="C76" s="71">
        <f t="shared" ref="C76:D76" si="38">C71*1.5</f>
        <v>70200</v>
      </c>
      <c r="D76" s="71">
        <f t="shared" si="38"/>
        <v>70200</v>
      </c>
      <c r="E76" s="71">
        <f>E70+C70-C77+D70-C77+H70-H71+J70-J71+M70-M71</f>
        <v>59273.18095</v>
      </c>
      <c r="F76" s="71">
        <f t="shared" ref="F76:P76" si="39">IF(F70&gt;=F71,F71,F70)</f>
        <v>35923.62829</v>
      </c>
      <c r="G76" s="71">
        <f t="shared" si="39"/>
        <v>35923.62829</v>
      </c>
      <c r="H76" s="71">
        <f t="shared" si="39"/>
        <v>46800</v>
      </c>
      <c r="I76" s="71">
        <f t="shared" si="39"/>
        <v>35923.62829</v>
      </c>
      <c r="J76" s="71">
        <f t="shared" si="39"/>
        <v>46800</v>
      </c>
      <c r="K76" s="71">
        <f t="shared" si="39"/>
        <v>35923.62829</v>
      </c>
      <c r="L76" s="71">
        <f t="shared" si="39"/>
        <v>35923.62829</v>
      </c>
      <c r="M76" s="71">
        <f t="shared" si="39"/>
        <v>46800</v>
      </c>
      <c r="N76" s="71">
        <f t="shared" si="39"/>
        <v>35923.62829</v>
      </c>
      <c r="O76" s="71">
        <f t="shared" si="39"/>
        <v>35923.62829</v>
      </c>
      <c r="P76" s="71">
        <f t="shared" si="39"/>
        <v>35923.62829</v>
      </c>
      <c r="Q76" s="71"/>
    </row>
    <row r="77" ht="14.25" customHeight="1">
      <c r="A77" s="103" t="s">
        <v>155</v>
      </c>
      <c r="B77" s="7" t="s">
        <v>148</v>
      </c>
      <c r="C77" s="71">
        <v>70200.0</v>
      </c>
      <c r="D77" s="71">
        <v>70200.0</v>
      </c>
      <c r="E77" s="71">
        <v>70200.0</v>
      </c>
      <c r="F77" s="71">
        <f t="shared" ref="F77:P77" si="40">F71</f>
        <v>46800</v>
      </c>
      <c r="G77" s="71">
        <f t="shared" si="40"/>
        <v>46800</v>
      </c>
      <c r="H77" s="71">
        <f t="shared" si="40"/>
        <v>46800</v>
      </c>
      <c r="I77" s="71">
        <f t="shared" si="40"/>
        <v>46800</v>
      </c>
      <c r="J77" s="71">
        <f t="shared" si="40"/>
        <v>46800</v>
      </c>
      <c r="K77" s="71">
        <f t="shared" si="40"/>
        <v>46800</v>
      </c>
      <c r="L77" s="71">
        <f t="shared" si="40"/>
        <v>46800</v>
      </c>
      <c r="M77" s="71">
        <f t="shared" si="40"/>
        <v>46800</v>
      </c>
      <c r="N77" s="71">
        <f t="shared" si="40"/>
        <v>46800</v>
      </c>
      <c r="O77" s="71">
        <f t="shared" si="40"/>
        <v>46800</v>
      </c>
      <c r="P77" s="71">
        <f t="shared" si="40"/>
        <v>46800</v>
      </c>
    </row>
    <row r="78" ht="14.25" customHeight="1">
      <c r="A78" s="103" t="s">
        <v>155</v>
      </c>
      <c r="B78" s="7" t="s">
        <v>149</v>
      </c>
      <c r="C78" s="133">
        <f t="shared" ref="C78:P78" si="41">C76/C77</f>
        <v>1</v>
      </c>
      <c r="D78" s="133">
        <f t="shared" si="41"/>
        <v>1</v>
      </c>
      <c r="E78" s="133">
        <f t="shared" si="41"/>
        <v>0.844347307</v>
      </c>
      <c r="F78" s="133">
        <f t="shared" si="41"/>
        <v>0.767598895</v>
      </c>
      <c r="G78" s="133">
        <f t="shared" si="41"/>
        <v>0.767598895</v>
      </c>
      <c r="H78" s="133">
        <f t="shared" si="41"/>
        <v>1</v>
      </c>
      <c r="I78" s="133">
        <f t="shared" si="41"/>
        <v>0.767598895</v>
      </c>
      <c r="J78" s="133">
        <f t="shared" si="41"/>
        <v>1</v>
      </c>
      <c r="K78" s="133">
        <f t="shared" si="41"/>
        <v>0.767598895</v>
      </c>
      <c r="L78" s="133">
        <f t="shared" si="41"/>
        <v>0.767598895</v>
      </c>
      <c r="M78" s="133">
        <f t="shared" si="41"/>
        <v>1</v>
      </c>
      <c r="N78" s="133">
        <f t="shared" si="41"/>
        <v>0.767598895</v>
      </c>
      <c r="O78" s="133">
        <f t="shared" si="41"/>
        <v>0.767598895</v>
      </c>
      <c r="P78" s="133">
        <f t="shared" si="41"/>
        <v>0.767598895</v>
      </c>
    </row>
    <row r="79" ht="14.25" customHeight="1"/>
    <row r="80" ht="14.25" customHeight="1"/>
    <row r="81" ht="14.25" customHeight="1">
      <c r="A81" s="127" t="s">
        <v>145</v>
      </c>
      <c r="B81" s="128" t="s">
        <v>146</v>
      </c>
      <c r="C81" s="129">
        <v>16.0</v>
      </c>
      <c r="D81" s="129">
        <v>17.0</v>
      </c>
      <c r="E81" s="129">
        <v>18.0</v>
      </c>
      <c r="F81" s="129">
        <v>19.0</v>
      </c>
      <c r="G81" s="129">
        <v>20.0</v>
      </c>
      <c r="H81" s="129">
        <v>21.0</v>
      </c>
      <c r="I81" s="129">
        <v>22.0</v>
      </c>
      <c r="J81" s="129">
        <v>23.0</v>
      </c>
      <c r="K81" s="129">
        <v>24.0</v>
      </c>
      <c r="L81" s="129">
        <v>25.0</v>
      </c>
      <c r="M81" s="129">
        <v>26.0</v>
      </c>
      <c r="N81" s="129">
        <v>27.0</v>
      </c>
      <c r="O81" s="129">
        <v>28.0</v>
      </c>
      <c r="P81" s="130">
        <v>29.0</v>
      </c>
    </row>
    <row r="82" ht="14.25" customHeight="1">
      <c r="A82" s="103" t="s">
        <v>139</v>
      </c>
      <c r="B82" s="7" t="s">
        <v>147</v>
      </c>
      <c r="C82" s="68">
        <f>SUM('Initial MPS'!C86:C95)</f>
        <v>242062.6852</v>
      </c>
      <c r="D82" s="68">
        <f>SUM('Initial MPS'!D86:D95)</f>
        <v>217396.7805</v>
      </c>
      <c r="E82" s="68">
        <f>SUM('Initial MPS'!E86:E95)</f>
        <v>276761.4496</v>
      </c>
      <c r="F82" s="68">
        <f>SUM('Initial MPS'!F86:F95)</f>
        <v>358985.2964</v>
      </c>
      <c r="G82" s="68">
        <f>SUM('Initial MPS'!G86:G95)</f>
        <v>183118.2284</v>
      </c>
      <c r="H82" s="68">
        <f>SUM('Initial MPS'!H86:H95)</f>
        <v>297141.9318</v>
      </c>
      <c r="I82" s="68">
        <f>SUM('Initial MPS'!I86:I95)</f>
        <v>183118.2284</v>
      </c>
      <c r="J82" s="68">
        <f>SUM('Initial MPS'!J86:J95)</f>
        <v>322596.4749</v>
      </c>
      <c r="K82" s="68">
        <f>SUM('Initial MPS'!K86:K95)</f>
        <v>183118.2284</v>
      </c>
      <c r="L82" s="68">
        <f>SUM('Initial MPS'!L86:L95)</f>
        <v>183118.2284</v>
      </c>
      <c r="M82" s="68">
        <f>SUM('Initial MPS'!M86:M95)</f>
        <v>354797.4674</v>
      </c>
      <c r="N82" s="68">
        <f>SUM('Initial MPS'!N86:N95)</f>
        <v>401619.078</v>
      </c>
      <c r="O82" s="68">
        <f>SUM('Initial MPS'!O86:O95)</f>
        <v>183118.2284</v>
      </c>
      <c r="P82" s="68">
        <f>SUM('Initial MPS'!P86:P95)</f>
        <v>183118.2284</v>
      </c>
      <c r="Q82" s="71"/>
    </row>
    <row r="83" ht="14.25" customHeight="1">
      <c r="A83" s="103" t="s">
        <v>139</v>
      </c>
      <c r="B83" s="7" t="s">
        <v>148</v>
      </c>
      <c r="C83" s="62">
        <f>'max capa per week'!$G$26*1.5</f>
        <v>319500</v>
      </c>
      <c r="D83" s="62">
        <f>'max capa per week'!$G$26*1.5</f>
        <v>319500</v>
      </c>
      <c r="E83" s="62">
        <f>'max capa per week'!$G$26*1.5</f>
        <v>319500</v>
      </c>
      <c r="F83" s="62">
        <f>'max capa per week'!$G$26*1.5</f>
        <v>319500</v>
      </c>
      <c r="G83" s="62">
        <f>'max capa per week'!$G$26*1.5</f>
        <v>319500</v>
      </c>
      <c r="H83" s="62">
        <f>'max capa per week'!$G$26*1.5</f>
        <v>319500</v>
      </c>
      <c r="I83" s="62">
        <f>'max capa per week'!$G$26*1.5</f>
        <v>319500</v>
      </c>
      <c r="J83" s="62">
        <f>'max capa per week'!$G$26*1.5</f>
        <v>319500</v>
      </c>
      <c r="K83" s="62">
        <f>'max capa per week'!$G$26*1.5</f>
        <v>319500</v>
      </c>
      <c r="L83" s="62">
        <f>'max capa per week'!$G$26*1.5</f>
        <v>319500</v>
      </c>
      <c r="M83" s="62">
        <f>'max capa per week'!$G$26*1.5</f>
        <v>319500</v>
      </c>
      <c r="N83" s="62">
        <f>'max capa per week'!$G$26*1.5</f>
        <v>319500</v>
      </c>
      <c r="O83" s="62">
        <f>'max capa per week'!$G$26*1.5</f>
        <v>319500</v>
      </c>
      <c r="P83" s="62">
        <f>'max capa per week'!$G$26*1.5</f>
        <v>319500</v>
      </c>
    </row>
    <row r="84" ht="14.25" customHeight="1">
      <c r="A84" s="103" t="s">
        <v>139</v>
      </c>
      <c r="B84" s="7" t="s">
        <v>149</v>
      </c>
      <c r="C84" s="77">
        <f t="shared" ref="C84:P84" si="42">C82/C83</f>
        <v>0.7576296877</v>
      </c>
      <c r="D84" s="77">
        <f t="shared" si="42"/>
        <v>0.6804281079</v>
      </c>
      <c r="E84" s="77">
        <f t="shared" si="42"/>
        <v>0.8662330192</v>
      </c>
      <c r="F84" s="77">
        <f t="shared" si="42"/>
        <v>1.123584652</v>
      </c>
      <c r="G84" s="77">
        <f t="shared" si="42"/>
        <v>0.5731399949</v>
      </c>
      <c r="H84" s="77">
        <f t="shared" si="42"/>
        <v>0.9300216958</v>
      </c>
      <c r="I84" s="77">
        <f t="shared" si="42"/>
        <v>0.5731399949</v>
      </c>
      <c r="J84" s="77">
        <f t="shared" si="42"/>
        <v>1.009691627</v>
      </c>
      <c r="K84" s="77">
        <f t="shared" si="42"/>
        <v>0.5731399949</v>
      </c>
      <c r="L84" s="77">
        <f t="shared" si="42"/>
        <v>0.5731399949</v>
      </c>
      <c r="M84" s="77">
        <f t="shared" si="42"/>
        <v>1.110477206</v>
      </c>
      <c r="N84" s="77">
        <f t="shared" si="42"/>
        <v>1.257023718</v>
      </c>
      <c r="O84" s="77">
        <f t="shared" si="42"/>
        <v>0.5731399949</v>
      </c>
      <c r="P84" s="131">
        <f t="shared" si="42"/>
        <v>0.5731399949</v>
      </c>
    </row>
    <row r="85" ht="14.25" customHeight="1"/>
    <row r="86" ht="14.25" customHeight="1">
      <c r="A86" s="132" t="s">
        <v>150</v>
      </c>
    </row>
    <row r="87" ht="14.25" customHeight="1">
      <c r="A87" s="127" t="s">
        <v>145</v>
      </c>
      <c r="B87" s="128" t="s">
        <v>146</v>
      </c>
      <c r="C87" s="129">
        <v>16.0</v>
      </c>
      <c r="D87" s="129">
        <v>17.0</v>
      </c>
      <c r="E87" s="129">
        <v>18.0</v>
      </c>
      <c r="F87" s="129">
        <v>19.0</v>
      </c>
      <c r="G87" s="129">
        <v>20.0</v>
      </c>
      <c r="H87" s="129">
        <v>21.0</v>
      </c>
      <c r="I87" s="129">
        <v>22.0</v>
      </c>
      <c r="J87" s="129">
        <v>23.0</v>
      </c>
      <c r="K87" s="129">
        <v>24.0</v>
      </c>
      <c r="L87" s="129">
        <v>25.0</v>
      </c>
      <c r="M87" s="129">
        <v>26.0</v>
      </c>
      <c r="N87" s="129">
        <v>27.0</v>
      </c>
      <c r="O87" s="129">
        <v>28.0</v>
      </c>
      <c r="P87" s="130">
        <v>29.0</v>
      </c>
    </row>
    <row r="88" ht="14.25" customHeight="1">
      <c r="A88" s="103" t="s">
        <v>139</v>
      </c>
      <c r="B88" s="7" t="s">
        <v>147</v>
      </c>
      <c r="C88" s="71">
        <f t="shared" ref="C88:E88" si="43">C82+($F$82-$F$83)/3</f>
        <v>255224.4507</v>
      </c>
      <c r="D88" s="71">
        <f t="shared" si="43"/>
        <v>230558.5459</v>
      </c>
      <c r="E88" s="71">
        <f t="shared" si="43"/>
        <v>289923.2151</v>
      </c>
      <c r="F88" s="71">
        <f>F83</f>
        <v>319500</v>
      </c>
      <c r="G88" s="71">
        <f>G82+($J$82-$J$83)/2</f>
        <v>184666.4658</v>
      </c>
      <c r="H88" s="71">
        <f>H82</f>
        <v>297141.9318</v>
      </c>
      <c r="I88" s="71">
        <f>I82+($J$82-$J$83)/2</f>
        <v>184666.4658</v>
      </c>
      <c r="J88" s="71">
        <f>J83</f>
        <v>319500</v>
      </c>
      <c r="K88" s="71">
        <f t="shared" ref="K88:L88" si="44">K82+(($M$82-$M$83)+($N$82-$N$83))/2</f>
        <v>241826.501</v>
      </c>
      <c r="L88" s="71">
        <f t="shared" si="44"/>
        <v>241826.501</v>
      </c>
      <c r="M88" s="62">
        <f>'max capa per week'!$G$26*1.5</f>
        <v>319500</v>
      </c>
      <c r="N88" s="62">
        <f>'max capa per week'!$G$26*1.5</f>
        <v>319500</v>
      </c>
      <c r="O88" s="68">
        <f t="shared" ref="O88:P88" si="45">O82</f>
        <v>183118.2284</v>
      </c>
      <c r="P88" s="68">
        <f t="shared" si="45"/>
        <v>183118.2284</v>
      </c>
      <c r="Q88" s="71"/>
    </row>
    <row r="89" ht="14.25" customHeight="1">
      <c r="A89" s="103" t="s">
        <v>139</v>
      </c>
      <c r="B89" s="7" t="s">
        <v>148</v>
      </c>
      <c r="C89" s="71">
        <f t="shared" ref="C89:P89" si="46">C83</f>
        <v>319500</v>
      </c>
      <c r="D89" s="71">
        <f t="shared" si="46"/>
        <v>319500</v>
      </c>
      <c r="E89" s="71">
        <f t="shared" si="46"/>
        <v>319500</v>
      </c>
      <c r="F89" s="71">
        <f t="shared" si="46"/>
        <v>319500</v>
      </c>
      <c r="G89" s="71">
        <f t="shared" si="46"/>
        <v>319500</v>
      </c>
      <c r="H89" s="71">
        <f t="shared" si="46"/>
        <v>319500</v>
      </c>
      <c r="I89" s="71">
        <f t="shared" si="46"/>
        <v>319500</v>
      </c>
      <c r="J89" s="71">
        <f t="shared" si="46"/>
        <v>319500</v>
      </c>
      <c r="K89" s="71">
        <f t="shared" si="46"/>
        <v>319500</v>
      </c>
      <c r="L89" s="71">
        <f t="shared" si="46"/>
        <v>319500</v>
      </c>
      <c r="M89" s="71">
        <f t="shared" si="46"/>
        <v>319500</v>
      </c>
      <c r="N89" s="71">
        <f t="shared" si="46"/>
        <v>319500</v>
      </c>
      <c r="O89" s="71">
        <f t="shared" si="46"/>
        <v>319500</v>
      </c>
      <c r="P89" s="71">
        <f t="shared" si="46"/>
        <v>319500</v>
      </c>
    </row>
    <row r="90" ht="14.25" customHeight="1">
      <c r="A90" s="103" t="s">
        <v>139</v>
      </c>
      <c r="B90" s="7" t="s">
        <v>149</v>
      </c>
      <c r="C90" s="77">
        <f t="shared" ref="C90:P90" si="47">C88/C89</f>
        <v>0.7988245718</v>
      </c>
      <c r="D90" s="77">
        <f t="shared" si="47"/>
        <v>0.721622992</v>
      </c>
      <c r="E90" s="77">
        <f t="shared" si="47"/>
        <v>0.9074279032</v>
      </c>
      <c r="F90" s="77">
        <f t="shared" si="47"/>
        <v>1</v>
      </c>
      <c r="G90" s="77">
        <f t="shared" si="47"/>
        <v>0.5779858085</v>
      </c>
      <c r="H90" s="77">
        <f t="shared" si="47"/>
        <v>0.9300216958</v>
      </c>
      <c r="I90" s="77">
        <f t="shared" si="47"/>
        <v>0.5779858085</v>
      </c>
      <c r="J90" s="77">
        <f t="shared" si="47"/>
        <v>1</v>
      </c>
      <c r="K90" s="77">
        <f t="shared" si="47"/>
        <v>0.7568904571</v>
      </c>
      <c r="L90" s="77">
        <f t="shared" si="47"/>
        <v>0.7568904571</v>
      </c>
      <c r="M90" s="77">
        <f t="shared" si="47"/>
        <v>1</v>
      </c>
      <c r="N90" s="77">
        <f t="shared" si="47"/>
        <v>1</v>
      </c>
      <c r="O90" s="77">
        <f t="shared" si="47"/>
        <v>0.5731399949</v>
      </c>
      <c r="P90" s="77">
        <f t="shared" si="47"/>
        <v>0.5731399949</v>
      </c>
    </row>
    <row r="91" ht="14.25" customHeight="1">
      <c r="B91" s="134" t="s">
        <v>157</v>
      </c>
      <c r="C91" s="66">
        <f t="shared" ref="C91:P91" si="48">(C88-C82)/C82</f>
        <v>0.05437337623</v>
      </c>
      <c r="D91" s="66">
        <f t="shared" si="48"/>
        <v>0.06054259601</v>
      </c>
      <c r="E91" s="66">
        <f t="shared" si="48"/>
        <v>0.04755635394</v>
      </c>
      <c r="F91" s="66">
        <f t="shared" si="48"/>
        <v>-0.1099914029</v>
      </c>
      <c r="G91" s="66">
        <f t="shared" si="48"/>
        <v>0.008454851692</v>
      </c>
      <c r="H91" s="66">
        <f t="shared" si="48"/>
        <v>0</v>
      </c>
      <c r="I91" s="66">
        <f t="shared" si="48"/>
        <v>0.008454851692</v>
      </c>
      <c r="J91" s="66">
        <f t="shared" si="48"/>
        <v>-0.009598601245</v>
      </c>
      <c r="K91" s="66">
        <f t="shared" si="48"/>
        <v>0.3206031054</v>
      </c>
      <c r="L91" s="66">
        <f t="shared" si="48"/>
        <v>0.3206031054</v>
      </c>
      <c r="M91" s="66">
        <f t="shared" si="48"/>
        <v>-0.09948624385</v>
      </c>
      <c r="N91" s="66">
        <f t="shared" si="48"/>
        <v>-0.2044700625</v>
      </c>
      <c r="O91" s="66">
        <f t="shared" si="48"/>
        <v>0</v>
      </c>
      <c r="P91" s="66">
        <f t="shared" si="48"/>
        <v>0</v>
      </c>
    </row>
    <row r="92" ht="14.25" customHeight="1"/>
    <row r="93" ht="14.25" customHeight="1"/>
    <row r="94" ht="14.25" customHeight="1">
      <c r="C94" s="71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44:E44">
    <cfRule type="cellIs" dxfId="0" priority="1" stopIfTrue="1" operator="lessThan">
      <formula>0.9</formula>
    </cfRule>
  </conditionalFormatting>
  <conditionalFormatting sqref="C44:E44">
    <cfRule type="cellIs" dxfId="1" priority="2" stopIfTrue="1" operator="between">
      <formula>0.9</formula>
      <formula>1</formula>
    </cfRule>
  </conditionalFormatting>
  <conditionalFormatting sqref="C44:E44">
    <cfRule type="cellIs" dxfId="2" priority="3" stopIfTrue="1" operator="greaterThan">
      <formula>0.9</formula>
    </cfRule>
  </conditionalFormatting>
  <conditionalFormatting sqref="C4:P4">
    <cfRule type="cellIs" dxfId="0" priority="4" stopIfTrue="1" operator="lessThan">
      <formula>0.9</formula>
    </cfRule>
  </conditionalFormatting>
  <conditionalFormatting sqref="C4:P4">
    <cfRule type="cellIs" dxfId="1" priority="5" stopIfTrue="1" operator="between">
      <formula>0.9</formula>
      <formula>1</formula>
    </cfRule>
  </conditionalFormatting>
  <conditionalFormatting sqref="C4:P4">
    <cfRule type="cellIs" dxfId="2" priority="6" stopIfTrue="1" operator="greaterThan">
      <formula>0.9</formula>
    </cfRule>
  </conditionalFormatting>
  <conditionalFormatting sqref="C10:P10">
    <cfRule type="cellIs" dxfId="0" priority="7" stopIfTrue="1" operator="lessThan">
      <formula>0.9</formula>
    </cfRule>
  </conditionalFormatting>
  <conditionalFormatting sqref="C10:P10">
    <cfRule type="cellIs" dxfId="1" priority="8" stopIfTrue="1" operator="between">
      <formula>0.9</formula>
      <formula>1</formula>
    </cfRule>
  </conditionalFormatting>
  <conditionalFormatting sqref="C10:P10">
    <cfRule type="cellIs" dxfId="2" priority="9" stopIfTrue="1" operator="greaterThan">
      <formula>0.9</formula>
    </cfRule>
  </conditionalFormatting>
  <conditionalFormatting sqref="C15:P15 C32:E32 R15">
    <cfRule type="cellIs" dxfId="0" priority="10" stopIfTrue="1" operator="lessThan">
      <formula>0.9</formula>
    </cfRule>
  </conditionalFormatting>
  <conditionalFormatting sqref="C15:P15 C32:E32 R15">
    <cfRule type="cellIs" dxfId="1" priority="11" stopIfTrue="1" operator="between">
      <formula>0.9</formula>
      <formula>1</formula>
    </cfRule>
  </conditionalFormatting>
  <conditionalFormatting sqref="C15:P15 C32:E32 R15">
    <cfRule type="cellIs" dxfId="2" priority="12" stopIfTrue="1" operator="greaterThan">
      <formula>0.9</formula>
    </cfRule>
  </conditionalFormatting>
  <conditionalFormatting sqref="C21:P21">
    <cfRule type="cellIs" dxfId="0" priority="13" stopIfTrue="1" operator="lessThan">
      <formula>0.9</formula>
    </cfRule>
  </conditionalFormatting>
  <conditionalFormatting sqref="C21:P21">
    <cfRule type="cellIs" dxfId="1" priority="14" stopIfTrue="1" operator="between">
      <formula>0.9</formula>
      <formula>1</formula>
    </cfRule>
  </conditionalFormatting>
  <conditionalFormatting sqref="C21:P21">
    <cfRule type="cellIs" dxfId="2" priority="15" stopIfTrue="1" operator="greaterThan">
      <formula>0.9</formula>
    </cfRule>
  </conditionalFormatting>
  <conditionalFormatting sqref="C26:P26">
    <cfRule type="cellIs" dxfId="0" priority="16" stopIfTrue="1" operator="lessThan">
      <formula>0.9</formula>
    </cfRule>
  </conditionalFormatting>
  <conditionalFormatting sqref="C26:P26">
    <cfRule type="cellIs" dxfId="1" priority="17" stopIfTrue="1" operator="between">
      <formula>0.9</formula>
      <formula>1</formula>
    </cfRule>
  </conditionalFormatting>
  <conditionalFormatting sqref="C26:P26">
    <cfRule type="cellIs" dxfId="2" priority="18" stopIfTrue="1" operator="greaterThan">
      <formula>0.9</formula>
    </cfRule>
  </conditionalFormatting>
  <conditionalFormatting sqref="C29:P29">
    <cfRule type="cellIs" dxfId="0" priority="19" stopIfTrue="1" operator="lessThan">
      <formula>0.9</formula>
    </cfRule>
  </conditionalFormatting>
  <conditionalFormatting sqref="C29:P29">
    <cfRule type="cellIs" dxfId="1" priority="20" stopIfTrue="1" operator="between">
      <formula>0.9</formula>
      <formula>1</formula>
    </cfRule>
  </conditionalFormatting>
  <conditionalFormatting sqref="C29:P29">
    <cfRule type="cellIs" dxfId="2" priority="21" stopIfTrue="1" operator="greaterThan">
      <formula>0.9</formula>
    </cfRule>
  </conditionalFormatting>
  <conditionalFormatting sqref="C38:P38">
    <cfRule type="cellIs" dxfId="0" priority="22" stopIfTrue="1" operator="lessThan">
      <formula>0.9</formula>
    </cfRule>
  </conditionalFormatting>
  <conditionalFormatting sqref="C38:P38">
    <cfRule type="cellIs" dxfId="1" priority="23" stopIfTrue="1" operator="between">
      <formula>0.9</formula>
      <formula>1</formula>
    </cfRule>
  </conditionalFormatting>
  <conditionalFormatting sqref="C38:P38">
    <cfRule type="cellIs" dxfId="2" priority="24" stopIfTrue="1" operator="greaterThan">
      <formula>0.9</formula>
    </cfRule>
  </conditionalFormatting>
  <conditionalFormatting sqref="C41:P41">
    <cfRule type="cellIs" dxfId="0" priority="25" stopIfTrue="1" operator="lessThan">
      <formula>0.9</formula>
    </cfRule>
  </conditionalFormatting>
  <conditionalFormatting sqref="C41:P41">
    <cfRule type="cellIs" dxfId="1" priority="26" stopIfTrue="1" operator="between">
      <formula>0.9</formula>
      <formula>1</formula>
    </cfRule>
  </conditionalFormatting>
  <conditionalFormatting sqref="C41:P41">
    <cfRule type="cellIs" dxfId="2" priority="27" stopIfTrue="1" operator="greaterThan">
      <formula>0.9</formula>
    </cfRule>
  </conditionalFormatting>
  <conditionalFormatting sqref="C50:P50">
    <cfRule type="cellIs" dxfId="0" priority="28" stopIfTrue="1" operator="lessThan">
      <formula>0.9</formula>
    </cfRule>
  </conditionalFormatting>
  <conditionalFormatting sqref="C50:P50">
    <cfRule type="cellIs" dxfId="1" priority="29" stopIfTrue="1" operator="between">
      <formula>0.9</formula>
      <formula>1</formula>
    </cfRule>
  </conditionalFormatting>
  <conditionalFormatting sqref="C50:P50">
    <cfRule type="cellIs" dxfId="2" priority="30" stopIfTrue="1" operator="greaterThan">
      <formula>0.9</formula>
    </cfRule>
  </conditionalFormatting>
  <conditionalFormatting sqref="C56:P56 C67:P67 C78:P78">
    <cfRule type="cellIs" dxfId="0" priority="31" operator="lessThan">
      <formula>0.9</formula>
    </cfRule>
  </conditionalFormatting>
  <conditionalFormatting sqref="C56:P56 C67:P67 C78:P78">
    <cfRule type="cellIs" dxfId="1" priority="32" operator="between">
      <formula>0.9</formula>
      <formula>1</formula>
    </cfRule>
  </conditionalFormatting>
  <conditionalFormatting sqref="C56:P56 C67:P67 C78:P78">
    <cfRule type="cellIs" dxfId="2" priority="33" operator="greaterThan">
      <formula>0.9</formula>
    </cfRule>
  </conditionalFormatting>
  <conditionalFormatting sqref="C61:P61">
    <cfRule type="cellIs" dxfId="0" priority="34" stopIfTrue="1" operator="lessThan">
      <formula>0.9</formula>
    </cfRule>
  </conditionalFormatting>
  <conditionalFormatting sqref="C61:P61">
    <cfRule type="cellIs" dxfId="1" priority="35" stopIfTrue="1" operator="between">
      <formula>0.9</formula>
      <formula>1</formula>
    </cfRule>
  </conditionalFormatting>
  <conditionalFormatting sqref="C61:P61">
    <cfRule type="cellIs" dxfId="2" priority="36" stopIfTrue="1" operator="greaterThan">
      <formula>0.9</formula>
    </cfRule>
  </conditionalFormatting>
  <conditionalFormatting sqref="C72:P72">
    <cfRule type="cellIs" dxfId="0" priority="37" stopIfTrue="1" operator="lessThan">
      <formula>0.9</formula>
    </cfRule>
  </conditionalFormatting>
  <conditionalFormatting sqref="C72:P72">
    <cfRule type="cellIs" dxfId="1" priority="38" stopIfTrue="1" operator="between">
      <formula>0.9</formula>
      <formula>1</formula>
    </cfRule>
  </conditionalFormatting>
  <conditionalFormatting sqref="C72:P72">
    <cfRule type="cellIs" dxfId="2" priority="39" stopIfTrue="1" operator="greaterThan">
      <formula>0.9</formula>
    </cfRule>
  </conditionalFormatting>
  <conditionalFormatting sqref="C84:P84">
    <cfRule type="cellIs" dxfId="0" priority="40" stopIfTrue="1" operator="lessThan">
      <formula>0.9</formula>
    </cfRule>
  </conditionalFormatting>
  <conditionalFormatting sqref="C84:P84">
    <cfRule type="cellIs" dxfId="1" priority="41" stopIfTrue="1" operator="between">
      <formula>0.9</formula>
      <formula>1</formula>
    </cfRule>
  </conditionalFormatting>
  <conditionalFormatting sqref="C84:P84">
    <cfRule type="cellIs" dxfId="2" priority="42" stopIfTrue="1" operator="greaterThan">
      <formula>0.9</formula>
    </cfRule>
  </conditionalFormatting>
  <conditionalFormatting sqref="C90:P90">
    <cfRule type="cellIs" dxfId="0" priority="43" stopIfTrue="1" operator="lessThan">
      <formula>0.9</formula>
    </cfRule>
  </conditionalFormatting>
  <conditionalFormatting sqref="C90:P90">
    <cfRule type="cellIs" dxfId="1" priority="44" stopIfTrue="1" operator="between">
      <formula>0.9</formula>
      <formula>1</formula>
    </cfRule>
  </conditionalFormatting>
  <conditionalFormatting sqref="C90:P90">
    <cfRule type="cellIs" dxfId="2" priority="45" stopIfTrue="1" operator="greaterThan">
      <formula>0.9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8.63"/>
    <col customWidth="1" min="3" max="3" width="12.13"/>
    <col customWidth="1" min="4" max="4" width="12.5"/>
    <col customWidth="1" min="5" max="5" width="13.5"/>
    <col customWidth="1" min="6" max="6" width="14.0"/>
    <col customWidth="1" min="7" max="7" width="13.5"/>
    <col customWidth="1" min="8" max="16" width="12.13"/>
    <col customWidth="1" min="17" max="21" width="11.5"/>
    <col customWidth="1" min="22" max="22" width="57.88"/>
    <col customWidth="1" min="23" max="36" width="11.5"/>
  </cols>
  <sheetData>
    <row r="1" ht="14.25" customHeight="1">
      <c r="A1" s="83" t="s">
        <v>62</v>
      </c>
      <c r="B1" s="84"/>
      <c r="C1" s="102"/>
      <c r="D1" s="85"/>
      <c r="E1" s="86"/>
      <c r="F1" s="86"/>
      <c r="G1" s="86"/>
      <c r="H1" s="86"/>
      <c r="I1" s="86"/>
      <c r="J1" s="85"/>
      <c r="K1" s="86"/>
      <c r="L1" s="86"/>
      <c r="M1" s="86"/>
      <c r="N1" s="86"/>
      <c r="O1" s="85"/>
      <c r="P1" s="86"/>
      <c r="Q1" s="86"/>
      <c r="R1" s="86"/>
      <c r="S1" s="86"/>
      <c r="T1" s="86"/>
    </row>
    <row r="2" ht="14.25" customHeight="1">
      <c r="A2" s="87" t="s">
        <v>106</v>
      </c>
      <c r="B2" s="87" t="s">
        <v>107</v>
      </c>
      <c r="C2" s="103">
        <v>15.0</v>
      </c>
      <c r="D2" s="88">
        <v>16.0</v>
      </c>
      <c r="E2" s="88">
        <v>17.0</v>
      </c>
      <c r="F2" s="88">
        <v>18.0</v>
      </c>
      <c r="G2" s="88">
        <v>19.0</v>
      </c>
      <c r="H2" s="88">
        <v>20.0</v>
      </c>
      <c r="I2" s="88">
        <v>21.0</v>
      </c>
      <c r="J2" s="88">
        <v>22.0</v>
      </c>
      <c r="K2" s="88">
        <v>23.0</v>
      </c>
      <c r="L2" s="88">
        <v>24.0</v>
      </c>
      <c r="M2" s="88">
        <v>25.0</v>
      </c>
      <c r="N2" s="88">
        <v>26.0</v>
      </c>
      <c r="O2" s="88">
        <v>27.0</v>
      </c>
      <c r="P2" s="88">
        <v>28.0</v>
      </c>
      <c r="Q2" s="88">
        <v>29.0</v>
      </c>
      <c r="R2" s="88">
        <v>30.0</v>
      </c>
      <c r="S2" s="88">
        <v>31.0</v>
      </c>
      <c r="T2" s="88" t="s">
        <v>68</v>
      </c>
      <c r="V2" s="104" t="s">
        <v>158</v>
      </c>
    </row>
    <row r="3" ht="14.25" customHeight="1">
      <c r="A3" s="99" t="s">
        <v>71</v>
      </c>
      <c r="B3" s="84" t="s">
        <v>102</v>
      </c>
      <c r="C3" s="62"/>
      <c r="D3" s="62">
        <f>($T$3-$C$8)/14*(1+'capacity adjust'!C91)</f>
        <v>45383.6678</v>
      </c>
      <c r="E3" s="62">
        <f>($T$3-$C$8)/14*(1+'capacity adjust'!D91)</f>
        <v>45649.21114</v>
      </c>
      <c r="F3" s="62">
        <f>($T$3-$C$8)/14*(1+'capacity adjust'!E91)</f>
        <v>45090.24094</v>
      </c>
      <c r="G3" s="62">
        <f>($T$3-$C$8)/14*(1+'capacity adjust'!F91)</f>
        <v>38308.87181</v>
      </c>
      <c r="H3" s="62">
        <f>($T$3-$C$8)/14*(1+'capacity adjust'!G91)</f>
        <v>43407.18479</v>
      </c>
      <c r="I3" s="62">
        <f>($T$3-$C$8)/14*(1+'capacity adjust'!H91)</f>
        <v>43043.26041</v>
      </c>
      <c r="J3" s="62">
        <f>($T$3-$C$8)/14*(1+'capacity adjust'!I91)</f>
        <v>43407.18479</v>
      </c>
      <c r="K3" s="62">
        <f>($T$3-$C$8)/14*(1+'capacity adjust'!J91)</f>
        <v>42630.10532</v>
      </c>
      <c r="L3" s="62">
        <f>($T$3-$C$8)/14*(1+'capacity adjust'!K91)</f>
        <v>56843.06337</v>
      </c>
      <c r="M3" s="62">
        <f>($T$3-$C$8)/14*(1+'capacity adjust'!L91)</f>
        <v>56843.06337</v>
      </c>
      <c r="N3" s="62">
        <f>($T$3-$C$8)/14*(1+'capacity adjust'!M91)</f>
        <v>38761.04811</v>
      </c>
      <c r="O3" s="62">
        <f>($T$3-$C$8)/14*(1+'capacity adjust'!N91)</f>
        <v>34242.20226</v>
      </c>
      <c r="P3" s="62">
        <f>($T$3-$C$8)/14*(1+'capacity adjust'!O91)</f>
        <v>43043.26041</v>
      </c>
      <c r="Q3" s="62">
        <f>($T$3-$C$8)/14*(1+'capacity adjust'!P91)</f>
        <v>43043.26041</v>
      </c>
      <c r="R3" s="62"/>
      <c r="S3" s="62"/>
      <c r="T3" s="62">
        <f>T7</f>
        <v>611565.6457</v>
      </c>
      <c r="U3" s="66"/>
    </row>
    <row r="4" ht="14.25" customHeight="1">
      <c r="A4" s="100"/>
      <c r="B4" s="84" t="s">
        <v>99</v>
      </c>
      <c r="C4" s="62"/>
      <c r="D4" s="62"/>
      <c r="E4" s="62"/>
      <c r="F4" s="62"/>
      <c r="G4" s="62">
        <v>65046.72378298782</v>
      </c>
      <c r="H4" s="62"/>
      <c r="I4" s="62"/>
      <c r="J4" s="62"/>
      <c r="K4" s="62">
        <v>30165.77354890417</v>
      </c>
      <c r="L4" s="62"/>
      <c r="M4" s="62"/>
      <c r="N4" s="62"/>
      <c r="O4" s="62">
        <v>80815.38274004661</v>
      </c>
      <c r="P4" s="62"/>
      <c r="Q4" s="62"/>
      <c r="R4" s="62"/>
      <c r="S4" s="62"/>
      <c r="T4" s="62"/>
      <c r="U4" s="71"/>
    </row>
    <row r="5" ht="14.25" customHeight="1">
      <c r="A5" s="100"/>
      <c r="B5" s="84" t="s">
        <v>101</v>
      </c>
      <c r="C5" s="62"/>
      <c r="D5" s="62"/>
      <c r="E5" s="62"/>
      <c r="F5" s="62"/>
      <c r="G5" s="62"/>
      <c r="H5" s="62"/>
      <c r="I5" s="62">
        <v>24460.42733905322</v>
      </c>
      <c r="J5" s="62"/>
      <c r="K5" s="62">
        <v>12424.80122115734</v>
      </c>
      <c r="L5" s="62"/>
      <c r="M5" s="62"/>
      <c r="N5" s="62">
        <v>36828.724420106955</v>
      </c>
      <c r="O5" s="62"/>
      <c r="P5" s="62"/>
      <c r="Q5" s="62"/>
      <c r="R5" s="62"/>
      <c r="S5" s="62"/>
      <c r="T5" s="62"/>
      <c r="U5" s="71"/>
    </row>
    <row r="6" ht="14.25" customHeight="1">
      <c r="A6" s="100"/>
      <c r="B6" s="84" t="s">
        <v>100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71"/>
    </row>
    <row r="7" ht="14.25" customHeight="1">
      <c r="A7" s="100"/>
      <c r="B7" s="84" t="s">
        <v>111</v>
      </c>
      <c r="C7" s="62"/>
      <c r="D7" s="62"/>
      <c r="E7" s="62"/>
      <c r="F7" s="62">
        <v>22898.383479969114</v>
      </c>
      <c r="G7" s="62">
        <v>22898.383479969114</v>
      </c>
      <c r="H7" s="62">
        <v>22898.383479969114</v>
      </c>
      <c r="I7" s="62">
        <v>56137.97240250492</v>
      </c>
      <c r="J7" s="62">
        <v>22898.383479969114</v>
      </c>
      <c r="K7" s="62">
        <v>25627.305026115377</v>
      </c>
      <c r="L7" s="62">
        <v>25627.305026115377</v>
      </c>
      <c r="M7" s="62">
        <v>25627.305026115377</v>
      </c>
      <c r="N7" s="62">
        <v>25627.305026115377</v>
      </c>
      <c r="O7" s="62">
        <v>39926.403584623535</v>
      </c>
      <c r="P7" s="62">
        <v>39926.403584623535</v>
      </c>
      <c r="Q7" s="62">
        <v>201619.30497936584</v>
      </c>
      <c r="R7" s="62">
        <v>39926.403584623535</v>
      </c>
      <c r="S7" s="62">
        <v>39926.403584623535</v>
      </c>
      <c r="T7" s="62">
        <f>SUM(F7:S7)</f>
        <v>611565.6457</v>
      </c>
      <c r="U7" s="71"/>
      <c r="V7" s="71"/>
    </row>
    <row r="8" ht="14.25" customHeight="1">
      <c r="A8" s="100"/>
      <c r="B8" s="84" t="s">
        <v>112</v>
      </c>
      <c r="C8" s="62">
        <v>8960.0</v>
      </c>
      <c r="D8" s="62">
        <f t="shared" ref="D8:S8" si="1">C8+D3-D7</f>
        <v>54343.6678</v>
      </c>
      <c r="E8" s="62">
        <f t="shared" si="1"/>
        <v>99992.87894</v>
      </c>
      <c r="F8" s="62">
        <f t="shared" si="1"/>
        <v>122184.7364</v>
      </c>
      <c r="G8" s="62">
        <f t="shared" si="1"/>
        <v>137595.2247</v>
      </c>
      <c r="H8" s="62">
        <f t="shared" si="1"/>
        <v>158104.026</v>
      </c>
      <c r="I8" s="62">
        <f t="shared" si="1"/>
        <v>145009.3141</v>
      </c>
      <c r="J8" s="62">
        <f t="shared" si="1"/>
        <v>165518.1154</v>
      </c>
      <c r="K8" s="62">
        <f t="shared" si="1"/>
        <v>182520.9157</v>
      </c>
      <c r="L8" s="62">
        <f t="shared" si="1"/>
        <v>213736.674</v>
      </c>
      <c r="M8" s="62">
        <f t="shared" si="1"/>
        <v>244952.4323</v>
      </c>
      <c r="N8" s="62">
        <f t="shared" si="1"/>
        <v>258086.1754</v>
      </c>
      <c r="O8" s="62">
        <f t="shared" si="1"/>
        <v>252401.9741</v>
      </c>
      <c r="P8" s="62">
        <f t="shared" si="1"/>
        <v>255518.8309</v>
      </c>
      <c r="Q8" s="62">
        <f t="shared" si="1"/>
        <v>96942.78635</v>
      </c>
      <c r="R8" s="62">
        <f t="shared" si="1"/>
        <v>57016.38277</v>
      </c>
      <c r="S8" s="62">
        <f t="shared" si="1"/>
        <v>17089.97918</v>
      </c>
      <c r="T8" s="62"/>
      <c r="U8" s="71"/>
    </row>
    <row r="9" ht="14.25" customHeight="1">
      <c r="A9" s="100"/>
      <c r="B9" s="84" t="s">
        <v>159</v>
      </c>
      <c r="C9" s="62">
        <f>C8</f>
        <v>8960</v>
      </c>
      <c r="D9" s="62">
        <f t="shared" ref="D9:S9" si="2">D8+SUM(D4:D6)</f>
        <v>54343.6678</v>
      </c>
      <c r="E9" s="62">
        <f t="shared" si="2"/>
        <v>99992.87894</v>
      </c>
      <c r="F9" s="62">
        <f t="shared" si="2"/>
        <v>122184.7364</v>
      </c>
      <c r="G9" s="62">
        <f t="shared" si="2"/>
        <v>202641.9485</v>
      </c>
      <c r="H9" s="62">
        <f t="shared" si="2"/>
        <v>158104.026</v>
      </c>
      <c r="I9" s="62">
        <f t="shared" si="2"/>
        <v>169469.7414</v>
      </c>
      <c r="J9" s="62">
        <f t="shared" si="2"/>
        <v>165518.1154</v>
      </c>
      <c r="K9" s="62">
        <f t="shared" si="2"/>
        <v>225111.4904</v>
      </c>
      <c r="L9" s="62">
        <f t="shared" si="2"/>
        <v>213736.674</v>
      </c>
      <c r="M9" s="62">
        <f t="shared" si="2"/>
        <v>244952.4323</v>
      </c>
      <c r="N9" s="62">
        <f t="shared" si="2"/>
        <v>294914.8998</v>
      </c>
      <c r="O9" s="62">
        <f t="shared" si="2"/>
        <v>333217.3568</v>
      </c>
      <c r="P9" s="62">
        <f t="shared" si="2"/>
        <v>255518.8309</v>
      </c>
      <c r="Q9" s="62">
        <f t="shared" si="2"/>
        <v>96942.78635</v>
      </c>
      <c r="R9" s="62">
        <f t="shared" si="2"/>
        <v>57016.38277</v>
      </c>
      <c r="S9" s="62">
        <f t="shared" si="2"/>
        <v>17089.97918</v>
      </c>
      <c r="T9" s="62"/>
      <c r="U9" s="71"/>
    </row>
    <row r="10" ht="14.25" customHeight="1">
      <c r="A10" s="61"/>
      <c r="B10" s="84" t="s">
        <v>113</v>
      </c>
      <c r="C10" s="62"/>
      <c r="D10" s="62">
        <f t="shared" ref="D10:Q10" si="3">SUM(D3:D6)</f>
        <v>45383.6678</v>
      </c>
      <c r="E10" s="62">
        <f t="shared" si="3"/>
        <v>45649.21114</v>
      </c>
      <c r="F10" s="62">
        <f t="shared" si="3"/>
        <v>45090.24094</v>
      </c>
      <c r="G10" s="62">
        <f t="shared" si="3"/>
        <v>103355.5956</v>
      </c>
      <c r="H10" s="62">
        <f t="shared" si="3"/>
        <v>43407.18479</v>
      </c>
      <c r="I10" s="62">
        <f t="shared" si="3"/>
        <v>67503.68775</v>
      </c>
      <c r="J10" s="62">
        <f t="shared" si="3"/>
        <v>43407.18479</v>
      </c>
      <c r="K10" s="62">
        <f t="shared" si="3"/>
        <v>85220.68009</v>
      </c>
      <c r="L10" s="62">
        <f t="shared" si="3"/>
        <v>56843.06337</v>
      </c>
      <c r="M10" s="62">
        <f t="shared" si="3"/>
        <v>56843.06337</v>
      </c>
      <c r="N10" s="62">
        <f t="shared" si="3"/>
        <v>75589.77253</v>
      </c>
      <c r="O10" s="62">
        <f t="shared" si="3"/>
        <v>115057.585</v>
      </c>
      <c r="P10" s="62">
        <f t="shared" si="3"/>
        <v>43043.26041</v>
      </c>
      <c r="Q10" s="62">
        <f t="shared" si="3"/>
        <v>43043.26041</v>
      </c>
      <c r="R10" s="62"/>
      <c r="S10" s="62"/>
      <c r="T10" s="62"/>
      <c r="U10" s="71"/>
    </row>
    <row r="11" ht="14.25" customHeight="1">
      <c r="A11" s="87" t="s">
        <v>106</v>
      </c>
      <c r="B11" s="87" t="s">
        <v>107</v>
      </c>
      <c r="C11" s="103">
        <v>15.0</v>
      </c>
      <c r="D11" s="88">
        <v>16.0</v>
      </c>
      <c r="E11" s="88">
        <v>17.0</v>
      </c>
      <c r="F11" s="88">
        <v>18.0</v>
      </c>
      <c r="G11" s="88">
        <v>19.0</v>
      </c>
      <c r="H11" s="88">
        <v>20.0</v>
      </c>
      <c r="I11" s="88">
        <v>21.0</v>
      </c>
      <c r="J11" s="88">
        <v>22.0</v>
      </c>
      <c r="K11" s="88">
        <v>23.0</v>
      </c>
      <c r="L11" s="88">
        <v>24.0</v>
      </c>
      <c r="M11" s="88">
        <v>25.0</v>
      </c>
      <c r="N11" s="88">
        <v>26.0</v>
      </c>
      <c r="O11" s="88">
        <v>27.0</v>
      </c>
      <c r="P11" s="88">
        <v>28.0</v>
      </c>
      <c r="Q11" s="88">
        <v>29.0</v>
      </c>
      <c r="R11" s="88">
        <v>30.0</v>
      </c>
      <c r="S11" s="88">
        <v>31.0</v>
      </c>
      <c r="T11" s="88" t="s">
        <v>68</v>
      </c>
      <c r="U11" s="71"/>
    </row>
    <row r="12" ht="14.25" customHeight="1">
      <c r="A12" s="99" t="s">
        <v>73</v>
      </c>
      <c r="B12" s="84" t="s">
        <v>102</v>
      </c>
      <c r="C12" s="62"/>
      <c r="D12" s="62">
        <f>($T$12-$C$17)/14*(1+'capacity adjust'!C91)</f>
        <v>35267.37122</v>
      </c>
      <c r="E12" s="62">
        <f>($T$12-$C$17)/14*(1+'capacity adjust'!D91)</f>
        <v>35473.72332</v>
      </c>
      <c r="F12" s="62">
        <f>($T$12-$C$17)/14*(1+'capacity adjust'!E91)</f>
        <v>35039.35099</v>
      </c>
      <c r="G12" s="62">
        <f>($T$12-$C$17)/14*(1+'capacity adjust'!F91)</f>
        <v>29769.59044</v>
      </c>
      <c r="H12" s="62">
        <f>($T$12-$C$17)/14*(1+'capacity adjust'!G91)</f>
        <v>33731.45834</v>
      </c>
      <c r="I12" s="62">
        <f>($T$12-$C$17)/14*(1+'capacity adjust'!H91)</f>
        <v>33448.65492</v>
      </c>
      <c r="J12" s="62">
        <f>($T$12-$C$17)/14*(1+'capacity adjust'!I91)</f>
        <v>33731.45834</v>
      </c>
      <c r="K12" s="62">
        <f>($T$12-$C$17)/14*(1+'capacity adjust'!J91)</f>
        <v>33127.59462</v>
      </c>
      <c r="L12" s="62">
        <f>($T$12-$C$17)/14*(1+'capacity adjust'!K91)</f>
        <v>44172.39756</v>
      </c>
      <c r="M12" s="62">
        <f>($T$12-$C$17)/14*(1+'capacity adjust'!L91)</f>
        <v>44172.39756</v>
      </c>
      <c r="N12" s="62">
        <f>($T$12-$C$17)/14*(1+'capacity adjust'!M91)</f>
        <v>30120.97388</v>
      </c>
      <c r="O12" s="62">
        <f>($T$12-$C$17)/14*(1+'capacity adjust'!N91)</f>
        <v>26609.40636</v>
      </c>
      <c r="P12" s="62">
        <f>($T$12-$C$17)/14*(1+'capacity adjust'!O91)</f>
        <v>33448.65492</v>
      </c>
      <c r="Q12" s="62">
        <f>($T$12-$C$17)/14*(1+'capacity adjust'!P91)</f>
        <v>33448.65492</v>
      </c>
      <c r="R12" s="62"/>
      <c r="S12" s="62"/>
      <c r="T12" s="62">
        <f>T16</f>
        <v>475662.1689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</row>
    <row r="13" ht="14.25" customHeight="1">
      <c r="A13" s="100"/>
      <c r="B13" s="84" t="s">
        <v>99</v>
      </c>
      <c r="C13" s="62"/>
      <c r="D13" s="62"/>
      <c r="E13" s="62"/>
      <c r="F13" s="62"/>
      <c r="G13" s="62">
        <v>50591.896275657105</v>
      </c>
      <c r="H13" s="62"/>
      <c r="I13" s="62"/>
      <c r="J13" s="62"/>
      <c r="K13" s="62">
        <v>23462.268315814366</v>
      </c>
      <c r="L13" s="62"/>
      <c r="M13" s="62"/>
      <c r="N13" s="62"/>
      <c r="O13" s="62">
        <v>62856.408797814045</v>
      </c>
      <c r="P13" s="62"/>
      <c r="Q13" s="62"/>
      <c r="R13" s="62"/>
      <c r="S13" s="62"/>
      <c r="T13" s="62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</row>
    <row r="14" ht="14.25" customHeight="1">
      <c r="A14" s="100"/>
      <c r="B14" s="84" t="s">
        <v>101</v>
      </c>
      <c r="C14" s="62"/>
      <c r="D14" s="62"/>
      <c r="E14" s="62"/>
      <c r="F14" s="62"/>
      <c r="G14" s="62"/>
      <c r="H14" s="62"/>
      <c r="I14" s="62">
        <v>19024.77681926358</v>
      </c>
      <c r="J14" s="62"/>
      <c r="K14" s="62">
        <v>9663.734283122381</v>
      </c>
      <c r="L14" s="62"/>
      <c r="M14" s="62"/>
      <c r="N14" s="62">
        <v>28644.563437860972</v>
      </c>
      <c r="O14" s="62"/>
      <c r="P14" s="62"/>
      <c r="Q14" s="62"/>
      <c r="R14" s="62"/>
      <c r="S14" s="62"/>
      <c r="T14" s="62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</row>
    <row r="15" ht="14.25" customHeight="1">
      <c r="A15" s="100"/>
      <c r="B15" s="84" t="s">
        <v>100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</row>
    <row r="16" ht="14.25" customHeight="1">
      <c r="A16" s="100"/>
      <c r="B16" s="84" t="s">
        <v>111</v>
      </c>
      <c r="C16" s="62"/>
      <c r="D16" s="62"/>
      <c r="E16" s="62"/>
      <c r="F16" s="62">
        <v>17809.853817753723</v>
      </c>
      <c r="G16" s="62">
        <v>17809.853817753723</v>
      </c>
      <c r="H16" s="62">
        <v>17809.853817753723</v>
      </c>
      <c r="I16" s="62">
        <v>43662.867424170414</v>
      </c>
      <c r="J16" s="62">
        <v>17809.853817753723</v>
      </c>
      <c r="K16" s="62">
        <v>19932.348353645306</v>
      </c>
      <c r="L16" s="62">
        <v>19932.348353645306</v>
      </c>
      <c r="M16" s="62">
        <v>19932.348353645306</v>
      </c>
      <c r="N16" s="62">
        <v>19932.348353645306</v>
      </c>
      <c r="O16" s="62">
        <v>31053.869454707223</v>
      </c>
      <c r="P16" s="62">
        <v>31053.869454707223</v>
      </c>
      <c r="Q16" s="62">
        <v>156815.01498395135</v>
      </c>
      <c r="R16" s="62">
        <v>31053.869454707223</v>
      </c>
      <c r="S16" s="62">
        <v>31053.869454707223</v>
      </c>
      <c r="T16" s="62">
        <v>475662.16891254677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</row>
    <row r="17" ht="14.25" customHeight="1">
      <c r="A17" s="100"/>
      <c r="B17" s="84" t="s">
        <v>112</v>
      </c>
      <c r="C17" s="62">
        <v>7381.0</v>
      </c>
      <c r="D17" s="62">
        <f t="shared" ref="D17:S17" si="4">C17+D12-D16</f>
        <v>42648.37122</v>
      </c>
      <c r="E17" s="62">
        <f t="shared" si="4"/>
        <v>78122.09455</v>
      </c>
      <c r="F17" s="62">
        <f t="shared" si="4"/>
        <v>95351.59172</v>
      </c>
      <c r="G17" s="62">
        <f t="shared" si="4"/>
        <v>107311.3283</v>
      </c>
      <c r="H17" s="62">
        <f t="shared" si="4"/>
        <v>123232.9329</v>
      </c>
      <c r="I17" s="62">
        <f t="shared" si="4"/>
        <v>113018.7204</v>
      </c>
      <c r="J17" s="62">
        <f t="shared" si="4"/>
        <v>128940.3249</v>
      </c>
      <c r="K17" s="62">
        <f t="shared" si="4"/>
        <v>142135.5712</v>
      </c>
      <c r="L17" s="62">
        <f t="shared" si="4"/>
        <v>166375.6204</v>
      </c>
      <c r="M17" s="62">
        <f t="shared" si="4"/>
        <v>190615.6696</v>
      </c>
      <c r="N17" s="62">
        <f t="shared" si="4"/>
        <v>200804.2951</v>
      </c>
      <c r="O17" s="62">
        <f t="shared" si="4"/>
        <v>196359.832</v>
      </c>
      <c r="P17" s="62">
        <f t="shared" si="4"/>
        <v>198754.6175</v>
      </c>
      <c r="Q17" s="62">
        <f t="shared" si="4"/>
        <v>75388.25741</v>
      </c>
      <c r="R17" s="62">
        <f t="shared" si="4"/>
        <v>44334.38796</v>
      </c>
      <c r="S17" s="62">
        <f t="shared" si="4"/>
        <v>13280.5185</v>
      </c>
      <c r="T17" s="62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ht="14.25" customHeight="1">
      <c r="A18" s="100"/>
      <c r="B18" s="84" t="s">
        <v>159</v>
      </c>
      <c r="C18" s="62">
        <f>C17</f>
        <v>7381</v>
      </c>
      <c r="D18" s="62">
        <f t="shared" ref="D18:S18" si="5">D17+SUM(D13:D15)</f>
        <v>42648.37122</v>
      </c>
      <c r="E18" s="62">
        <f t="shared" si="5"/>
        <v>78122.09455</v>
      </c>
      <c r="F18" s="62">
        <f t="shared" si="5"/>
        <v>95351.59172</v>
      </c>
      <c r="G18" s="62">
        <f t="shared" si="5"/>
        <v>157903.2246</v>
      </c>
      <c r="H18" s="62">
        <f t="shared" si="5"/>
        <v>123232.9329</v>
      </c>
      <c r="I18" s="62">
        <f t="shared" si="5"/>
        <v>132043.4972</v>
      </c>
      <c r="J18" s="62">
        <f t="shared" si="5"/>
        <v>128940.3249</v>
      </c>
      <c r="K18" s="62">
        <f t="shared" si="5"/>
        <v>175261.5738</v>
      </c>
      <c r="L18" s="62">
        <f t="shared" si="5"/>
        <v>166375.6204</v>
      </c>
      <c r="M18" s="62">
        <f t="shared" si="5"/>
        <v>190615.6696</v>
      </c>
      <c r="N18" s="62">
        <f t="shared" si="5"/>
        <v>229448.8585</v>
      </c>
      <c r="O18" s="62">
        <f t="shared" si="5"/>
        <v>259216.2408</v>
      </c>
      <c r="P18" s="62">
        <f t="shared" si="5"/>
        <v>198754.6175</v>
      </c>
      <c r="Q18" s="62">
        <f t="shared" si="5"/>
        <v>75388.25741</v>
      </c>
      <c r="R18" s="62">
        <f t="shared" si="5"/>
        <v>44334.38796</v>
      </c>
      <c r="S18" s="62">
        <f t="shared" si="5"/>
        <v>13280.5185</v>
      </c>
      <c r="T18" s="62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</row>
    <row r="19" ht="14.25" customHeight="1">
      <c r="A19" s="61"/>
      <c r="B19" s="84" t="s">
        <v>113</v>
      </c>
      <c r="C19" s="62"/>
      <c r="D19" s="62">
        <f t="shared" ref="D19:Q19" si="6">SUM(D12:D15)</f>
        <v>35267.37122</v>
      </c>
      <c r="E19" s="62">
        <f t="shared" si="6"/>
        <v>35473.72332</v>
      </c>
      <c r="F19" s="62">
        <f t="shared" si="6"/>
        <v>35039.35099</v>
      </c>
      <c r="G19" s="62">
        <f t="shared" si="6"/>
        <v>80361.48672</v>
      </c>
      <c r="H19" s="62">
        <f t="shared" si="6"/>
        <v>33731.45834</v>
      </c>
      <c r="I19" s="62">
        <f t="shared" si="6"/>
        <v>52473.43174</v>
      </c>
      <c r="J19" s="62">
        <f t="shared" si="6"/>
        <v>33731.45834</v>
      </c>
      <c r="K19" s="62">
        <f t="shared" si="6"/>
        <v>66253.59722</v>
      </c>
      <c r="L19" s="62">
        <f t="shared" si="6"/>
        <v>44172.39756</v>
      </c>
      <c r="M19" s="62">
        <f t="shared" si="6"/>
        <v>44172.39756</v>
      </c>
      <c r="N19" s="62">
        <f t="shared" si="6"/>
        <v>58765.53732</v>
      </c>
      <c r="O19" s="62">
        <f t="shared" si="6"/>
        <v>89465.81516</v>
      </c>
      <c r="P19" s="62">
        <f t="shared" si="6"/>
        <v>33448.65492</v>
      </c>
      <c r="Q19" s="62">
        <f t="shared" si="6"/>
        <v>33448.65492</v>
      </c>
      <c r="R19" s="62"/>
      <c r="S19" s="62"/>
      <c r="T19" s="62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</row>
    <row r="20" ht="14.25" customHeight="1">
      <c r="A20" s="87" t="s">
        <v>106</v>
      </c>
      <c r="B20" s="87" t="s">
        <v>107</v>
      </c>
      <c r="C20" s="103">
        <v>15.0</v>
      </c>
      <c r="D20" s="88">
        <v>16.0</v>
      </c>
      <c r="E20" s="88">
        <v>17.0</v>
      </c>
      <c r="F20" s="88">
        <v>18.0</v>
      </c>
      <c r="G20" s="88">
        <v>19.0</v>
      </c>
      <c r="H20" s="88">
        <v>20.0</v>
      </c>
      <c r="I20" s="88">
        <v>21.0</v>
      </c>
      <c r="J20" s="88">
        <v>22.0</v>
      </c>
      <c r="K20" s="88">
        <v>23.0</v>
      </c>
      <c r="L20" s="88">
        <v>24.0</v>
      </c>
      <c r="M20" s="88">
        <v>25.0</v>
      </c>
      <c r="N20" s="88">
        <v>26.0</v>
      </c>
      <c r="O20" s="88">
        <v>27.0</v>
      </c>
      <c r="P20" s="88">
        <v>28.0</v>
      </c>
      <c r="Q20" s="88">
        <v>29.0</v>
      </c>
      <c r="R20" s="88">
        <v>30.0</v>
      </c>
      <c r="S20" s="88">
        <v>31.0</v>
      </c>
      <c r="T20" s="88" t="s">
        <v>68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</row>
    <row r="21" ht="14.25" customHeight="1">
      <c r="A21" s="99" t="s">
        <v>75</v>
      </c>
      <c r="B21" s="84" t="s">
        <v>102</v>
      </c>
      <c r="C21" s="62"/>
      <c r="D21" s="62">
        <f>($T$21-$C$26)/14*(1+'capacity adjust'!C91)</f>
        <v>15744.36888</v>
      </c>
      <c r="E21" s="62">
        <f>($T$21-$C$26)/14*(1+'capacity adjust'!D91)</f>
        <v>15836.49039</v>
      </c>
      <c r="F21" s="62">
        <f>($T$21-$C$26)/14*(1+'capacity adjust'!E91)</f>
        <v>15642.57409</v>
      </c>
      <c r="G21" s="62">
        <f>($T$21-$C$26)/14*(1+'capacity adjust'!F91)</f>
        <v>13290.00141</v>
      </c>
      <c r="H21" s="62">
        <f>($T$21-$C$26)/14*(1+'capacity adjust'!G91)</f>
        <v>15058.69319</v>
      </c>
      <c r="I21" s="62">
        <f>($T$21-$C$26)/14*(1+'capacity adjust'!H91)</f>
        <v>14932.44161</v>
      </c>
      <c r="J21" s="62">
        <f>($T$21-$C$26)/14*(1+'capacity adjust'!I91)</f>
        <v>15058.69319</v>
      </c>
      <c r="K21" s="62">
        <f>($T$21-$C$26)/14*(1+'capacity adjust'!J91)</f>
        <v>14789.11106</v>
      </c>
      <c r="L21" s="62">
        <f>($T$21-$C$26)/14*(1+'capacity adjust'!K91)</f>
        <v>19719.82876</v>
      </c>
      <c r="M21" s="62">
        <f>($T$21-$C$26)/14*(1+'capacity adjust'!L91)</f>
        <v>19719.82876</v>
      </c>
      <c r="N21" s="62">
        <f>($T$21-$C$26)/14*(1+'capacity adjust'!M91)</f>
        <v>13446.86908</v>
      </c>
      <c r="O21" s="62">
        <f>($T$21-$C$26)/14*(1+'capacity adjust'!N91)</f>
        <v>11879.20434</v>
      </c>
      <c r="P21" s="62">
        <f>($T$21-$C$26)/14*(1+'capacity adjust'!O91)</f>
        <v>14932.44161</v>
      </c>
      <c r="Q21" s="62">
        <f>($T$21-$C$26)/14*(1+'capacity adjust'!P91)</f>
        <v>14932.44161</v>
      </c>
      <c r="R21" s="62"/>
      <c r="S21" s="62"/>
      <c r="T21" s="62">
        <f>T25</f>
        <v>212349.1826</v>
      </c>
      <c r="U21" s="71"/>
    </row>
    <row r="22" ht="14.25" customHeight="1">
      <c r="A22" s="100"/>
      <c r="B22" s="84" t="s">
        <v>99</v>
      </c>
      <c r="C22" s="62"/>
      <c r="D22" s="62"/>
      <c r="E22" s="62"/>
      <c r="F22" s="62"/>
      <c r="G22" s="62">
        <v>22585.667980204104</v>
      </c>
      <c r="H22" s="62"/>
      <c r="I22" s="62"/>
      <c r="J22" s="62"/>
      <c r="K22" s="62">
        <v>10474.226926702842</v>
      </c>
      <c r="L22" s="62"/>
      <c r="M22" s="62"/>
      <c r="N22" s="62"/>
      <c r="O22" s="62">
        <v>28060.89678473841</v>
      </c>
      <c r="P22" s="62"/>
      <c r="Q22" s="62"/>
      <c r="R22" s="62"/>
      <c r="S22" s="62"/>
      <c r="T22" s="62"/>
      <c r="U22" s="71"/>
    </row>
    <row r="23" ht="14.25" customHeight="1">
      <c r="A23" s="100"/>
      <c r="B23" s="84" t="s">
        <v>101</v>
      </c>
      <c r="C23" s="62"/>
      <c r="D23" s="62"/>
      <c r="E23" s="62"/>
      <c r="F23" s="62"/>
      <c r="G23" s="62"/>
      <c r="H23" s="62"/>
      <c r="I23" s="62">
        <v>8493.203937171256</v>
      </c>
      <c r="J23" s="62"/>
      <c r="K23" s="62">
        <v>4314.167090679634</v>
      </c>
      <c r="L23" s="62"/>
      <c r="M23" s="62"/>
      <c r="N23" s="62">
        <v>12787.75153475936</v>
      </c>
      <c r="O23" s="62"/>
      <c r="P23" s="62"/>
      <c r="Q23" s="62"/>
      <c r="R23" s="62"/>
      <c r="S23" s="62"/>
      <c r="T23" s="62"/>
      <c r="U23" s="71"/>
    </row>
    <row r="24" ht="14.25" customHeight="1">
      <c r="A24" s="100"/>
      <c r="B24" s="84" t="s">
        <v>100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71"/>
    </row>
    <row r="25" ht="14.25" customHeight="1">
      <c r="A25" s="100"/>
      <c r="B25" s="84" t="s">
        <v>111</v>
      </c>
      <c r="C25" s="62"/>
      <c r="D25" s="62"/>
      <c r="E25" s="62"/>
      <c r="F25" s="62">
        <v>7950.827597211498</v>
      </c>
      <c r="G25" s="62">
        <v>7950.827597211498</v>
      </c>
      <c r="H25" s="62">
        <v>7950.827597211498</v>
      </c>
      <c r="I25" s="62">
        <v>19492.35152864754</v>
      </c>
      <c r="J25" s="62">
        <v>7950.827597211498</v>
      </c>
      <c r="K25" s="62">
        <v>8898.369800734508</v>
      </c>
      <c r="L25" s="62">
        <v>8898.369800734508</v>
      </c>
      <c r="M25" s="62">
        <v>8898.369800734508</v>
      </c>
      <c r="N25" s="62">
        <v>8898.369800734508</v>
      </c>
      <c r="O25" s="62">
        <v>13863.334577994294</v>
      </c>
      <c r="P25" s="62">
        <v>13863.334577994294</v>
      </c>
      <c r="Q25" s="62">
        <v>70006.70311783544</v>
      </c>
      <c r="R25" s="62">
        <v>13863.334577994294</v>
      </c>
      <c r="S25" s="62">
        <v>13863.334577994294</v>
      </c>
      <c r="T25" s="62">
        <v>212349.18255024418</v>
      </c>
      <c r="U25" s="71"/>
    </row>
    <row r="26" ht="14.25" customHeight="1">
      <c r="A26" s="100"/>
      <c r="B26" s="84" t="s">
        <v>112</v>
      </c>
      <c r="C26" s="62">
        <v>3295.0</v>
      </c>
      <c r="D26" s="62">
        <f t="shared" ref="D26:S26" si="7">C26+D21-D25</f>
        <v>19039.36888</v>
      </c>
      <c r="E26" s="62">
        <f t="shared" si="7"/>
        <v>34875.85927</v>
      </c>
      <c r="F26" s="62">
        <f t="shared" si="7"/>
        <v>42567.60576</v>
      </c>
      <c r="G26" s="62">
        <f t="shared" si="7"/>
        <v>47906.77957</v>
      </c>
      <c r="H26" s="62">
        <f t="shared" si="7"/>
        <v>55014.64516</v>
      </c>
      <c r="I26" s="62">
        <f t="shared" si="7"/>
        <v>50454.73525</v>
      </c>
      <c r="J26" s="62">
        <f t="shared" si="7"/>
        <v>57562.60084</v>
      </c>
      <c r="K26" s="62">
        <f t="shared" si="7"/>
        <v>63453.3421</v>
      </c>
      <c r="L26" s="62">
        <f t="shared" si="7"/>
        <v>74274.80106</v>
      </c>
      <c r="M26" s="62">
        <f t="shared" si="7"/>
        <v>85096.26002</v>
      </c>
      <c r="N26" s="62">
        <f t="shared" si="7"/>
        <v>89644.7593</v>
      </c>
      <c r="O26" s="62">
        <f t="shared" si="7"/>
        <v>87660.62907</v>
      </c>
      <c r="P26" s="62">
        <f t="shared" si="7"/>
        <v>88729.7361</v>
      </c>
      <c r="Q26" s="62">
        <f t="shared" si="7"/>
        <v>33655.47459</v>
      </c>
      <c r="R26" s="62">
        <f t="shared" si="7"/>
        <v>19792.14001</v>
      </c>
      <c r="S26" s="62">
        <f t="shared" si="7"/>
        <v>5928.805435</v>
      </c>
      <c r="T26" s="62"/>
      <c r="U26" s="71"/>
    </row>
    <row r="27" ht="14.25" customHeight="1">
      <c r="A27" s="100"/>
      <c r="B27" s="137" t="s">
        <v>159</v>
      </c>
      <c r="C27" s="62">
        <f>C26</f>
        <v>3295</v>
      </c>
      <c r="D27" s="62">
        <f t="shared" ref="D27:S27" si="8">D26+SUM(D22:D24)</f>
        <v>19039.36888</v>
      </c>
      <c r="E27" s="62">
        <f t="shared" si="8"/>
        <v>34875.85927</v>
      </c>
      <c r="F27" s="62">
        <f t="shared" si="8"/>
        <v>42567.60576</v>
      </c>
      <c r="G27" s="62">
        <f t="shared" si="8"/>
        <v>70492.44755</v>
      </c>
      <c r="H27" s="62">
        <f t="shared" si="8"/>
        <v>55014.64516</v>
      </c>
      <c r="I27" s="62">
        <f t="shared" si="8"/>
        <v>58947.93918</v>
      </c>
      <c r="J27" s="62">
        <f t="shared" si="8"/>
        <v>57562.60084</v>
      </c>
      <c r="K27" s="62">
        <f t="shared" si="8"/>
        <v>78241.73611</v>
      </c>
      <c r="L27" s="62">
        <f t="shared" si="8"/>
        <v>74274.80106</v>
      </c>
      <c r="M27" s="62">
        <f t="shared" si="8"/>
        <v>85096.26002</v>
      </c>
      <c r="N27" s="62">
        <f t="shared" si="8"/>
        <v>102432.5108</v>
      </c>
      <c r="O27" s="62">
        <f t="shared" si="8"/>
        <v>115721.5259</v>
      </c>
      <c r="P27" s="62">
        <f t="shared" si="8"/>
        <v>88729.7361</v>
      </c>
      <c r="Q27" s="62">
        <f t="shared" si="8"/>
        <v>33655.47459</v>
      </c>
      <c r="R27" s="62">
        <f t="shared" si="8"/>
        <v>19792.14001</v>
      </c>
      <c r="S27" s="62">
        <f t="shared" si="8"/>
        <v>5928.805435</v>
      </c>
      <c r="T27" s="62"/>
      <c r="U27" s="71"/>
    </row>
    <row r="28" ht="14.25" customHeight="1">
      <c r="A28" s="61"/>
      <c r="B28" s="84" t="s">
        <v>68</v>
      </c>
      <c r="C28" s="62"/>
      <c r="D28" s="62">
        <f t="shared" ref="D28:Q28" si="9">SUM(D21:D24)</f>
        <v>15744.36888</v>
      </c>
      <c r="E28" s="62">
        <f t="shared" si="9"/>
        <v>15836.49039</v>
      </c>
      <c r="F28" s="62">
        <f t="shared" si="9"/>
        <v>15642.57409</v>
      </c>
      <c r="G28" s="62">
        <f t="shared" si="9"/>
        <v>35875.66939</v>
      </c>
      <c r="H28" s="62">
        <f t="shared" si="9"/>
        <v>15058.69319</v>
      </c>
      <c r="I28" s="62">
        <f t="shared" si="9"/>
        <v>23425.64555</v>
      </c>
      <c r="J28" s="62">
        <f t="shared" si="9"/>
        <v>15058.69319</v>
      </c>
      <c r="K28" s="62">
        <f t="shared" si="9"/>
        <v>29577.50508</v>
      </c>
      <c r="L28" s="62">
        <f t="shared" si="9"/>
        <v>19719.82876</v>
      </c>
      <c r="M28" s="62">
        <f t="shared" si="9"/>
        <v>19719.82876</v>
      </c>
      <c r="N28" s="62">
        <f t="shared" si="9"/>
        <v>26234.62062</v>
      </c>
      <c r="O28" s="62">
        <f t="shared" si="9"/>
        <v>39940.10113</v>
      </c>
      <c r="P28" s="62">
        <f t="shared" si="9"/>
        <v>14932.44161</v>
      </c>
      <c r="Q28" s="62">
        <f t="shared" si="9"/>
        <v>14932.44161</v>
      </c>
      <c r="R28" s="62"/>
      <c r="S28" s="62"/>
      <c r="T28" s="62"/>
      <c r="U28" s="71"/>
    </row>
    <row r="29" ht="14.25" customHeight="1">
      <c r="A29" s="87" t="s">
        <v>106</v>
      </c>
      <c r="B29" s="87" t="s">
        <v>107</v>
      </c>
      <c r="C29" s="103">
        <v>15.0</v>
      </c>
      <c r="D29" s="88">
        <v>16.0</v>
      </c>
      <c r="E29" s="88">
        <v>17.0</v>
      </c>
      <c r="F29" s="88">
        <v>18.0</v>
      </c>
      <c r="G29" s="88">
        <v>19.0</v>
      </c>
      <c r="H29" s="88">
        <v>20.0</v>
      </c>
      <c r="I29" s="88">
        <v>21.0</v>
      </c>
      <c r="J29" s="88">
        <v>22.0</v>
      </c>
      <c r="K29" s="88">
        <v>23.0</v>
      </c>
      <c r="L29" s="88">
        <v>24.0</v>
      </c>
      <c r="M29" s="88">
        <v>25.0</v>
      </c>
      <c r="N29" s="88">
        <v>26.0</v>
      </c>
      <c r="O29" s="88">
        <v>27.0</v>
      </c>
      <c r="P29" s="88">
        <v>28.0</v>
      </c>
      <c r="Q29" s="88">
        <v>29.0</v>
      </c>
      <c r="R29" s="88">
        <v>30.0</v>
      </c>
      <c r="S29" s="88">
        <v>31.0</v>
      </c>
      <c r="T29" s="88" t="s">
        <v>68</v>
      </c>
      <c r="U29" s="71"/>
    </row>
    <row r="30" ht="14.25" customHeight="1">
      <c r="A30" s="99" t="s">
        <v>77</v>
      </c>
      <c r="B30" s="84" t="s">
        <v>102</v>
      </c>
      <c r="C30" s="62"/>
      <c r="D30" s="62">
        <f>($T$30-$C$35)/14*(1+'capacity adjust'!C91)</f>
        <v>26240.58969</v>
      </c>
      <c r="E30" s="62">
        <f>($T$30-$C$35)/14*(1+'capacity adjust'!D91)</f>
        <v>26394.1254</v>
      </c>
      <c r="F30" s="62">
        <f>($T$30-$C$35)/14*(1+'capacity adjust'!E91)</f>
        <v>26070.93187</v>
      </c>
      <c r="G30" s="62">
        <f>($T$30-$C$35)/14*(1+'capacity adjust'!F91)</f>
        <v>22149.98116</v>
      </c>
      <c r="H30" s="62">
        <f>($T$30-$C$35)/14*(1+'capacity adjust'!G91)</f>
        <v>25097.79797</v>
      </c>
      <c r="I30" s="62">
        <f>($T$30-$C$35)/14*(1+'capacity adjust'!H91)</f>
        <v>24887.37888</v>
      </c>
      <c r="J30" s="62">
        <f>($T$30-$C$35)/14*(1+'capacity adjust'!I91)</f>
        <v>25097.79797</v>
      </c>
      <c r="K30" s="62">
        <f>($T$30-$C$35)/14*(1+'capacity adjust'!J91)</f>
        <v>24648.49485</v>
      </c>
      <c r="L30" s="62">
        <f>($T$30-$C$35)/14*(1+'capacity adjust'!K91)</f>
        <v>32866.34983</v>
      </c>
      <c r="M30" s="62">
        <f>($T$30-$C$35)/14*(1+'capacity adjust'!L91)</f>
        <v>32866.34983</v>
      </c>
      <c r="N30" s="62">
        <f>($T$30-$C$35)/14*(1+'capacity adjust'!M91)</f>
        <v>22411.42703</v>
      </c>
      <c r="O30" s="62">
        <f>($T$30-$C$35)/14*(1+'capacity adjust'!N91)</f>
        <v>19798.65496</v>
      </c>
      <c r="P30" s="62">
        <f>($T$30-$C$35)/14*(1+'capacity adjust'!O91)</f>
        <v>24887.37888</v>
      </c>
      <c r="Q30" s="62">
        <f>($T$30-$C$35)/14*(1+'capacity adjust'!P91)</f>
        <v>24887.37888</v>
      </c>
      <c r="R30" s="62"/>
      <c r="S30" s="62"/>
      <c r="T30" s="62">
        <f>T34</f>
        <v>353915.3043</v>
      </c>
      <c r="U30" s="71"/>
    </row>
    <row r="31" ht="14.25" customHeight="1">
      <c r="A31" s="100"/>
      <c r="B31" s="84" t="s">
        <v>99</v>
      </c>
      <c r="C31" s="62"/>
      <c r="D31" s="62"/>
      <c r="E31" s="62"/>
      <c r="F31" s="62"/>
      <c r="G31" s="62">
        <v>37642.779967006834</v>
      </c>
      <c r="H31" s="62"/>
      <c r="I31" s="62"/>
      <c r="J31" s="62"/>
      <c r="K31" s="62">
        <v>17457.044877838067</v>
      </c>
      <c r="L31" s="62"/>
      <c r="M31" s="62"/>
      <c r="N31" s="62"/>
      <c r="O31" s="62">
        <v>46768.16130789734</v>
      </c>
      <c r="P31" s="62"/>
      <c r="Q31" s="62"/>
      <c r="R31" s="62"/>
      <c r="S31" s="62"/>
      <c r="T31" s="62"/>
      <c r="U31" s="71"/>
    </row>
    <row r="32" ht="14.25" customHeight="1">
      <c r="A32" s="100"/>
      <c r="B32" s="84" t="s">
        <v>101</v>
      </c>
      <c r="C32" s="62"/>
      <c r="D32" s="62"/>
      <c r="E32" s="62"/>
      <c r="F32" s="62"/>
      <c r="G32" s="62"/>
      <c r="H32" s="62"/>
      <c r="I32" s="62">
        <v>14155.339895285426</v>
      </c>
      <c r="J32" s="62"/>
      <c r="K32" s="62">
        <v>7190.2784844660555</v>
      </c>
      <c r="L32" s="62"/>
      <c r="M32" s="62"/>
      <c r="N32" s="62">
        <v>21312.919224598932</v>
      </c>
      <c r="O32" s="62"/>
      <c r="P32" s="62"/>
      <c r="Q32" s="62"/>
      <c r="R32" s="62"/>
      <c r="S32" s="62"/>
      <c r="T32" s="62"/>
      <c r="U32" s="71"/>
    </row>
    <row r="33" ht="14.25" customHeight="1">
      <c r="A33" s="100"/>
      <c r="B33" s="84" t="s">
        <v>100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71"/>
    </row>
    <row r="34" ht="14.25" customHeight="1">
      <c r="A34" s="100"/>
      <c r="B34" s="84" t="s">
        <v>111</v>
      </c>
      <c r="C34" s="62"/>
      <c r="D34" s="62"/>
      <c r="E34" s="62"/>
      <c r="F34" s="62">
        <v>13251.379328685829</v>
      </c>
      <c r="G34" s="62">
        <v>13251.379328685829</v>
      </c>
      <c r="H34" s="62">
        <v>13251.379328685829</v>
      </c>
      <c r="I34" s="62">
        <v>32487.252547745906</v>
      </c>
      <c r="J34" s="62">
        <v>13251.379328685829</v>
      </c>
      <c r="K34" s="62">
        <v>14830.616334557513</v>
      </c>
      <c r="L34" s="62">
        <v>14830.616334557513</v>
      </c>
      <c r="M34" s="62">
        <v>14830.616334557513</v>
      </c>
      <c r="N34" s="62">
        <v>14830.616334557513</v>
      </c>
      <c r="O34" s="62">
        <v>23105.55762999049</v>
      </c>
      <c r="P34" s="62">
        <v>23105.55762999049</v>
      </c>
      <c r="Q34" s="62">
        <v>116677.83852972569</v>
      </c>
      <c r="R34" s="62">
        <v>23105.55762999049</v>
      </c>
      <c r="S34" s="62">
        <v>23105.55762999049</v>
      </c>
      <c r="T34" s="62">
        <v>353915.3042504069</v>
      </c>
      <c r="U34" s="71"/>
    </row>
    <row r="35" ht="14.25" customHeight="1">
      <c r="A35" s="100"/>
      <c r="B35" s="84" t="s">
        <v>112</v>
      </c>
      <c r="C35" s="62">
        <v>5492.0</v>
      </c>
      <c r="D35" s="62">
        <f t="shared" ref="D35:S35" si="10">C35+D30-D34</f>
        <v>31732.58969</v>
      </c>
      <c r="E35" s="62">
        <f t="shared" si="10"/>
        <v>58126.71509</v>
      </c>
      <c r="F35" s="62">
        <f t="shared" si="10"/>
        <v>70946.26763</v>
      </c>
      <c r="G35" s="62">
        <f t="shared" si="10"/>
        <v>79844.86946</v>
      </c>
      <c r="H35" s="62">
        <f t="shared" si="10"/>
        <v>91691.28811</v>
      </c>
      <c r="I35" s="62">
        <f t="shared" si="10"/>
        <v>84091.41444</v>
      </c>
      <c r="J35" s="62">
        <f t="shared" si="10"/>
        <v>95937.83308</v>
      </c>
      <c r="K35" s="62">
        <f t="shared" si="10"/>
        <v>105755.7116</v>
      </c>
      <c r="L35" s="62">
        <f t="shared" si="10"/>
        <v>123791.4451</v>
      </c>
      <c r="M35" s="62">
        <f t="shared" si="10"/>
        <v>141827.1786</v>
      </c>
      <c r="N35" s="62">
        <f t="shared" si="10"/>
        <v>149407.9893</v>
      </c>
      <c r="O35" s="62">
        <f t="shared" si="10"/>
        <v>146101.0866</v>
      </c>
      <c r="P35" s="62">
        <f t="shared" si="10"/>
        <v>147882.9079</v>
      </c>
      <c r="Q35" s="62">
        <f t="shared" si="10"/>
        <v>56092.4482</v>
      </c>
      <c r="R35" s="62">
        <f t="shared" si="10"/>
        <v>32986.89057</v>
      </c>
      <c r="S35" s="62">
        <f t="shared" si="10"/>
        <v>9881.332939</v>
      </c>
      <c r="T35" s="62"/>
      <c r="U35" s="71"/>
    </row>
    <row r="36" ht="14.25" customHeight="1">
      <c r="A36" s="100"/>
      <c r="B36" s="137" t="s">
        <v>159</v>
      </c>
      <c r="C36" s="62">
        <f>C35</f>
        <v>5492</v>
      </c>
      <c r="D36" s="62">
        <f t="shared" ref="D36:S36" si="11">D35+SUM(D31:D33)</f>
        <v>31732.58969</v>
      </c>
      <c r="E36" s="62">
        <f t="shared" si="11"/>
        <v>58126.71509</v>
      </c>
      <c r="F36" s="62">
        <f t="shared" si="11"/>
        <v>70946.26763</v>
      </c>
      <c r="G36" s="62">
        <f t="shared" si="11"/>
        <v>117487.6494</v>
      </c>
      <c r="H36" s="62">
        <f t="shared" si="11"/>
        <v>91691.28811</v>
      </c>
      <c r="I36" s="62">
        <f t="shared" si="11"/>
        <v>98246.75433</v>
      </c>
      <c r="J36" s="62">
        <f t="shared" si="11"/>
        <v>95937.83308</v>
      </c>
      <c r="K36" s="62">
        <f t="shared" si="11"/>
        <v>130403.035</v>
      </c>
      <c r="L36" s="62">
        <f t="shared" si="11"/>
        <v>123791.4451</v>
      </c>
      <c r="M36" s="62">
        <f t="shared" si="11"/>
        <v>141827.1786</v>
      </c>
      <c r="N36" s="62">
        <f t="shared" si="11"/>
        <v>170720.9085</v>
      </c>
      <c r="O36" s="62">
        <f t="shared" si="11"/>
        <v>192869.2479</v>
      </c>
      <c r="P36" s="62">
        <f t="shared" si="11"/>
        <v>147882.9079</v>
      </c>
      <c r="Q36" s="62">
        <f t="shared" si="11"/>
        <v>56092.4482</v>
      </c>
      <c r="R36" s="62">
        <f t="shared" si="11"/>
        <v>32986.89057</v>
      </c>
      <c r="S36" s="62">
        <f t="shared" si="11"/>
        <v>9881.332939</v>
      </c>
      <c r="T36" s="62"/>
      <c r="U36" s="71"/>
    </row>
    <row r="37" ht="14.25" customHeight="1">
      <c r="A37" s="61"/>
      <c r="B37" s="84" t="s">
        <v>68</v>
      </c>
      <c r="C37" s="62"/>
      <c r="D37" s="62">
        <f t="shared" ref="D37:Q37" si="12">SUM(D30:D33)</f>
        <v>26240.58969</v>
      </c>
      <c r="E37" s="62">
        <f t="shared" si="12"/>
        <v>26394.1254</v>
      </c>
      <c r="F37" s="62">
        <f t="shared" si="12"/>
        <v>26070.93187</v>
      </c>
      <c r="G37" s="62">
        <f t="shared" si="12"/>
        <v>59792.76113</v>
      </c>
      <c r="H37" s="62">
        <f t="shared" si="12"/>
        <v>25097.79797</v>
      </c>
      <c r="I37" s="62">
        <f t="shared" si="12"/>
        <v>39042.71877</v>
      </c>
      <c r="J37" s="62">
        <f t="shared" si="12"/>
        <v>25097.79797</v>
      </c>
      <c r="K37" s="62">
        <f t="shared" si="12"/>
        <v>49295.81821</v>
      </c>
      <c r="L37" s="62">
        <f t="shared" si="12"/>
        <v>32866.34983</v>
      </c>
      <c r="M37" s="62">
        <f t="shared" si="12"/>
        <v>32866.34983</v>
      </c>
      <c r="N37" s="62">
        <f t="shared" si="12"/>
        <v>43724.34626</v>
      </c>
      <c r="O37" s="62">
        <f t="shared" si="12"/>
        <v>66566.81627</v>
      </c>
      <c r="P37" s="62">
        <f t="shared" si="12"/>
        <v>24887.37888</v>
      </c>
      <c r="Q37" s="62">
        <f t="shared" si="12"/>
        <v>24887.37888</v>
      </c>
      <c r="R37" s="62"/>
      <c r="S37" s="62"/>
      <c r="T37" s="62"/>
      <c r="U37" s="71"/>
    </row>
    <row r="38" ht="14.25" customHeight="1">
      <c r="A38" s="87" t="s">
        <v>106</v>
      </c>
      <c r="B38" s="87" t="s">
        <v>107</v>
      </c>
      <c r="C38" s="103">
        <v>15.0</v>
      </c>
      <c r="D38" s="88">
        <v>16.0</v>
      </c>
      <c r="E38" s="88">
        <v>17.0</v>
      </c>
      <c r="F38" s="88">
        <v>18.0</v>
      </c>
      <c r="G38" s="88">
        <v>19.0</v>
      </c>
      <c r="H38" s="88">
        <v>20.0</v>
      </c>
      <c r="I38" s="88">
        <v>21.0</v>
      </c>
      <c r="J38" s="88">
        <v>22.0</v>
      </c>
      <c r="K38" s="88">
        <v>23.0</v>
      </c>
      <c r="L38" s="88">
        <v>24.0</v>
      </c>
      <c r="M38" s="88">
        <v>25.0</v>
      </c>
      <c r="N38" s="88">
        <v>26.0</v>
      </c>
      <c r="O38" s="88">
        <v>27.0</v>
      </c>
      <c r="P38" s="88">
        <v>28.0</v>
      </c>
      <c r="Q38" s="88">
        <v>29.0</v>
      </c>
      <c r="R38" s="88">
        <v>30.0</v>
      </c>
      <c r="S38" s="88">
        <v>31.0</v>
      </c>
      <c r="T38" s="88" t="s">
        <v>68</v>
      </c>
      <c r="U38" s="71"/>
    </row>
    <row r="39" ht="14.25" customHeight="1">
      <c r="A39" s="99" t="s">
        <v>79</v>
      </c>
      <c r="B39" s="84" t="s">
        <v>102</v>
      </c>
      <c r="C39" s="62"/>
      <c r="D39" s="62">
        <f>($T$39-$C$44)/14*(1+'capacity adjust'!C91)</f>
        <v>18709.98093</v>
      </c>
      <c r="E39" s="62">
        <f>($T$39-$C$44)/14*(1+'capacity adjust'!D91)</f>
        <v>18819.45447</v>
      </c>
      <c r="F39" s="62">
        <f>($T$39-$C$44)/14*(1+'capacity adjust'!E91)</f>
        <v>18589.01206</v>
      </c>
      <c r="G39" s="62">
        <f>($T$39-$C$44)/14*(1+'capacity adjust'!F91)</f>
        <v>15793.30838</v>
      </c>
      <c r="H39" s="62">
        <f>($T$39-$C$44)/14*(1+'capacity adjust'!G91)</f>
        <v>17895.15125</v>
      </c>
      <c r="I39" s="62">
        <f>($T$39-$C$44)/14*(1+'capacity adjust'!H91)</f>
        <v>17745.1189</v>
      </c>
      <c r="J39" s="62">
        <f>($T$39-$C$44)/14*(1+'capacity adjust'!I91)</f>
        <v>17895.15125</v>
      </c>
      <c r="K39" s="62">
        <f>($T$39-$C$44)/14*(1+'capacity adjust'!J91)</f>
        <v>17574.79058</v>
      </c>
      <c r="L39" s="62">
        <f>($T$39-$C$44)/14*(1+'capacity adjust'!K91)</f>
        <v>23434.25913</v>
      </c>
      <c r="M39" s="62">
        <f>($T$39-$C$44)/14*(1+'capacity adjust'!L91)</f>
        <v>23434.25913</v>
      </c>
      <c r="N39" s="62">
        <f>($T$39-$C$44)/14*(1+'capacity adjust'!M91)</f>
        <v>15979.72368</v>
      </c>
      <c r="O39" s="62">
        <f>($T$39-$C$44)/14*(1+'capacity adjust'!N91)</f>
        <v>14116.77333</v>
      </c>
      <c r="P39" s="62">
        <f>($T$39-$C$44)/14*(1+'capacity adjust'!O91)</f>
        <v>17745.1189</v>
      </c>
      <c r="Q39" s="62">
        <f>($T$39-$C$44)/14*(1+'capacity adjust'!P91)</f>
        <v>17745.1189</v>
      </c>
      <c r="R39" s="62"/>
      <c r="S39" s="62"/>
      <c r="T39" s="62">
        <f>T43</f>
        <v>252711.6647</v>
      </c>
      <c r="U39" s="71"/>
    </row>
    <row r="40" ht="14.25" customHeight="1">
      <c r="A40" s="100"/>
      <c r="B40" s="84" t="s">
        <v>99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71"/>
    </row>
    <row r="41" ht="14.25" customHeight="1">
      <c r="A41" s="100"/>
      <c r="B41" s="84" t="s">
        <v>101</v>
      </c>
      <c r="C41" s="62"/>
      <c r="D41" s="62"/>
      <c r="E41" s="62"/>
      <c r="F41" s="62"/>
      <c r="G41" s="62"/>
      <c r="H41" s="62"/>
      <c r="I41" s="62">
        <v>16597.47770784032</v>
      </c>
      <c r="J41" s="62"/>
      <c r="K41" s="62">
        <v>8430.775081482627</v>
      </c>
      <c r="L41" s="62"/>
      <c r="M41" s="62"/>
      <c r="N41" s="62">
        <v>24989.91224061664</v>
      </c>
      <c r="O41" s="62"/>
      <c r="P41" s="62"/>
      <c r="Q41" s="62"/>
      <c r="R41" s="62"/>
      <c r="S41" s="62"/>
      <c r="T41" s="62"/>
      <c r="U41" s="71"/>
    </row>
    <row r="42" ht="14.25" customHeight="1">
      <c r="A42" s="100"/>
      <c r="B42" s="84" t="s">
        <v>100</v>
      </c>
      <c r="C42" s="62"/>
      <c r="D42" s="62">
        <v>26743.01933114487</v>
      </c>
      <c r="E42" s="62">
        <v>15552.132140768374</v>
      </c>
      <c r="F42" s="62">
        <v>42485.80121191021</v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71"/>
    </row>
    <row r="43" ht="14.25" customHeight="1">
      <c r="A43" s="100"/>
      <c r="B43" s="84" t="s">
        <v>111</v>
      </c>
      <c r="C43" s="62"/>
      <c r="D43" s="62"/>
      <c r="E43" s="62"/>
      <c r="F43" s="62">
        <v>9826.307043633093</v>
      </c>
      <c r="G43" s="62">
        <v>9826.307043633093</v>
      </c>
      <c r="H43" s="62">
        <v>9826.307043633093</v>
      </c>
      <c r="I43" s="62">
        <v>24090.301139229516</v>
      </c>
      <c r="J43" s="62">
        <v>9826.307043633093</v>
      </c>
      <c r="K43" s="62">
        <v>10324.732617385105</v>
      </c>
      <c r="L43" s="62">
        <v>10324.732617385105</v>
      </c>
      <c r="M43" s="62">
        <v>10324.732617385105</v>
      </c>
      <c r="N43" s="62">
        <v>10324.732617385105</v>
      </c>
      <c r="O43" s="62">
        <v>16355.901138456418</v>
      </c>
      <c r="P43" s="62">
        <v>16355.901138456418</v>
      </c>
      <c r="Q43" s="62">
        <v>82593.60031908307</v>
      </c>
      <c r="R43" s="62">
        <v>16355.901138456418</v>
      </c>
      <c r="S43" s="62">
        <v>16355.901138456418</v>
      </c>
      <c r="T43" s="62">
        <v>252711.66465621104</v>
      </c>
      <c r="U43" s="71"/>
    </row>
    <row r="44" ht="14.25" customHeight="1">
      <c r="A44" s="100"/>
      <c r="B44" s="84" t="s">
        <v>112</v>
      </c>
      <c r="C44" s="62">
        <v>4280.0</v>
      </c>
      <c r="D44" s="62">
        <f t="shared" ref="D44:S44" si="13">C44+D39-D43</f>
        <v>22989.98093</v>
      </c>
      <c r="E44" s="62">
        <f t="shared" si="13"/>
        <v>41809.4354</v>
      </c>
      <c r="F44" s="62">
        <f t="shared" si="13"/>
        <v>50572.14042</v>
      </c>
      <c r="G44" s="62">
        <f t="shared" si="13"/>
        <v>56539.14175</v>
      </c>
      <c r="H44" s="62">
        <f t="shared" si="13"/>
        <v>64607.98596</v>
      </c>
      <c r="I44" s="62">
        <f t="shared" si="13"/>
        <v>58262.80373</v>
      </c>
      <c r="J44" s="62">
        <f t="shared" si="13"/>
        <v>66331.64794</v>
      </c>
      <c r="K44" s="62">
        <f t="shared" si="13"/>
        <v>73581.7059</v>
      </c>
      <c r="L44" s="62">
        <f t="shared" si="13"/>
        <v>86691.23242</v>
      </c>
      <c r="M44" s="62">
        <f t="shared" si="13"/>
        <v>99800.75893</v>
      </c>
      <c r="N44" s="62">
        <f t="shared" si="13"/>
        <v>105455.75</v>
      </c>
      <c r="O44" s="62">
        <f t="shared" si="13"/>
        <v>103216.6222</v>
      </c>
      <c r="P44" s="62">
        <f t="shared" si="13"/>
        <v>104605.8399</v>
      </c>
      <c r="Q44" s="62">
        <f t="shared" si="13"/>
        <v>39757.35853</v>
      </c>
      <c r="R44" s="62">
        <f t="shared" si="13"/>
        <v>23401.45739</v>
      </c>
      <c r="S44" s="62">
        <f t="shared" si="13"/>
        <v>7045.556256</v>
      </c>
      <c r="T44" s="62"/>
      <c r="U44" s="71"/>
    </row>
    <row r="45" ht="14.25" customHeight="1">
      <c r="A45" s="100"/>
      <c r="B45" s="137" t="s">
        <v>159</v>
      </c>
      <c r="C45" s="62">
        <f>C44</f>
        <v>4280</v>
      </c>
      <c r="D45" s="62">
        <f t="shared" ref="D45:S45" si="14">D44+SUM(D40:D42)</f>
        <v>49733.00026</v>
      </c>
      <c r="E45" s="62">
        <f t="shared" si="14"/>
        <v>57361.56754</v>
      </c>
      <c r="F45" s="62">
        <f t="shared" si="14"/>
        <v>93057.94163</v>
      </c>
      <c r="G45" s="62">
        <f t="shared" si="14"/>
        <v>56539.14175</v>
      </c>
      <c r="H45" s="62">
        <f t="shared" si="14"/>
        <v>64607.98596</v>
      </c>
      <c r="I45" s="62">
        <f t="shared" si="14"/>
        <v>74860.28143</v>
      </c>
      <c r="J45" s="62">
        <f t="shared" si="14"/>
        <v>66331.64794</v>
      </c>
      <c r="K45" s="62">
        <f t="shared" si="14"/>
        <v>82012.48098</v>
      </c>
      <c r="L45" s="62">
        <f t="shared" si="14"/>
        <v>86691.23242</v>
      </c>
      <c r="M45" s="62">
        <f t="shared" si="14"/>
        <v>99800.75893</v>
      </c>
      <c r="N45" s="62">
        <f t="shared" si="14"/>
        <v>130445.6622</v>
      </c>
      <c r="O45" s="62">
        <f t="shared" si="14"/>
        <v>103216.6222</v>
      </c>
      <c r="P45" s="62">
        <f t="shared" si="14"/>
        <v>104605.8399</v>
      </c>
      <c r="Q45" s="62">
        <f t="shared" si="14"/>
        <v>39757.35853</v>
      </c>
      <c r="R45" s="62">
        <f t="shared" si="14"/>
        <v>23401.45739</v>
      </c>
      <c r="S45" s="62">
        <f t="shared" si="14"/>
        <v>7045.556256</v>
      </c>
      <c r="T45" s="62"/>
      <c r="U45" s="71"/>
    </row>
    <row r="46" ht="14.25" customHeight="1">
      <c r="A46" s="61"/>
      <c r="B46" s="84" t="s">
        <v>68</v>
      </c>
      <c r="C46" s="62"/>
      <c r="D46" s="62">
        <f t="shared" ref="D46:Q46" si="15">SUM(D39:D42)</f>
        <v>45453.00026</v>
      </c>
      <c r="E46" s="62">
        <f t="shared" si="15"/>
        <v>34371.58661</v>
      </c>
      <c r="F46" s="62">
        <f t="shared" si="15"/>
        <v>61074.81327</v>
      </c>
      <c r="G46" s="62">
        <f t="shared" si="15"/>
        <v>15793.30838</v>
      </c>
      <c r="H46" s="62">
        <f t="shared" si="15"/>
        <v>17895.15125</v>
      </c>
      <c r="I46" s="62">
        <f t="shared" si="15"/>
        <v>34342.59661</v>
      </c>
      <c r="J46" s="62">
        <f t="shared" si="15"/>
        <v>17895.15125</v>
      </c>
      <c r="K46" s="62">
        <f t="shared" si="15"/>
        <v>26005.56567</v>
      </c>
      <c r="L46" s="62">
        <f t="shared" si="15"/>
        <v>23434.25913</v>
      </c>
      <c r="M46" s="62">
        <f t="shared" si="15"/>
        <v>23434.25913</v>
      </c>
      <c r="N46" s="62">
        <f t="shared" si="15"/>
        <v>40969.63592</v>
      </c>
      <c r="O46" s="62">
        <f t="shared" si="15"/>
        <v>14116.77333</v>
      </c>
      <c r="P46" s="62">
        <f t="shared" si="15"/>
        <v>17745.1189</v>
      </c>
      <c r="Q46" s="62">
        <f t="shared" si="15"/>
        <v>17745.1189</v>
      </c>
      <c r="R46" s="62"/>
      <c r="S46" s="62"/>
      <c r="T46" s="62"/>
      <c r="U46" s="71"/>
    </row>
    <row r="47" ht="14.25" customHeight="1">
      <c r="A47" s="87" t="s">
        <v>106</v>
      </c>
      <c r="B47" s="87" t="s">
        <v>107</v>
      </c>
      <c r="C47" s="103">
        <v>15.0</v>
      </c>
      <c r="D47" s="88">
        <v>16.0</v>
      </c>
      <c r="E47" s="88">
        <v>17.0</v>
      </c>
      <c r="F47" s="88">
        <v>18.0</v>
      </c>
      <c r="G47" s="88">
        <v>19.0</v>
      </c>
      <c r="H47" s="88">
        <v>20.0</v>
      </c>
      <c r="I47" s="88">
        <v>21.0</v>
      </c>
      <c r="J47" s="88">
        <v>22.0</v>
      </c>
      <c r="K47" s="88">
        <v>23.0</v>
      </c>
      <c r="L47" s="88">
        <v>24.0</v>
      </c>
      <c r="M47" s="88">
        <v>25.0</v>
      </c>
      <c r="N47" s="88">
        <v>26.0</v>
      </c>
      <c r="O47" s="88">
        <v>27.0</v>
      </c>
      <c r="P47" s="88">
        <v>28.0</v>
      </c>
      <c r="Q47" s="88">
        <v>29.0</v>
      </c>
      <c r="R47" s="88">
        <v>30.0</v>
      </c>
      <c r="S47" s="88">
        <v>31.0</v>
      </c>
      <c r="T47" s="88" t="s">
        <v>68</v>
      </c>
      <c r="U47" s="71"/>
    </row>
    <row r="48" ht="14.25" customHeight="1">
      <c r="A48" s="99" t="s">
        <v>81</v>
      </c>
      <c r="B48" s="84" t="s">
        <v>102</v>
      </c>
      <c r="C48" s="62"/>
      <c r="D48" s="62">
        <f>($T$48-$C$53)/14*(1+'capacity adjust'!C91)</f>
        <v>5392.244678</v>
      </c>
      <c r="E48" s="62">
        <f>($T$48-$C$53)/14*(1+'capacity adjust'!D91)</f>
        <v>5423.795116</v>
      </c>
      <c r="F48" s="62">
        <f>($T$48-$C$53)/14*(1+'capacity adjust'!E91)</f>
        <v>5357.381267</v>
      </c>
      <c r="G48" s="62">
        <f>($T$48-$C$53)/14*(1+'capacity adjust'!F91)</f>
        <v>4551.655257</v>
      </c>
      <c r="H48" s="62">
        <f>($T$48-$C$53)/14*(1+'capacity adjust'!G91)</f>
        <v>5157.409538</v>
      </c>
      <c r="I48" s="62">
        <f>($T$48-$C$53)/14*(1+'capacity adjust'!H91)</f>
        <v>5114.169989</v>
      </c>
      <c r="J48" s="62">
        <f>($T$48-$C$53)/14*(1+'capacity adjust'!I91)</f>
        <v>5157.409538</v>
      </c>
      <c r="K48" s="62">
        <f>($T$48-$C$53)/14*(1+'capacity adjust'!J91)</f>
        <v>5065.08111</v>
      </c>
      <c r="L48" s="62">
        <f>($T$48-$C$53)/14*(1+'capacity adjust'!K91)</f>
        <v>6753.788769</v>
      </c>
      <c r="M48" s="62">
        <f>($T$48-$C$53)/14*(1+'capacity adjust'!L91)</f>
        <v>6753.788769</v>
      </c>
      <c r="N48" s="62">
        <f>($T$48-$C$53)/14*(1+'capacity adjust'!M91)</f>
        <v>4605.380426</v>
      </c>
      <c r="O48" s="62">
        <f>($T$48-$C$53)/14*(1+'capacity adjust'!N91)</f>
        <v>4068.475331</v>
      </c>
      <c r="P48" s="62">
        <f>($T$48-$C$53)/14*(1+'capacity adjust'!O91)</f>
        <v>5114.169989</v>
      </c>
      <c r="Q48" s="62">
        <f>($T$48-$C$53)/14*(1+'capacity adjust'!P91)</f>
        <v>5114.169989</v>
      </c>
      <c r="R48" s="62"/>
      <c r="S48" s="62"/>
      <c r="T48" s="62">
        <f>T52</f>
        <v>74165.37984</v>
      </c>
      <c r="U48" s="71"/>
    </row>
    <row r="49" ht="14.25" customHeight="1">
      <c r="A49" s="100"/>
      <c r="B49" s="84" t="s">
        <v>99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71"/>
    </row>
    <row r="50" ht="14.25" customHeight="1">
      <c r="A50" s="100"/>
      <c r="B50" s="84" t="s">
        <v>101</v>
      </c>
      <c r="C50" s="62"/>
      <c r="D50" s="62"/>
      <c r="E50" s="62"/>
      <c r="F50" s="62"/>
      <c r="G50" s="62"/>
      <c r="H50" s="62"/>
      <c r="I50" s="62">
        <v>4870.998892518354</v>
      </c>
      <c r="J50" s="62"/>
      <c r="K50" s="62">
        <v>2474.2492086959887</v>
      </c>
      <c r="L50" s="62"/>
      <c r="M50" s="62"/>
      <c r="N50" s="62">
        <v>7333.995983659232</v>
      </c>
      <c r="O50" s="62"/>
      <c r="P50" s="62"/>
      <c r="Q50" s="62"/>
      <c r="R50" s="62"/>
      <c r="S50" s="62"/>
      <c r="T50" s="62"/>
      <c r="U50" s="71"/>
    </row>
    <row r="51" ht="14.25" customHeight="1">
      <c r="A51" s="100"/>
      <c r="B51" s="84" t="s">
        <v>100</v>
      </c>
      <c r="C51" s="62"/>
      <c r="D51" s="62">
        <v>7848.494803705559</v>
      </c>
      <c r="E51" s="62">
        <v>4564.212693486371</v>
      </c>
      <c r="F51" s="62">
        <v>12468.659051321476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71"/>
    </row>
    <row r="52" ht="14.25" customHeight="1">
      <c r="A52" s="100"/>
      <c r="B52" s="84" t="s">
        <v>111</v>
      </c>
      <c r="C52" s="62"/>
      <c r="D52" s="62"/>
      <c r="E52" s="62"/>
      <c r="F52" s="62">
        <v>2883.8075019357984</v>
      </c>
      <c r="G52" s="62">
        <v>2883.8075019357984</v>
      </c>
      <c r="H52" s="62">
        <v>2883.8075019357984</v>
      </c>
      <c r="I52" s="62">
        <v>7069.9796821651835</v>
      </c>
      <c r="J52" s="62">
        <v>2883.8075019357984</v>
      </c>
      <c r="K52" s="62">
        <v>3030.084572493455</v>
      </c>
      <c r="L52" s="62">
        <v>3030.084572493455</v>
      </c>
      <c r="M52" s="62">
        <v>3030.084572493455</v>
      </c>
      <c r="N52" s="62">
        <v>3030.084572493455</v>
      </c>
      <c r="O52" s="62">
        <v>4800.10142106873</v>
      </c>
      <c r="P52" s="62">
        <v>4800.101421068731</v>
      </c>
      <c r="Q52" s="62">
        <v>24239.42618060046</v>
      </c>
      <c r="R52" s="62">
        <v>4800.101421068731</v>
      </c>
      <c r="S52" s="62">
        <v>4800.101421068731</v>
      </c>
      <c r="T52" s="62">
        <v>74165.37984475758</v>
      </c>
      <c r="U52" s="71"/>
    </row>
    <row r="53" ht="14.25" customHeight="1">
      <c r="A53" s="100"/>
      <c r="B53" s="84" t="s">
        <v>112</v>
      </c>
      <c r="C53" s="62">
        <v>2567.0</v>
      </c>
      <c r="D53" s="62">
        <f t="shared" ref="D53:S53" si="16">C53+D48-D52</f>
        <v>7959.244678</v>
      </c>
      <c r="E53" s="62">
        <f t="shared" si="16"/>
        <v>13383.03979</v>
      </c>
      <c r="F53" s="62">
        <f t="shared" si="16"/>
        <v>15856.61356</v>
      </c>
      <c r="G53" s="62">
        <f t="shared" si="16"/>
        <v>17524.46131</v>
      </c>
      <c r="H53" s="62">
        <f t="shared" si="16"/>
        <v>19798.06335</v>
      </c>
      <c r="I53" s="62">
        <f t="shared" si="16"/>
        <v>17842.25366</v>
      </c>
      <c r="J53" s="62">
        <f t="shared" si="16"/>
        <v>20115.85569</v>
      </c>
      <c r="K53" s="62">
        <f t="shared" si="16"/>
        <v>22150.85223</v>
      </c>
      <c r="L53" s="62">
        <f t="shared" si="16"/>
        <v>25874.55643</v>
      </c>
      <c r="M53" s="62">
        <f t="shared" si="16"/>
        <v>29598.26062</v>
      </c>
      <c r="N53" s="62">
        <f t="shared" si="16"/>
        <v>31173.55648</v>
      </c>
      <c r="O53" s="62">
        <f t="shared" si="16"/>
        <v>30441.93039</v>
      </c>
      <c r="P53" s="62">
        <f t="shared" si="16"/>
        <v>30755.99896</v>
      </c>
      <c r="Q53" s="62">
        <f t="shared" si="16"/>
        <v>11630.74276</v>
      </c>
      <c r="R53" s="62">
        <f t="shared" si="16"/>
        <v>6830.641343</v>
      </c>
      <c r="S53" s="62">
        <f t="shared" si="16"/>
        <v>2030.539922</v>
      </c>
      <c r="T53" s="62"/>
      <c r="U53" s="71"/>
    </row>
    <row r="54" ht="14.25" customHeight="1">
      <c r="A54" s="100"/>
      <c r="B54" s="137" t="s">
        <v>159</v>
      </c>
      <c r="C54" s="62">
        <f>C53</f>
        <v>2567</v>
      </c>
      <c r="D54" s="62">
        <f t="shared" ref="D54:S54" si="17">D53+SUM(D49:D51)</f>
        <v>15807.73948</v>
      </c>
      <c r="E54" s="62">
        <f t="shared" si="17"/>
        <v>17947.25249</v>
      </c>
      <c r="F54" s="62">
        <f t="shared" si="17"/>
        <v>28325.27261</v>
      </c>
      <c r="G54" s="62">
        <f t="shared" si="17"/>
        <v>17524.46131</v>
      </c>
      <c r="H54" s="62">
        <f t="shared" si="17"/>
        <v>19798.06335</v>
      </c>
      <c r="I54" s="62">
        <f t="shared" si="17"/>
        <v>22713.25255</v>
      </c>
      <c r="J54" s="62">
        <f t="shared" si="17"/>
        <v>20115.85569</v>
      </c>
      <c r="K54" s="62">
        <f t="shared" si="17"/>
        <v>24625.10144</v>
      </c>
      <c r="L54" s="62">
        <f t="shared" si="17"/>
        <v>25874.55643</v>
      </c>
      <c r="M54" s="62">
        <f t="shared" si="17"/>
        <v>29598.26062</v>
      </c>
      <c r="N54" s="62">
        <f t="shared" si="17"/>
        <v>38507.55246</v>
      </c>
      <c r="O54" s="62">
        <f t="shared" si="17"/>
        <v>30441.93039</v>
      </c>
      <c r="P54" s="62">
        <f t="shared" si="17"/>
        <v>30755.99896</v>
      </c>
      <c r="Q54" s="62">
        <f t="shared" si="17"/>
        <v>11630.74276</v>
      </c>
      <c r="R54" s="62">
        <f t="shared" si="17"/>
        <v>6830.641343</v>
      </c>
      <c r="S54" s="62">
        <f t="shared" si="17"/>
        <v>2030.539922</v>
      </c>
      <c r="T54" s="62"/>
      <c r="U54" s="71"/>
    </row>
    <row r="55" ht="14.25" customHeight="1">
      <c r="A55" s="61"/>
      <c r="B55" s="84" t="s">
        <v>68</v>
      </c>
      <c r="C55" s="62"/>
      <c r="D55" s="62">
        <f t="shared" ref="D55:Q55" si="18">SUM(D48:D51)</f>
        <v>13240.73948</v>
      </c>
      <c r="E55" s="62">
        <f t="shared" si="18"/>
        <v>9988.00781</v>
      </c>
      <c r="F55" s="62">
        <f t="shared" si="18"/>
        <v>17826.04032</v>
      </c>
      <c r="G55" s="62">
        <f t="shared" si="18"/>
        <v>4551.655257</v>
      </c>
      <c r="H55" s="62">
        <f t="shared" si="18"/>
        <v>5157.409538</v>
      </c>
      <c r="I55" s="62">
        <f t="shared" si="18"/>
        <v>9985.168881</v>
      </c>
      <c r="J55" s="62">
        <f t="shared" si="18"/>
        <v>5157.409538</v>
      </c>
      <c r="K55" s="62">
        <f t="shared" si="18"/>
        <v>7539.330319</v>
      </c>
      <c r="L55" s="62">
        <f t="shared" si="18"/>
        <v>6753.788769</v>
      </c>
      <c r="M55" s="62">
        <f t="shared" si="18"/>
        <v>6753.788769</v>
      </c>
      <c r="N55" s="62">
        <f t="shared" si="18"/>
        <v>11939.37641</v>
      </c>
      <c r="O55" s="62">
        <f t="shared" si="18"/>
        <v>4068.475331</v>
      </c>
      <c r="P55" s="62">
        <f t="shared" si="18"/>
        <v>5114.169989</v>
      </c>
      <c r="Q55" s="62">
        <f t="shared" si="18"/>
        <v>5114.169989</v>
      </c>
      <c r="R55" s="62"/>
      <c r="S55" s="62"/>
      <c r="T55" s="62"/>
      <c r="U55" s="71"/>
    </row>
    <row r="56" ht="14.25" customHeight="1">
      <c r="A56" s="87" t="s">
        <v>106</v>
      </c>
      <c r="B56" s="87" t="s">
        <v>107</v>
      </c>
      <c r="C56" s="103">
        <v>15.0</v>
      </c>
      <c r="D56" s="88">
        <v>16.0</v>
      </c>
      <c r="E56" s="88">
        <v>17.0</v>
      </c>
      <c r="F56" s="88">
        <v>18.0</v>
      </c>
      <c r="G56" s="88">
        <v>19.0</v>
      </c>
      <c r="H56" s="88">
        <v>20.0</v>
      </c>
      <c r="I56" s="88">
        <v>21.0</v>
      </c>
      <c r="J56" s="88">
        <v>22.0</v>
      </c>
      <c r="K56" s="88">
        <v>23.0</v>
      </c>
      <c r="L56" s="88">
        <v>24.0</v>
      </c>
      <c r="M56" s="88">
        <v>25.0</v>
      </c>
      <c r="N56" s="88">
        <v>26.0</v>
      </c>
      <c r="O56" s="88">
        <v>27.0</v>
      </c>
      <c r="P56" s="88">
        <v>28.0</v>
      </c>
      <c r="Q56" s="88">
        <v>29.0</v>
      </c>
      <c r="R56" s="88">
        <v>30.0</v>
      </c>
      <c r="S56" s="88">
        <v>31.0</v>
      </c>
      <c r="T56" s="88" t="s">
        <v>68</v>
      </c>
      <c r="U56" s="71"/>
    </row>
    <row r="57" ht="14.25" customHeight="1">
      <c r="A57" s="99" t="s">
        <v>83</v>
      </c>
      <c r="B57" s="84" t="s">
        <v>102</v>
      </c>
      <c r="C57" s="62"/>
      <c r="D57" s="62">
        <f>($T$57-$C$62)/14*(1+'capacity adjust'!C91)</f>
        <v>6244.328991</v>
      </c>
      <c r="E57" s="62">
        <f>($T$57-$C$62)/14*(1+'capacity adjust'!D91)</f>
        <v>6280.86504</v>
      </c>
      <c r="F57" s="62">
        <f>($T$57-$C$62)/14*(1+'capacity adjust'!E91)</f>
        <v>6203.956452</v>
      </c>
      <c r="G57" s="62">
        <f>($T$57-$C$62)/14*(1+'capacity adjust'!F91)</f>
        <v>5270.909348</v>
      </c>
      <c r="H57" s="62">
        <f>($T$57-$C$62)/14*(1+'capacity adjust'!G91)</f>
        <v>5972.385123</v>
      </c>
      <c r="I57" s="62">
        <f>($T$57-$C$62)/14*(1+'capacity adjust'!H91)</f>
        <v>5922.312846</v>
      </c>
      <c r="J57" s="62">
        <f>($T$57-$C$62)/14*(1+'capacity adjust'!I91)</f>
        <v>5972.385123</v>
      </c>
      <c r="K57" s="62">
        <f>($T$57-$C$62)/14*(1+'capacity adjust'!J91)</f>
        <v>5865.466927</v>
      </c>
      <c r="L57" s="62">
        <f>($T$57-$C$62)/14*(1+'capacity adjust'!K91)</f>
        <v>7821.024736</v>
      </c>
      <c r="M57" s="62">
        <f>($T$57-$C$62)/14*(1+'capacity adjust'!L91)</f>
        <v>7821.024736</v>
      </c>
      <c r="N57" s="62">
        <f>($T$57-$C$62)/14*(1+'capacity adjust'!M91)</f>
        <v>5333.124186</v>
      </c>
      <c r="O57" s="62">
        <f>($T$57-$C$62)/14*(1+'capacity adjust'!N91)</f>
        <v>4711.377168</v>
      </c>
      <c r="P57" s="62">
        <f>($T$57-$C$62)/14*(1+'capacity adjust'!O91)</f>
        <v>5922.312846</v>
      </c>
      <c r="Q57" s="62">
        <f>($T$57-$C$62)/14*(1+'capacity adjust'!P91)</f>
        <v>5922.312846</v>
      </c>
      <c r="R57" s="62"/>
      <c r="S57" s="62"/>
      <c r="T57" s="62">
        <f>T61+10000</f>
        <v>84165.37984</v>
      </c>
      <c r="U57" s="71"/>
    </row>
    <row r="58" ht="14.25" customHeight="1">
      <c r="A58" s="100"/>
      <c r="B58" s="84" t="s">
        <v>99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71"/>
    </row>
    <row r="59" ht="14.25" customHeight="1">
      <c r="A59" s="100"/>
      <c r="B59" s="84" t="s">
        <v>101</v>
      </c>
      <c r="C59" s="62"/>
      <c r="D59" s="62"/>
      <c r="E59" s="62"/>
      <c r="F59" s="62"/>
      <c r="G59" s="62"/>
      <c r="H59" s="62"/>
      <c r="I59" s="62">
        <v>4870.998892518354</v>
      </c>
      <c r="J59" s="62"/>
      <c r="K59" s="62">
        <v>2474.2492086959887</v>
      </c>
      <c r="L59" s="62"/>
      <c r="M59" s="62"/>
      <c r="N59" s="62">
        <v>7333.995983659232</v>
      </c>
      <c r="O59" s="62"/>
      <c r="P59" s="62"/>
      <c r="Q59" s="62"/>
      <c r="R59" s="62"/>
      <c r="S59" s="62"/>
      <c r="T59" s="62"/>
      <c r="U59" s="71"/>
    </row>
    <row r="60" ht="14.25" customHeight="1">
      <c r="A60" s="100"/>
      <c r="B60" s="84" t="s">
        <v>100</v>
      </c>
      <c r="C60" s="62"/>
      <c r="D60" s="62">
        <v>7848.494803705559</v>
      </c>
      <c r="E60" s="62">
        <v>4564.212693486371</v>
      </c>
      <c r="F60" s="62">
        <v>12468.659051321476</v>
      </c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71"/>
    </row>
    <row r="61" ht="14.25" customHeight="1">
      <c r="A61" s="100"/>
      <c r="B61" s="84" t="s">
        <v>111</v>
      </c>
      <c r="C61" s="62"/>
      <c r="D61" s="62"/>
      <c r="E61" s="62"/>
      <c r="F61" s="62">
        <v>2883.8075019357984</v>
      </c>
      <c r="G61" s="62">
        <v>2883.8075019357984</v>
      </c>
      <c r="H61" s="62">
        <v>2883.8075019357984</v>
      </c>
      <c r="I61" s="62">
        <v>7069.9796821651835</v>
      </c>
      <c r="J61" s="62">
        <v>2883.8075019357984</v>
      </c>
      <c r="K61" s="62">
        <v>3030.084572493455</v>
      </c>
      <c r="L61" s="62">
        <v>3030.084572493455</v>
      </c>
      <c r="M61" s="62">
        <v>3030.084572493455</v>
      </c>
      <c r="N61" s="62">
        <v>3030.084572493455</v>
      </c>
      <c r="O61" s="62">
        <v>4800.10142106873</v>
      </c>
      <c r="P61" s="62">
        <v>4800.101421068731</v>
      </c>
      <c r="Q61" s="62">
        <v>24239.42618060046</v>
      </c>
      <c r="R61" s="62">
        <v>4800.101421068731</v>
      </c>
      <c r="S61" s="62">
        <v>4800.101421068731</v>
      </c>
      <c r="T61" s="62">
        <v>74165.37984475758</v>
      </c>
      <c r="U61" s="71"/>
    </row>
    <row r="62" ht="14.25" customHeight="1">
      <c r="A62" s="100"/>
      <c r="B62" s="84" t="s">
        <v>112</v>
      </c>
      <c r="C62" s="62">
        <v>1253.0</v>
      </c>
      <c r="D62" s="62">
        <f t="shared" ref="D62:S62" si="19">C62+D57-D61</f>
        <v>7497.328991</v>
      </c>
      <c r="E62" s="62">
        <f t="shared" si="19"/>
        <v>13778.19403</v>
      </c>
      <c r="F62" s="62">
        <f t="shared" si="19"/>
        <v>17098.34298</v>
      </c>
      <c r="G62" s="62">
        <f t="shared" si="19"/>
        <v>19485.44483</v>
      </c>
      <c r="H62" s="62">
        <f t="shared" si="19"/>
        <v>22574.02245</v>
      </c>
      <c r="I62" s="62">
        <f t="shared" si="19"/>
        <v>21426.35561</v>
      </c>
      <c r="J62" s="62">
        <f t="shared" si="19"/>
        <v>24514.93323</v>
      </c>
      <c r="K62" s="62">
        <f t="shared" si="19"/>
        <v>27350.31559</v>
      </c>
      <c r="L62" s="62">
        <f t="shared" si="19"/>
        <v>32141.25575</v>
      </c>
      <c r="M62" s="62">
        <f t="shared" si="19"/>
        <v>36932.19591</v>
      </c>
      <c r="N62" s="62">
        <f t="shared" si="19"/>
        <v>39235.23553</v>
      </c>
      <c r="O62" s="62">
        <f t="shared" si="19"/>
        <v>39146.51127</v>
      </c>
      <c r="P62" s="62">
        <f t="shared" si="19"/>
        <v>40268.7227</v>
      </c>
      <c r="Q62" s="62">
        <f t="shared" si="19"/>
        <v>21951.60936</v>
      </c>
      <c r="R62" s="62">
        <f t="shared" si="19"/>
        <v>17151.50794</v>
      </c>
      <c r="S62" s="62">
        <f t="shared" si="19"/>
        <v>12351.40652</v>
      </c>
      <c r="T62" s="62"/>
      <c r="U62" s="71"/>
    </row>
    <row r="63" ht="14.25" customHeight="1">
      <c r="A63" s="100"/>
      <c r="B63" s="137" t="s">
        <v>159</v>
      </c>
      <c r="C63" s="62">
        <f>C62</f>
        <v>1253</v>
      </c>
      <c r="D63" s="62">
        <f t="shared" ref="D63:S63" si="20">D62+SUM(D58:D60)</f>
        <v>15345.82379</v>
      </c>
      <c r="E63" s="62">
        <f t="shared" si="20"/>
        <v>18342.40672</v>
      </c>
      <c r="F63" s="62">
        <f t="shared" si="20"/>
        <v>29567.00203</v>
      </c>
      <c r="G63" s="62">
        <f t="shared" si="20"/>
        <v>19485.44483</v>
      </c>
      <c r="H63" s="62">
        <f t="shared" si="20"/>
        <v>22574.02245</v>
      </c>
      <c r="I63" s="62">
        <f t="shared" si="20"/>
        <v>26297.3545</v>
      </c>
      <c r="J63" s="62">
        <f t="shared" si="20"/>
        <v>24514.93323</v>
      </c>
      <c r="K63" s="62">
        <f t="shared" si="20"/>
        <v>29824.5648</v>
      </c>
      <c r="L63" s="62">
        <f t="shared" si="20"/>
        <v>32141.25575</v>
      </c>
      <c r="M63" s="62">
        <f t="shared" si="20"/>
        <v>36932.19591</v>
      </c>
      <c r="N63" s="62">
        <f t="shared" si="20"/>
        <v>46569.23151</v>
      </c>
      <c r="O63" s="62">
        <f t="shared" si="20"/>
        <v>39146.51127</v>
      </c>
      <c r="P63" s="62">
        <f t="shared" si="20"/>
        <v>40268.7227</v>
      </c>
      <c r="Q63" s="62">
        <f t="shared" si="20"/>
        <v>21951.60936</v>
      </c>
      <c r="R63" s="62">
        <f t="shared" si="20"/>
        <v>17151.50794</v>
      </c>
      <c r="S63" s="62">
        <f t="shared" si="20"/>
        <v>12351.40652</v>
      </c>
      <c r="T63" s="62"/>
      <c r="U63" s="71"/>
    </row>
    <row r="64" ht="14.25" customHeight="1">
      <c r="A64" s="61"/>
      <c r="B64" s="84" t="s">
        <v>68</v>
      </c>
      <c r="C64" s="62"/>
      <c r="D64" s="62">
        <f t="shared" ref="D64:Q64" si="21">SUM(D57:D60)</f>
        <v>14092.82379</v>
      </c>
      <c r="E64" s="62">
        <f t="shared" si="21"/>
        <v>10845.07773</v>
      </c>
      <c r="F64" s="62">
        <f t="shared" si="21"/>
        <v>18672.6155</v>
      </c>
      <c r="G64" s="62">
        <f t="shared" si="21"/>
        <v>5270.909348</v>
      </c>
      <c r="H64" s="62">
        <f t="shared" si="21"/>
        <v>5972.385123</v>
      </c>
      <c r="I64" s="62">
        <f t="shared" si="21"/>
        <v>10793.31174</v>
      </c>
      <c r="J64" s="62">
        <f t="shared" si="21"/>
        <v>5972.385123</v>
      </c>
      <c r="K64" s="62">
        <f t="shared" si="21"/>
        <v>8339.716135</v>
      </c>
      <c r="L64" s="62">
        <f t="shared" si="21"/>
        <v>7821.024736</v>
      </c>
      <c r="M64" s="62">
        <f t="shared" si="21"/>
        <v>7821.024736</v>
      </c>
      <c r="N64" s="62">
        <f t="shared" si="21"/>
        <v>12667.12017</v>
      </c>
      <c r="O64" s="62">
        <f t="shared" si="21"/>
        <v>4711.377168</v>
      </c>
      <c r="P64" s="62">
        <f t="shared" si="21"/>
        <v>5922.312846</v>
      </c>
      <c r="Q64" s="62">
        <f t="shared" si="21"/>
        <v>5922.312846</v>
      </c>
      <c r="R64" s="62"/>
      <c r="S64" s="62"/>
      <c r="T64" s="62"/>
      <c r="U64" s="71"/>
    </row>
    <row r="65" ht="14.25" customHeight="1">
      <c r="A65" s="87" t="s">
        <v>106</v>
      </c>
      <c r="B65" s="87" t="s">
        <v>107</v>
      </c>
      <c r="C65" s="103">
        <v>15.0</v>
      </c>
      <c r="D65" s="88">
        <v>16.0</v>
      </c>
      <c r="E65" s="88">
        <v>17.0</v>
      </c>
      <c r="F65" s="88">
        <v>18.0</v>
      </c>
      <c r="G65" s="88">
        <v>19.0</v>
      </c>
      <c r="H65" s="88">
        <v>20.0</v>
      </c>
      <c r="I65" s="88">
        <v>21.0</v>
      </c>
      <c r="J65" s="88">
        <v>22.0</v>
      </c>
      <c r="K65" s="88">
        <v>23.0</v>
      </c>
      <c r="L65" s="88">
        <v>24.0</v>
      </c>
      <c r="M65" s="88">
        <v>25.0</v>
      </c>
      <c r="N65" s="88">
        <v>26.0</v>
      </c>
      <c r="O65" s="88">
        <v>27.0</v>
      </c>
      <c r="P65" s="88">
        <v>28.0</v>
      </c>
      <c r="Q65" s="88">
        <v>29.0</v>
      </c>
      <c r="R65" s="88">
        <v>30.0</v>
      </c>
      <c r="S65" s="88">
        <v>31.0</v>
      </c>
      <c r="T65" s="88" t="s">
        <v>68</v>
      </c>
      <c r="U65" s="71"/>
    </row>
    <row r="66" ht="14.25" customHeight="1">
      <c r="A66" s="99" t="s">
        <v>85</v>
      </c>
      <c r="B66" s="84" t="s">
        <v>102</v>
      </c>
      <c r="C66" s="62"/>
      <c r="D66" s="62">
        <f>($T$66-$C$71)/14*(1+'capacity adjust'!C91)</f>
        <v>15285.24317</v>
      </c>
      <c r="E66" s="62">
        <f>($T$66-$C$71)/14*(1+'capacity adjust'!D91)</f>
        <v>15374.67831</v>
      </c>
      <c r="F66" s="62">
        <f>($T$66-$C$71)/14*(1+'capacity adjust'!E91)</f>
        <v>15186.41685</v>
      </c>
      <c r="G66" s="62">
        <f>($T$66-$C$71)/14*(1+'capacity adjust'!F91)</f>
        <v>12902.44817</v>
      </c>
      <c r="H66" s="62">
        <f>($T$66-$C$71)/14*(1+'capacity adjust'!G91)</f>
        <v>14619.56266</v>
      </c>
      <c r="I66" s="62">
        <f>($T$66-$C$71)/14*(1+'capacity adjust'!H91)</f>
        <v>14496.99273</v>
      </c>
      <c r="J66" s="62">
        <f>($T$66-$C$71)/14*(1+'capacity adjust'!I91)</f>
        <v>14619.56266</v>
      </c>
      <c r="K66" s="62">
        <f>($T$66-$C$71)/14*(1+'capacity adjust'!J91)</f>
        <v>14357.84188</v>
      </c>
      <c r="L66" s="62">
        <f>($T$66-$C$71)/14*(1+'capacity adjust'!K91)</f>
        <v>19144.77362</v>
      </c>
      <c r="M66" s="62">
        <f>($T$66-$C$71)/14*(1+'capacity adjust'!L91)</f>
        <v>19144.77362</v>
      </c>
      <c r="N66" s="62">
        <f>($T$66-$C$71)/14*(1+'capacity adjust'!M91)</f>
        <v>13054.74138</v>
      </c>
      <c r="O66" s="62">
        <f>($T$66-$C$71)/14*(1+'capacity adjust'!N91)</f>
        <v>11532.79172</v>
      </c>
      <c r="P66" s="62">
        <f>($T$66-$C$71)/14*(1+'capacity adjust'!O91)</f>
        <v>14496.99273</v>
      </c>
      <c r="Q66" s="62">
        <f>($T$66-$C$71)/14*(1+'capacity adjust'!P91)</f>
        <v>14496.99273</v>
      </c>
      <c r="R66" s="62"/>
      <c r="S66" s="62"/>
      <c r="T66" s="62">
        <f>T70</f>
        <v>205819.8983</v>
      </c>
      <c r="U66" s="71"/>
    </row>
    <row r="67" ht="14.25" customHeight="1">
      <c r="A67" s="100"/>
      <c r="B67" s="84" t="s">
        <v>99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71"/>
    </row>
    <row r="68" ht="14.25" customHeight="1">
      <c r="A68" s="100"/>
      <c r="B68" s="84" t="s">
        <v>101</v>
      </c>
      <c r="C68" s="62"/>
      <c r="D68" s="62"/>
      <c r="E68" s="62"/>
      <c r="F68" s="62"/>
      <c r="G68" s="62"/>
      <c r="H68" s="62"/>
      <c r="I68" s="62">
        <v>9917.035020648793</v>
      </c>
      <c r="J68" s="62"/>
      <c r="K68" s="62">
        <v>5037.409491128972</v>
      </c>
      <c r="L68" s="62"/>
      <c r="M68" s="62"/>
      <c r="N68" s="62">
        <v>14931.535936696398</v>
      </c>
      <c r="O68" s="62"/>
      <c r="P68" s="62"/>
      <c r="Q68" s="62"/>
      <c r="R68" s="62"/>
      <c r="S68" s="62"/>
      <c r="T68" s="62"/>
      <c r="U68" s="71"/>
    </row>
    <row r="69" ht="14.25" customHeight="1">
      <c r="A69" s="100"/>
      <c r="B69" s="84" t="s">
        <v>100</v>
      </c>
      <c r="C69" s="62"/>
      <c r="D69" s="62">
        <v>7594.967184677672</v>
      </c>
      <c r="E69" s="62">
        <v>4416.776273401066</v>
      </c>
      <c r="F69" s="62">
        <v>12065.887625613253</v>
      </c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71"/>
    </row>
    <row r="70" ht="14.25" customHeight="1">
      <c r="A70" s="100"/>
      <c r="B70" s="84" t="s">
        <v>111</v>
      </c>
      <c r="C70" s="62"/>
      <c r="D70" s="62"/>
      <c r="E70" s="62"/>
      <c r="F70" s="62">
        <v>8376.634865474756</v>
      </c>
      <c r="G70" s="62">
        <v>8376.634865474756</v>
      </c>
      <c r="H70" s="62">
        <v>8376.634865474756</v>
      </c>
      <c r="I70" s="62">
        <v>20536.266121809076</v>
      </c>
      <c r="J70" s="62">
        <v>8376.634865474756</v>
      </c>
      <c r="K70" s="62">
        <v>8577.532938929267</v>
      </c>
      <c r="L70" s="62">
        <v>8577.532938929267</v>
      </c>
      <c r="M70" s="62">
        <v>8577.532938929267</v>
      </c>
      <c r="N70" s="62">
        <v>8577.532938929267</v>
      </c>
      <c r="O70" s="62">
        <v>12980.099183251696</v>
      </c>
      <c r="P70" s="62">
        <v>12980.099183251696</v>
      </c>
      <c r="Q70" s="62">
        <v>65546.56420139768</v>
      </c>
      <c r="R70" s="62">
        <v>12980.099183251696</v>
      </c>
      <c r="S70" s="62">
        <v>12980.099183251696</v>
      </c>
      <c r="T70" s="62">
        <v>205819.89827382963</v>
      </c>
      <c r="U70" s="71"/>
    </row>
    <row r="71" ht="14.25" customHeight="1">
      <c r="A71" s="100"/>
      <c r="B71" s="84" t="s">
        <v>112</v>
      </c>
      <c r="C71" s="62">
        <v>2862.0</v>
      </c>
      <c r="D71" s="62">
        <f t="shared" ref="D71:S71" si="22">C71+D66-D70</f>
        <v>18147.24317</v>
      </c>
      <c r="E71" s="62">
        <f t="shared" si="22"/>
        <v>33521.92148</v>
      </c>
      <c r="F71" s="62">
        <f t="shared" si="22"/>
        <v>40331.70347</v>
      </c>
      <c r="G71" s="62">
        <f t="shared" si="22"/>
        <v>44857.51677</v>
      </c>
      <c r="H71" s="62">
        <f t="shared" si="22"/>
        <v>51100.44456</v>
      </c>
      <c r="I71" s="62">
        <f t="shared" si="22"/>
        <v>45061.17117</v>
      </c>
      <c r="J71" s="62">
        <f t="shared" si="22"/>
        <v>51304.09896</v>
      </c>
      <c r="K71" s="62">
        <f t="shared" si="22"/>
        <v>57084.40791</v>
      </c>
      <c r="L71" s="62">
        <f t="shared" si="22"/>
        <v>67651.64859</v>
      </c>
      <c r="M71" s="62">
        <f t="shared" si="22"/>
        <v>78218.88928</v>
      </c>
      <c r="N71" s="62">
        <f t="shared" si="22"/>
        <v>82696.09772</v>
      </c>
      <c r="O71" s="62">
        <f t="shared" si="22"/>
        <v>81248.79026</v>
      </c>
      <c r="P71" s="62">
        <f t="shared" si="22"/>
        <v>82765.68381</v>
      </c>
      <c r="Q71" s="62">
        <f t="shared" si="22"/>
        <v>31716.11234</v>
      </c>
      <c r="R71" s="62">
        <f t="shared" si="22"/>
        <v>18736.01316</v>
      </c>
      <c r="S71" s="62">
        <f t="shared" si="22"/>
        <v>5755.913973</v>
      </c>
      <c r="T71" s="62"/>
      <c r="U71" s="71"/>
    </row>
    <row r="72" ht="14.25" customHeight="1">
      <c r="A72" s="100"/>
      <c r="B72" s="137" t="s">
        <v>159</v>
      </c>
      <c r="C72" s="62">
        <f>C71</f>
        <v>2862</v>
      </c>
      <c r="D72" s="62">
        <f t="shared" ref="D72:S72" si="23">D71+SUM(D67:D69)</f>
        <v>25742.21036</v>
      </c>
      <c r="E72" s="62">
        <f t="shared" si="23"/>
        <v>37938.69776</v>
      </c>
      <c r="F72" s="62">
        <f t="shared" si="23"/>
        <v>52397.59109</v>
      </c>
      <c r="G72" s="62">
        <f t="shared" si="23"/>
        <v>44857.51677</v>
      </c>
      <c r="H72" s="62">
        <f t="shared" si="23"/>
        <v>51100.44456</v>
      </c>
      <c r="I72" s="62">
        <f t="shared" si="23"/>
        <v>54978.20619</v>
      </c>
      <c r="J72" s="62">
        <f t="shared" si="23"/>
        <v>51304.09896</v>
      </c>
      <c r="K72" s="62">
        <f t="shared" si="23"/>
        <v>62121.8174</v>
      </c>
      <c r="L72" s="62">
        <f t="shared" si="23"/>
        <v>67651.64859</v>
      </c>
      <c r="M72" s="62">
        <f t="shared" si="23"/>
        <v>78218.88928</v>
      </c>
      <c r="N72" s="62">
        <f t="shared" si="23"/>
        <v>97627.63365</v>
      </c>
      <c r="O72" s="62">
        <f t="shared" si="23"/>
        <v>81248.79026</v>
      </c>
      <c r="P72" s="62">
        <f t="shared" si="23"/>
        <v>82765.68381</v>
      </c>
      <c r="Q72" s="62">
        <f t="shared" si="23"/>
        <v>31716.11234</v>
      </c>
      <c r="R72" s="62">
        <f t="shared" si="23"/>
        <v>18736.01316</v>
      </c>
      <c r="S72" s="62">
        <f t="shared" si="23"/>
        <v>5755.913973</v>
      </c>
      <c r="T72" s="62"/>
      <c r="U72" s="71"/>
    </row>
    <row r="73" ht="14.25" customHeight="1">
      <c r="A73" s="61"/>
      <c r="B73" s="84" t="s">
        <v>68</v>
      </c>
      <c r="C73" s="62"/>
      <c r="D73" s="62">
        <f t="shared" ref="D73:Q73" si="24">SUM(D66:D69)</f>
        <v>22880.21036</v>
      </c>
      <c r="E73" s="62">
        <f t="shared" si="24"/>
        <v>19791.45458</v>
      </c>
      <c r="F73" s="62">
        <f t="shared" si="24"/>
        <v>27252.30448</v>
      </c>
      <c r="G73" s="62">
        <f t="shared" si="24"/>
        <v>12902.44817</v>
      </c>
      <c r="H73" s="62">
        <f t="shared" si="24"/>
        <v>14619.56266</v>
      </c>
      <c r="I73" s="62">
        <f t="shared" si="24"/>
        <v>24414.02775</v>
      </c>
      <c r="J73" s="62">
        <f t="shared" si="24"/>
        <v>14619.56266</v>
      </c>
      <c r="K73" s="62">
        <f t="shared" si="24"/>
        <v>19395.25137</v>
      </c>
      <c r="L73" s="62">
        <f t="shared" si="24"/>
        <v>19144.77362</v>
      </c>
      <c r="M73" s="62">
        <f t="shared" si="24"/>
        <v>19144.77362</v>
      </c>
      <c r="N73" s="62">
        <f t="shared" si="24"/>
        <v>27986.27732</v>
      </c>
      <c r="O73" s="62">
        <f t="shared" si="24"/>
        <v>11532.79172</v>
      </c>
      <c r="P73" s="62">
        <f t="shared" si="24"/>
        <v>14496.99273</v>
      </c>
      <c r="Q73" s="62">
        <f t="shared" si="24"/>
        <v>14496.99273</v>
      </c>
      <c r="R73" s="62"/>
      <c r="S73" s="62"/>
      <c r="T73" s="62"/>
      <c r="U73" s="71"/>
    </row>
    <row r="74" ht="14.25" customHeight="1">
      <c r="A74" s="87" t="s">
        <v>106</v>
      </c>
      <c r="B74" s="87" t="s">
        <v>107</v>
      </c>
      <c r="C74" s="103">
        <v>15.0</v>
      </c>
      <c r="D74" s="88">
        <v>16.0</v>
      </c>
      <c r="E74" s="88">
        <v>17.0</v>
      </c>
      <c r="F74" s="88">
        <v>18.0</v>
      </c>
      <c r="G74" s="88">
        <v>19.0</v>
      </c>
      <c r="H74" s="88">
        <v>20.0</v>
      </c>
      <c r="I74" s="88">
        <v>21.0</v>
      </c>
      <c r="J74" s="88">
        <v>22.0</v>
      </c>
      <c r="K74" s="88">
        <v>23.0</v>
      </c>
      <c r="L74" s="88">
        <v>24.0</v>
      </c>
      <c r="M74" s="88">
        <v>25.0</v>
      </c>
      <c r="N74" s="88">
        <v>26.0</v>
      </c>
      <c r="O74" s="88">
        <v>27.0</v>
      </c>
      <c r="P74" s="88">
        <v>28.0</v>
      </c>
      <c r="Q74" s="88">
        <v>29.0</v>
      </c>
      <c r="R74" s="88">
        <v>30.0</v>
      </c>
      <c r="S74" s="88">
        <v>31.0</v>
      </c>
      <c r="T74" s="88" t="s">
        <v>68</v>
      </c>
      <c r="U74" s="71"/>
    </row>
    <row r="75" ht="14.25" customHeight="1">
      <c r="A75" s="99" t="s">
        <v>87</v>
      </c>
      <c r="B75" s="84" t="s">
        <v>102</v>
      </c>
      <c r="C75" s="62"/>
      <c r="D75" s="62">
        <f>($T$75-$C$80)/14*(1+'capacity adjust'!C91)</f>
        <v>6783.817534</v>
      </c>
      <c r="E75" s="62">
        <f>($T$75-$C$80)/14*(1+'capacity adjust'!D91)</f>
        <v>6823.510173</v>
      </c>
      <c r="F75" s="62">
        <f>($T$75-$C$80)/14*(1+'capacity adjust'!E91)</f>
        <v>6739.956947</v>
      </c>
      <c r="G75" s="62">
        <f>($T$75-$C$80)/14*(1+'capacity adjust'!F91)</f>
        <v>5726.297783</v>
      </c>
      <c r="H75" s="62">
        <f>($T$75-$C$80)/14*(1+'capacity adjust'!G91)</f>
        <v>6488.378652</v>
      </c>
      <c r="I75" s="62">
        <f>($T$75-$C$80)/14*(1+'capacity adjust'!H91)</f>
        <v>6433.980303</v>
      </c>
      <c r="J75" s="62">
        <f>($T$75-$C$80)/14*(1+'capacity adjust'!I91)</f>
        <v>6488.378652</v>
      </c>
      <c r="K75" s="62">
        <f>($T$75-$C$80)/14*(1+'capacity adjust'!J91)</f>
        <v>6372.223091</v>
      </c>
      <c r="L75" s="62">
        <f>($T$75-$C$80)/14*(1+'capacity adjust'!K91)</f>
        <v>8496.734368</v>
      </c>
      <c r="M75" s="62">
        <f>($T$75-$C$80)/14*(1+'capacity adjust'!L91)</f>
        <v>8496.734368</v>
      </c>
      <c r="N75" s="62">
        <f>($T$75-$C$80)/14*(1+'capacity adjust'!M91)</f>
        <v>5793.887769</v>
      </c>
      <c r="O75" s="62">
        <f>($T$75-$C$80)/14*(1+'capacity adjust'!N91)</f>
        <v>5118.423948</v>
      </c>
      <c r="P75" s="62">
        <f>($T$75-$C$80)/14*(1+'capacity adjust'!O91)</f>
        <v>6433.980303</v>
      </c>
      <c r="Q75" s="62">
        <f>($T$75-$C$80)/14*(1+'capacity adjust'!P91)</f>
        <v>6433.980303</v>
      </c>
      <c r="R75" s="62"/>
      <c r="S75" s="62"/>
      <c r="T75" s="62">
        <f>T79</f>
        <v>91035.72424</v>
      </c>
      <c r="U75" s="71"/>
    </row>
    <row r="76" ht="14.25" customHeight="1">
      <c r="A76" s="100"/>
      <c r="B76" s="84" t="s">
        <v>99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71"/>
    </row>
    <row r="77" ht="14.25" customHeight="1">
      <c r="A77" s="100"/>
      <c r="B77" s="84" t="s">
        <v>101</v>
      </c>
      <c r="C77" s="62"/>
      <c r="D77" s="62"/>
      <c r="E77" s="62"/>
      <c r="F77" s="62"/>
      <c r="G77" s="62"/>
      <c r="H77" s="62"/>
      <c r="I77" s="62">
        <v>4386.380874517735</v>
      </c>
      <c r="J77" s="62"/>
      <c r="K77" s="62">
        <v>2228.0849672301224</v>
      </c>
      <c r="L77" s="62"/>
      <c r="M77" s="62"/>
      <c r="N77" s="62">
        <v>6604.33320276956</v>
      </c>
      <c r="O77" s="62"/>
      <c r="P77" s="62"/>
      <c r="Q77" s="62"/>
      <c r="R77" s="62"/>
      <c r="S77" s="62"/>
      <c r="T77" s="62"/>
      <c r="U77" s="71"/>
    </row>
    <row r="78" ht="14.25" customHeight="1">
      <c r="A78" s="100"/>
      <c r="B78" s="84" t="s">
        <v>100</v>
      </c>
      <c r="C78" s="62"/>
      <c r="D78" s="62">
        <v>3359.312408607431</v>
      </c>
      <c r="E78" s="62">
        <v>1953.5741209273945</v>
      </c>
      <c r="F78" s="62">
        <v>5336.834911328938</v>
      </c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71"/>
    </row>
    <row r="79" ht="14.25" customHeight="1">
      <c r="A79" s="100"/>
      <c r="B79" s="84" t="s">
        <v>111</v>
      </c>
      <c r="C79" s="62"/>
      <c r="D79" s="62"/>
      <c r="E79" s="62"/>
      <c r="F79" s="62">
        <v>3705.0500366522947</v>
      </c>
      <c r="G79" s="62">
        <v>3705.0500366522947</v>
      </c>
      <c r="H79" s="62">
        <v>3705.0500366522947</v>
      </c>
      <c r="I79" s="62">
        <v>9083.348476954012</v>
      </c>
      <c r="J79" s="62">
        <v>3705.0500366522947</v>
      </c>
      <c r="K79" s="62">
        <v>3793.9087999110225</v>
      </c>
      <c r="L79" s="62">
        <v>3793.9087999110225</v>
      </c>
      <c r="M79" s="62">
        <v>3793.9087999110225</v>
      </c>
      <c r="N79" s="62">
        <v>3793.9087999110225</v>
      </c>
      <c r="O79" s="62">
        <v>5741.197715669018</v>
      </c>
      <c r="P79" s="62">
        <v>5741.197715669018</v>
      </c>
      <c r="Q79" s="62">
        <v>28991.7495506182</v>
      </c>
      <c r="R79" s="62">
        <v>5741.197715669018</v>
      </c>
      <c r="S79" s="62">
        <v>5741.197715669018</v>
      </c>
      <c r="T79" s="62">
        <v>91035.72423650156</v>
      </c>
      <c r="U79" s="71"/>
    </row>
    <row r="80" ht="14.25" customHeight="1">
      <c r="A80" s="100"/>
      <c r="B80" s="84" t="s">
        <v>112</v>
      </c>
      <c r="C80" s="62">
        <v>960.0</v>
      </c>
      <c r="D80" s="62">
        <f t="shared" ref="D80:S80" si="25">C80+D75-D79</f>
        <v>7743.817534</v>
      </c>
      <c r="E80" s="62">
        <f t="shared" si="25"/>
        <v>14567.32771</v>
      </c>
      <c r="F80" s="62">
        <f t="shared" si="25"/>
        <v>17602.23462</v>
      </c>
      <c r="G80" s="62">
        <f t="shared" si="25"/>
        <v>19623.48236</v>
      </c>
      <c r="H80" s="62">
        <f t="shared" si="25"/>
        <v>22406.81098</v>
      </c>
      <c r="I80" s="62">
        <f t="shared" si="25"/>
        <v>19757.4428</v>
      </c>
      <c r="J80" s="62">
        <f t="shared" si="25"/>
        <v>22540.77142</v>
      </c>
      <c r="K80" s="62">
        <f t="shared" si="25"/>
        <v>25119.08571</v>
      </c>
      <c r="L80" s="62">
        <f t="shared" si="25"/>
        <v>29821.91128</v>
      </c>
      <c r="M80" s="62">
        <f t="shared" si="25"/>
        <v>34524.73685</v>
      </c>
      <c r="N80" s="62">
        <f t="shared" si="25"/>
        <v>36524.71582</v>
      </c>
      <c r="O80" s="62">
        <f t="shared" si="25"/>
        <v>35901.94205</v>
      </c>
      <c r="P80" s="62">
        <f t="shared" si="25"/>
        <v>36594.72464</v>
      </c>
      <c r="Q80" s="62">
        <f t="shared" si="25"/>
        <v>14036.95539</v>
      </c>
      <c r="R80" s="62">
        <f t="shared" si="25"/>
        <v>8295.757672</v>
      </c>
      <c r="S80" s="62">
        <f t="shared" si="25"/>
        <v>2554.559956</v>
      </c>
      <c r="T80" s="62"/>
      <c r="U80" s="71"/>
    </row>
    <row r="81" ht="14.25" customHeight="1">
      <c r="A81" s="100"/>
      <c r="B81" s="137" t="s">
        <v>159</v>
      </c>
      <c r="C81" s="62">
        <f>C80</f>
        <v>960</v>
      </c>
      <c r="D81" s="62">
        <f t="shared" ref="D81:S81" si="26">D80+SUM(D76:D78)</f>
        <v>11103.12994</v>
      </c>
      <c r="E81" s="62">
        <f t="shared" si="26"/>
        <v>16520.90183</v>
      </c>
      <c r="F81" s="62">
        <f t="shared" si="26"/>
        <v>22939.06953</v>
      </c>
      <c r="G81" s="62">
        <f t="shared" si="26"/>
        <v>19623.48236</v>
      </c>
      <c r="H81" s="62">
        <f t="shared" si="26"/>
        <v>22406.81098</v>
      </c>
      <c r="I81" s="62">
        <f t="shared" si="26"/>
        <v>24143.82368</v>
      </c>
      <c r="J81" s="62">
        <f t="shared" si="26"/>
        <v>22540.77142</v>
      </c>
      <c r="K81" s="62">
        <f t="shared" si="26"/>
        <v>27347.17068</v>
      </c>
      <c r="L81" s="62">
        <f t="shared" si="26"/>
        <v>29821.91128</v>
      </c>
      <c r="M81" s="62">
        <f t="shared" si="26"/>
        <v>34524.73685</v>
      </c>
      <c r="N81" s="62">
        <f t="shared" si="26"/>
        <v>43129.04902</v>
      </c>
      <c r="O81" s="62">
        <f t="shared" si="26"/>
        <v>35901.94205</v>
      </c>
      <c r="P81" s="62">
        <f t="shared" si="26"/>
        <v>36594.72464</v>
      </c>
      <c r="Q81" s="62">
        <f t="shared" si="26"/>
        <v>14036.95539</v>
      </c>
      <c r="R81" s="62">
        <f t="shared" si="26"/>
        <v>8295.757672</v>
      </c>
      <c r="S81" s="62">
        <f t="shared" si="26"/>
        <v>2554.559956</v>
      </c>
      <c r="T81" s="62"/>
      <c r="U81" s="71"/>
    </row>
    <row r="82" ht="14.25" customHeight="1">
      <c r="A82" s="61"/>
      <c r="B82" s="84" t="s">
        <v>68</v>
      </c>
      <c r="C82" s="62"/>
      <c r="D82" s="62">
        <f t="shared" ref="D82:Q82" si="27">SUM(D75:D78)</f>
        <v>10143.12994</v>
      </c>
      <c r="E82" s="62">
        <f t="shared" si="27"/>
        <v>8777.084294</v>
      </c>
      <c r="F82" s="62">
        <f t="shared" si="27"/>
        <v>12076.79186</v>
      </c>
      <c r="G82" s="62">
        <f t="shared" si="27"/>
        <v>5726.297783</v>
      </c>
      <c r="H82" s="62">
        <f t="shared" si="27"/>
        <v>6488.378652</v>
      </c>
      <c r="I82" s="62">
        <f t="shared" si="27"/>
        <v>10820.36118</v>
      </c>
      <c r="J82" s="62">
        <f t="shared" si="27"/>
        <v>6488.378652</v>
      </c>
      <c r="K82" s="62">
        <f t="shared" si="27"/>
        <v>8600.308058</v>
      </c>
      <c r="L82" s="62">
        <f t="shared" si="27"/>
        <v>8496.734368</v>
      </c>
      <c r="M82" s="62">
        <f t="shared" si="27"/>
        <v>8496.734368</v>
      </c>
      <c r="N82" s="62">
        <f t="shared" si="27"/>
        <v>12398.22097</v>
      </c>
      <c r="O82" s="62">
        <f t="shared" si="27"/>
        <v>5118.423948</v>
      </c>
      <c r="P82" s="62">
        <f t="shared" si="27"/>
        <v>6433.980303</v>
      </c>
      <c r="Q82" s="62">
        <f t="shared" si="27"/>
        <v>6433.980303</v>
      </c>
      <c r="R82" s="62"/>
      <c r="S82" s="62"/>
      <c r="T82" s="62"/>
      <c r="U82" s="71"/>
    </row>
    <row r="83" ht="14.25" customHeight="1">
      <c r="A83" s="87" t="s">
        <v>106</v>
      </c>
      <c r="B83" s="87" t="s">
        <v>107</v>
      </c>
      <c r="C83" s="103">
        <v>15.0</v>
      </c>
      <c r="D83" s="88">
        <v>16.0</v>
      </c>
      <c r="E83" s="88">
        <v>17.0</v>
      </c>
      <c r="F83" s="88">
        <v>18.0</v>
      </c>
      <c r="G83" s="88">
        <v>19.0</v>
      </c>
      <c r="H83" s="88">
        <v>20.0</v>
      </c>
      <c r="I83" s="88">
        <v>21.0</v>
      </c>
      <c r="J83" s="88">
        <v>22.0</v>
      </c>
      <c r="K83" s="88">
        <v>23.0</v>
      </c>
      <c r="L83" s="88">
        <v>24.0</v>
      </c>
      <c r="M83" s="88">
        <v>25.0</v>
      </c>
      <c r="N83" s="88">
        <v>26.0</v>
      </c>
      <c r="O83" s="88">
        <v>27.0</v>
      </c>
      <c r="P83" s="88">
        <v>28.0</v>
      </c>
      <c r="Q83" s="88">
        <v>29.0</v>
      </c>
      <c r="R83" s="88">
        <v>30.0</v>
      </c>
      <c r="S83" s="88">
        <v>31.0</v>
      </c>
      <c r="T83" s="88" t="s">
        <v>68</v>
      </c>
      <c r="U83" s="71"/>
    </row>
    <row r="84" ht="14.25" customHeight="1">
      <c r="A84" s="99" t="s">
        <v>89</v>
      </c>
      <c r="B84" s="84" t="s">
        <v>102</v>
      </c>
      <c r="C84" s="62"/>
      <c r="D84" s="62">
        <f>($T$84-$C$89)/14*(1+'capacity adjust'!C91)</f>
        <v>11245.25723</v>
      </c>
      <c r="E84" s="62">
        <f>($T$84-$C$89)/14*(1+'capacity adjust'!D91)</f>
        <v>11311.05409</v>
      </c>
      <c r="F84" s="62">
        <f>($T$84-$C$89)/14*(1+'capacity adjust'!E91)</f>
        <v>11172.55132</v>
      </c>
      <c r="G84" s="62">
        <f>($T$84-$C$89)/14*(1+'capacity adjust'!F91)</f>
        <v>9492.249932</v>
      </c>
      <c r="H84" s="62">
        <f>($T$84-$C$89)/14*(1+'capacity adjust'!G91)</f>
        <v>10755.52026</v>
      </c>
      <c r="I84" s="62">
        <f>($T$84-$C$89)/14*(1+'capacity adjust'!H91)</f>
        <v>10665.34634</v>
      </c>
      <c r="J84" s="62">
        <f>($T$84-$C$89)/14*(1+'capacity adjust'!I91)</f>
        <v>10755.52026</v>
      </c>
      <c r="K84" s="62">
        <f>($T$84-$C$89)/14*(1+'capacity adjust'!J91)</f>
        <v>10562.97393</v>
      </c>
      <c r="L84" s="62">
        <f>($T$84-$C$89)/14*(1+'capacity adjust'!K91)</f>
        <v>14084.6895</v>
      </c>
      <c r="M84" s="62">
        <f>($T$84-$C$89)/14*(1+'capacity adjust'!L91)</f>
        <v>14084.6895</v>
      </c>
      <c r="N84" s="62">
        <f>($T$84-$C$89)/14*(1+'capacity adjust'!M91)</f>
        <v>9604.291092</v>
      </c>
      <c r="O84" s="62">
        <f>($T$84-$C$89)/14*(1+'capacity adjust'!N91)</f>
        <v>8484.602306</v>
      </c>
      <c r="P84" s="62">
        <f>($T$84-$C$89)/14*(1+'capacity adjust'!O91)</f>
        <v>10665.34634</v>
      </c>
      <c r="Q84" s="62">
        <f>($T$84-$C$89)/14*(1+'capacity adjust'!P91)</f>
        <v>10665.34634</v>
      </c>
      <c r="R84" s="62"/>
      <c r="S84" s="62"/>
      <c r="T84" s="62">
        <f>T88</f>
        <v>150406.8487</v>
      </c>
      <c r="U84" s="71"/>
    </row>
    <row r="85" ht="14.25" customHeight="1">
      <c r="A85" s="100"/>
      <c r="B85" s="84" t="s">
        <v>99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71"/>
    </row>
    <row r="86" ht="14.25" customHeight="1">
      <c r="A86" s="100"/>
      <c r="B86" s="84" t="s">
        <v>101</v>
      </c>
      <c r="C86" s="62"/>
      <c r="D86" s="62"/>
      <c r="E86" s="62"/>
      <c r="F86" s="62"/>
      <c r="G86" s="62"/>
      <c r="H86" s="62"/>
      <c r="I86" s="62">
        <v>7247.06405355104</v>
      </c>
      <c r="J86" s="62"/>
      <c r="K86" s="62">
        <v>3681.1838589019417</v>
      </c>
      <c r="L86" s="62"/>
      <c r="M86" s="62"/>
      <c r="N86" s="62">
        <v>10911.50703066275</v>
      </c>
      <c r="O86" s="62"/>
      <c r="P86" s="62"/>
      <c r="Q86" s="62"/>
      <c r="R86" s="62"/>
      <c r="S86" s="62"/>
      <c r="T86" s="62"/>
      <c r="U86" s="71"/>
    </row>
    <row r="87" ht="14.25" customHeight="1">
      <c r="A87" s="100"/>
      <c r="B87" s="84" t="s">
        <v>100</v>
      </c>
      <c r="C87" s="62"/>
      <c r="D87" s="62">
        <v>5550.168327264451</v>
      </c>
      <c r="E87" s="62">
        <v>3227.6441997930865</v>
      </c>
      <c r="F87" s="62">
        <v>8817.379418717375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71"/>
    </row>
    <row r="88" ht="14.25" customHeight="1">
      <c r="A88" s="100"/>
      <c r="B88" s="84" t="s">
        <v>111</v>
      </c>
      <c r="C88" s="62"/>
      <c r="D88" s="62"/>
      <c r="E88" s="62"/>
      <c r="F88" s="62">
        <v>6121.3870170777045</v>
      </c>
      <c r="G88" s="62">
        <v>6121.3870170777045</v>
      </c>
      <c r="H88" s="62">
        <v>6121.3870170777045</v>
      </c>
      <c r="I88" s="62">
        <v>15007.27139670663</v>
      </c>
      <c r="J88" s="62">
        <v>6121.3870170777045</v>
      </c>
      <c r="K88" s="62">
        <v>6268.19714767908</v>
      </c>
      <c r="L88" s="62">
        <v>6268.19714767908</v>
      </c>
      <c r="M88" s="62">
        <v>6268.19714767908</v>
      </c>
      <c r="N88" s="62">
        <v>6268.19714767908</v>
      </c>
      <c r="O88" s="62">
        <v>9485.457095453161</v>
      </c>
      <c r="P88" s="62">
        <v>9485.457095453161</v>
      </c>
      <c r="Q88" s="62">
        <v>47899.41230102137</v>
      </c>
      <c r="R88" s="62">
        <v>9485.457095453161</v>
      </c>
      <c r="S88" s="62">
        <v>9485.457095453161</v>
      </c>
      <c r="T88" s="62">
        <v>150406.8487385678</v>
      </c>
      <c r="U88" s="71"/>
    </row>
    <row r="89" ht="14.25" customHeight="1">
      <c r="A89" s="100"/>
      <c r="B89" s="84" t="s">
        <v>112</v>
      </c>
      <c r="C89" s="62">
        <v>1092.0</v>
      </c>
      <c r="D89" s="62">
        <f t="shared" ref="D89:S89" si="28">C89+D84-D88</f>
        <v>12337.25723</v>
      </c>
      <c r="E89" s="62">
        <f t="shared" si="28"/>
        <v>23648.31132</v>
      </c>
      <c r="F89" s="62">
        <f t="shared" si="28"/>
        <v>28699.47563</v>
      </c>
      <c r="G89" s="62">
        <f t="shared" si="28"/>
        <v>32070.33854</v>
      </c>
      <c r="H89" s="62">
        <f t="shared" si="28"/>
        <v>36704.47179</v>
      </c>
      <c r="I89" s="62">
        <f t="shared" si="28"/>
        <v>32362.54673</v>
      </c>
      <c r="J89" s="62">
        <f t="shared" si="28"/>
        <v>36996.67997</v>
      </c>
      <c r="K89" s="62">
        <f t="shared" si="28"/>
        <v>41291.45675</v>
      </c>
      <c r="L89" s="62">
        <f t="shared" si="28"/>
        <v>49107.9491</v>
      </c>
      <c r="M89" s="62">
        <f t="shared" si="28"/>
        <v>56924.44145</v>
      </c>
      <c r="N89" s="62">
        <f t="shared" si="28"/>
        <v>60260.53539</v>
      </c>
      <c r="O89" s="62">
        <f t="shared" si="28"/>
        <v>59259.6806</v>
      </c>
      <c r="P89" s="62">
        <f t="shared" si="28"/>
        <v>60439.56985</v>
      </c>
      <c r="Q89" s="62">
        <f t="shared" si="28"/>
        <v>23205.50388</v>
      </c>
      <c r="R89" s="62">
        <f t="shared" si="28"/>
        <v>13720.04679</v>
      </c>
      <c r="S89" s="62">
        <f t="shared" si="28"/>
        <v>4234.589693</v>
      </c>
      <c r="T89" s="62"/>
      <c r="U89" s="71"/>
    </row>
    <row r="90" ht="14.25" customHeight="1">
      <c r="A90" s="100"/>
      <c r="B90" s="137" t="s">
        <v>159</v>
      </c>
      <c r="C90" s="62">
        <f>C89</f>
        <v>1092</v>
      </c>
      <c r="D90" s="62">
        <f t="shared" ref="D90:S90" si="29">D89+SUM(D85:D87)</f>
        <v>17887.42555</v>
      </c>
      <c r="E90" s="62">
        <f t="shared" si="29"/>
        <v>26875.95552</v>
      </c>
      <c r="F90" s="62">
        <f t="shared" si="29"/>
        <v>37516.85505</v>
      </c>
      <c r="G90" s="62">
        <f t="shared" si="29"/>
        <v>32070.33854</v>
      </c>
      <c r="H90" s="62">
        <f t="shared" si="29"/>
        <v>36704.47179</v>
      </c>
      <c r="I90" s="62">
        <f t="shared" si="29"/>
        <v>39609.61078</v>
      </c>
      <c r="J90" s="62">
        <f t="shared" si="29"/>
        <v>36996.67997</v>
      </c>
      <c r="K90" s="62">
        <f t="shared" si="29"/>
        <v>44972.64061</v>
      </c>
      <c r="L90" s="62">
        <f t="shared" si="29"/>
        <v>49107.9491</v>
      </c>
      <c r="M90" s="62">
        <f t="shared" si="29"/>
        <v>56924.44145</v>
      </c>
      <c r="N90" s="62">
        <f t="shared" si="29"/>
        <v>71172.04242</v>
      </c>
      <c r="O90" s="62">
        <f t="shared" si="29"/>
        <v>59259.6806</v>
      </c>
      <c r="P90" s="62">
        <f t="shared" si="29"/>
        <v>60439.56985</v>
      </c>
      <c r="Q90" s="62">
        <f t="shared" si="29"/>
        <v>23205.50388</v>
      </c>
      <c r="R90" s="62">
        <f t="shared" si="29"/>
        <v>13720.04679</v>
      </c>
      <c r="S90" s="62">
        <f t="shared" si="29"/>
        <v>4234.589693</v>
      </c>
      <c r="T90" s="62"/>
      <c r="U90" s="71"/>
    </row>
    <row r="91" ht="14.25" customHeight="1">
      <c r="A91" s="61"/>
      <c r="B91" s="84" t="s">
        <v>68</v>
      </c>
      <c r="C91" s="62"/>
      <c r="D91" s="62">
        <f t="shared" ref="D91:Q91" si="30">SUM(D84:D87)</f>
        <v>16795.42555</v>
      </c>
      <c r="E91" s="62">
        <f t="shared" si="30"/>
        <v>14538.69829</v>
      </c>
      <c r="F91" s="62">
        <f t="shared" si="30"/>
        <v>19989.93074</v>
      </c>
      <c r="G91" s="62">
        <f t="shared" si="30"/>
        <v>9492.249932</v>
      </c>
      <c r="H91" s="62">
        <f t="shared" si="30"/>
        <v>10755.52026</v>
      </c>
      <c r="I91" s="62">
        <f t="shared" si="30"/>
        <v>17912.41039</v>
      </c>
      <c r="J91" s="62">
        <f t="shared" si="30"/>
        <v>10755.52026</v>
      </c>
      <c r="K91" s="62">
        <f t="shared" si="30"/>
        <v>14244.15779</v>
      </c>
      <c r="L91" s="62">
        <f t="shared" si="30"/>
        <v>14084.6895</v>
      </c>
      <c r="M91" s="62">
        <f t="shared" si="30"/>
        <v>14084.6895</v>
      </c>
      <c r="N91" s="62">
        <f t="shared" si="30"/>
        <v>20515.79812</v>
      </c>
      <c r="O91" s="62">
        <f t="shared" si="30"/>
        <v>8484.602306</v>
      </c>
      <c r="P91" s="62">
        <f t="shared" si="30"/>
        <v>10665.34634</v>
      </c>
      <c r="Q91" s="62">
        <f t="shared" si="30"/>
        <v>10665.34634</v>
      </c>
      <c r="R91" s="62"/>
      <c r="S91" s="62"/>
      <c r="T91" s="62"/>
      <c r="U91" s="71"/>
    </row>
    <row r="92" ht="14.25" customHeight="1"/>
    <row r="93" ht="14.25" customHeight="1">
      <c r="D93" s="71"/>
    </row>
    <row r="94" ht="14.25" customHeight="1"/>
    <row r="95" ht="14.25" customHeight="1">
      <c r="B95" s="105" t="s">
        <v>114</v>
      </c>
      <c r="C95" s="106">
        <v>16.0</v>
      </c>
      <c r="D95" s="106">
        <v>17.0</v>
      </c>
      <c r="E95" s="106">
        <v>18.0</v>
      </c>
      <c r="F95" s="106">
        <v>19.0</v>
      </c>
      <c r="G95" s="106">
        <v>20.0</v>
      </c>
      <c r="H95" s="106">
        <v>21.0</v>
      </c>
      <c r="I95" s="106">
        <v>22.0</v>
      </c>
      <c r="J95" s="106">
        <v>23.0</v>
      </c>
      <c r="K95" s="106">
        <v>24.0</v>
      </c>
      <c r="L95" s="106">
        <v>25.0</v>
      </c>
      <c r="M95" s="106">
        <v>26.0</v>
      </c>
      <c r="N95" s="106">
        <v>27.0</v>
      </c>
      <c r="O95" s="106">
        <v>28.0</v>
      </c>
      <c r="P95" s="106">
        <v>29.0</v>
      </c>
    </row>
    <row r="96" ht="14.25" customHeight="1">
      <c r="A96" s="107" t="s">
        <v>115</v>
      </c>
      <c r="B96" s="108" t="s">
        <v>71</v>
      </c>
      <c r="C96" s="62">
        <f t="shared" ref="C96:P96" si="31">D10</f>
        <v>45383.6678</v>
      </c>
      <c r="D96" s="62">
        <f t="shared" si="31"/>
        <v>45649.21114</v>
      </c>
      <c r="E96" s="62">
        <f t="shared" si="31"/>
        <v>45090.24094</v>
      </c>
      <c r="F96" s="62">
        <f t="shared" si="31"/>
        <v>103355.5956</v>
      </c>
      <c r="G96" s="62">
        <f t="shared" si="31"/>
        <v>43407.18479</v>
      </c>
      <c r="H96" s="62">
        <f t="shared" si="31"/>
        <v>67503.68775</v>
      </c>
      <c r="I96" s="62">
        <f t="shared" si="31"/>
        <v>43407.18479</v>
      </c>
      <c r="J96" s="62">
        <f t="shared" si="31"/>
        <v>85220.68009</v>
      </c>
      <c r="K96" s="62">
        <f t="shared" si="31"/>
        <v>56843.06337</v>
      </c>
      <c r="L96" s="62">
        <f t="shared" si="31"/>
        <v>56843.06337</v>
      </c>
      <c r="M96" s="62">
        <f t="shared" si="31"/>
        <v>75589.77253</v>
      </c>
      <c r="N96" s="62">
        <f t="shared" si="31"/>
        <v>115057.585</v>
      </c>
      <c r="O96" s="62">
        <f t="shared" si="31"/>
        <v>43043.26041</v>
      </c>
      <c r="P96" s="62">
        <f t="shared" si="31"/>
        <v>43043.26041</v>
      </c>
    </row>
    <row r="97" ht="14.25" customHeight="1">
      <c r="A97" s="107" t="s">
        <v>116</v>
      </c>
      <c r="B97" s="108" t="s">
        <v>73</v>
      </c>
      <c r="C97" s="62">
        <f t="shared" ref="C97:P97" si="32">D19</f>
        <v>35267.37122</v>
      </c>
      <c r="D97" s="62">
        <f t="shared" si="32"/>
        <v>35473.72332</v>
      </c>
      <c r="E97" s="62">
        <f t="shared" si="32"/>
        <v>35039.35099</v>
      </c>
      <c r="F97" s="62">
        <f t="shared" si="32"/>
        <v>80361.48672</v>
      </c>
      <c r="G97" s="62">
        <f t="shared" si="32"/>
        <v>33731.45834</v>
      </c>
      <c r="H97" s="62">
        <f t="shared" si="32"/>
        <v>52473.43174</v>
      </c>
      <c r="I97" s="62">
        <f t="shared" si="32"/>
        <v>33731.45834</v>
      </c>
      <c r="J97" s="62">
        <f t="shared" si="32"/>
        <v>66253.59722</v>
      </c>
      <c r="K97" s="62">
        <f t="shared" si="32"/>
        <v>44172.39756</v>
      </c>
      <c r="L97" s="62">
        <f t="shared" si="32"/>
        <v>44172.39756</v>
      </c>
      <c r="M97" s="62">
        <f t="shared" si="32"/>
        <v>58765.53732</v>
      </c>
      <c r="N97" s="62">
        <f t="shared" si="32"/>
        <v>89465.81516</v>
      </c>
      <c r="O97" s="62">
        <f t="shared" si="32"/>
        <v>33448.65492</v>
      </c>
      <c r="P97" s="62">
        <f t="shared" si="32"/>
        <v>33448.65492</v>
      </c>
    </row>
    <row r="98" ht="14.25" customHeight="1">
      <c r="A98" s="107" t="s">
        <v>117</v>
      </c>
      <c r="B98" s="108" t="s">
        <v>75</v>
      </c>
      <c r="C98" s="62">
        <f t="shared" ref="C98:P98" si="33">D28</f>
        <v>15744.36888</v>
      </c>
      <c r="D98" s="62">
        <f t="shared" si="33"/>
        <v>15836.49039</v>
      </c>
      <c r="E98" s="62">
        <f t="shared" si="33"/>
        <v>15642.57409</v>
      </c>
      <c r="F98" s="62">
        <f t="shared" si="33"/>
        <v>35875.66939</v>
      </c>
      <c r="G98" s="62">
        <f t="shared" si="33"/>
        <v>15058.69319</v>
      </c>
      <c r="H98" s="62">
        <f t="shared" si="33"/>
        <v>23425.64555</v>
      </c>
      <c r="I98" s="62">
        <f t="shared" si="33"/>
        <v>15058.69319</v>
      </c>
      <c r="J98" s="62">
        <f t="shared" si="33"/>
        <v>29577.50508</v>
      </c>
      <c r="K98" s="62">
        <f t="shared" si="33"/>
        <v>19719.82876</v>
      </c>
      <c r="L98" s="62">
        <f t="shared" si="33"/>
        <v>19719.82876</v>
      </c>
      <c r="M98" s="62">
        <f t="shared" si="33"/>
        <v>26234.62062</v>
      </c>
      <c r="N98" s="62">
        <f t="shared" si="33"/>
        <v>39940.10113</v>
      </c>
      <c r="O98" s="62">
        <f t="shared" si="33"/>
        <v>14932.44161</v>
      </c>
      <c r="P98" s="62">
        <f t="shared" si="33"/>
        <v>14932.44161</v>
      </c>
    </row>
    <row r="99" ht="14.25" customHeight="1">
      <c r="A99" s="107" t="s">
        <v>118</v>
      </c>
      <c r="B99" s="108" t="s">
        <v>77</v>
      </c>
      <c r="C99" s="62">
        <f t="shared" ref="C99:P99" si="34">D37</f>
        <v>26240.58969</v>
      </c>
      <c r="D99" s="62">
        <f t="shared" si="34"/>
        <v>26394.1254</v>
      </c>
      <c r="E99" s="62">
        <f t="shared" si="34"/>
        <v>26070.93187</v>
      </c>
      <c r="F99" s="62">
        <f t="shared" si="34"/>
        <v>59792.76113</v>
      </c>
      <c r="G99" s="62">
        <f t="shared" si="34"/>
        <v>25097.79797</v>
      </c>
      <c r="H99" s="62">
        <f t="shared" si="34"/>
        <v>39042.71877</v>
      </c>
      <c r="I99" s="62">
        <f t="shared" si="34"/>
        <v>25097.79797</v>
      </c>
      <c r="J99" s="62">
        <f t="shared" si="34"/>
        <v>49295.81821</v>
      </c>
      <c r="K99" s="62">
        <f t="shared" si="34"/>
        <v>32866.34983</v>
      </c>
      <c r="L99" s="62">
        <f t="shared" si="34"/>
        <v>32866.34983</v>
      </c>
      <c r="M99" s="62">
        <f t="shared" si="34"/>
        <v>43724.34626</v>
      </c>
      <c r="N99" s="62">
        <f t="shared" si="34"/>
        <v>66566.81627</v>
      </c>
      <c r="O99" s="62">
        <f t="shared" si="34"/>
        <v>24887.37888</v>
      </c>
      <c r="P99" s="62">
        <f t="shared" si="34"/>
        <v>24887.37888</v>
      </c>
    </row>
    <row r="100" ht="14.25" customHeight="1">
      <c r="A100" s="107" t="s">
        <v>119</v>
      </c>
      <c r="B100" s="108" t="s">
        <v>79</v>
      </c>
      <c r="C100" s="62">
        <f t="shared" ref="C100:P100" si="35">D46</f>
        <v>45453.00026</v>
      </c>
      <c r="D100" s="62">
        <f t="shared" si="35"/>
        <v>34371.58661</v>
      </c>
      <c r="E100" s="62">
        <f t="shared" si="35"/>
        <v>61074.81327</v>
      </c>
      <c r="F100" s="62">
        <f t="shared" si="35"/>
        <v>15793.30838</v>
      </c>
      <c r="G100" s="62">
        <f t="shared" si="35"/>
        <v>17895.15125</v>
      </c>
      <c r="H100" s="62">
        <f t="shared" si="35"/>
        <v>34342.59661</v>
      </c>
      <c r="I100" s="62">
        <f t="shared" si="35"/>
        <v>17895.15125</v>
      </c>
      <c r="J100" s="62">
        <f t="shared" si="35"/>
        <v>26005.56567</v>
      </c>
      <c r="K100" s="62">
        <f t="shared" si="35"/>
        <v>23434.25913</v>
      </c>
      <c r="L100" s="62">
        <f t="shared" si="35"/>
        <v>23434.25913</v>
      </c>
      <c r="M100" s="62">
        <f t="shared" si="35"/>
        <v>40969.63592</v>
      </c>
      <c r="N100" s="62">
        <f t="shared" si="35"/>
        <v>14116.77333</v>
      </c>
      <c r="O100" s="62">
        <f t="shared" si="35"/>
        <v>17745.1189</v>
      </c>
      <c r="P100" s="62">
        <f t="shared" si="35"/>
        <v>17745.1189</v>
      </c>
    </row>
    <row r="101" ht="14.25" customHeight="1">
      <c r="A101" s="107" t="s">
        <v>120</v>
      </c>
      <c r="B101" s="108" t="s">
        <v>81</v>
      </c>
      <c r="C101" s="62">
        <f t="shared" ref="C101:P101" si="36">D55</f>
        <v>13240.73948</v>
      </c>
      <c r="D101" s="62">
        <f t="shared" si="36"/>
        <v>9988.00781</v>
      </c>
      <c r="E101" s="62">
        <f t="shared" si="36"/>
        <v>17826.04032</v>
      </c>
      <c r="F101" s="62">
        <f t="shared" si="36"/>
        <v>4551.655257</v>
      </c>
      <c r="G101" s="62">
        <f t="shared" si="36"/>
        <v>5157.409538</v>
      </c>
      <c r="H101" s="62">
        <f t="shared" si="36"/>
        <v>9985.168881</v>
      </c>
      <c r="I101" s="62">
        <f t="shared" si="36"/>
        <v>5157.409538</v>
      </c>
      <c r="J101" s="62">
        <f t="shared" si="36"/>
        <v>7539.330319</v>
      </c>
      <c r="K101" s="62">
        <f t="shared" si="36"/>
        <v>6753.788769</v>
      </c>
      <c r="L101" s="62">
        <f t="shared" si="36"/>
        <v>6753.788769</v>
      </c>
      <c r="M101" s="62">
        <f t="shared" si="36"/>
        <v>11939.37641</v>
      </c>
      <c r="N101" s="62">
        <f t="shared" si="36"/>
        <v>4068.475331</v>
      </c>
      <c r="O101" s="62">
        <f t="shared" si="36"/>
        <v>5114.169989</v>
      </c>
      <c r="P101" s="62">
        <f t="shared" si="36"/>
        <v>5114.169989</v>
      </c>
    </row>
    <row r="102" ht="14.25" customHeight="1">
      <c r="A102" s="107" t="s">
        <v>121</v>
      </c>
      <c r="B102" s="108" t="s">
        <v>83</v>
      </c>
      <c r="C102" s="62">
        <f t="shared" ref="C102:P102" si="37">D64</f>
        <v>14092.82379</v>
      </c>
      <c r="D102" s="62">
        <f t="shared" si="37"/>
        <v>10845.07773</v>
      </c>
      <c r="E102" s="62">
        <f t="shared" si="37"/>
        <v>18672.6155</v>
      </c>
      <c r="F102" s="62">
        <f t="shared" si="37"/>
        <v>5270.909348</v>
      </c>
      <c r="G102" s="62">
        <f t="shared" si="37"/>
        <v>5972.385123</v>
      </c>
      <c r="H102" s="62">
        <f t="shared" si="37"/>
        <v>10793.31174</v>
      </c>
      <c r="I102" s="62">
        <f t="shared" si="37"/>
        <v>5972.385123</v>
      </c>
      <c r="J102" s="62">
        <f t="shared" si="37"/>
        <v>8339.716135</v>
      </c>
      <c r="K102" s="62">
        <f t="shared" si="37"/>
        <v>7821.024736</v>
      </c>
      <c r="L102" s="62">
        <f t="shared" si="37"/>
        <v>7821.024736</v>
      </c>
      <c r="M102" s="62">
        <f t="shared" si="37"/>
        <v>12667.12017</v>
      </c>
      <c r="N102" s="62">
        <f t="shared" si="37"/>
        <v>4711.377168</v>
      </c>
      <c r="O102" s="62">
        <f t="shared" si="37"/>
        <v>5922.312846</v>
      </c>
      <c r="P102" s="62">
        <f t="shared" si="37"/>
        <v>5922.312846</v>
      </c>
    </row>
    <row r="103" ht="14.25" customHeight="1">
      <c r="A103" s="107" t="s">
        <v>122</v>
      </c>
      <c r="B103" s="108" t="s">
        <v>85</v>
      </c>
      <c r="C103" s="62">
        <f t="shared" ref="C103:P103" si="38">D73</f>
        <v>22880.21036</v>
      </c>
      <c r="D103" s="62">
        <f t="shared" si="38"/>
        <v>19791.45458</v>
      </c>
      <c r="E103" s="62">
        <f t="shared" si="38"/>
        <v>27252.30448</v>
      </c>
      <c r="F103" s="62">
        <f t="shared" si="38"/>
        <v>12902.44817</v>
      </c>
      <c r="G103" s="62">
        <f t="shared" si="38"/>
        <v>14619.56266</v>
      </c>
      <c r="H103" s="62">
        <f t="shared" si="38"/>
        <v>24414.02775</v>
      </c>
      <c r="I103" s="62">
        <f t="shared" si="38"/>
        <v>14619.56266</v>
      </c>
      <c r="J103" s="62">
        <f t="shared" si="38"/>
        <v>19395.25137</v>
      </c>
      <c r="K103" s="62">
        <f t="shared" si="38"/>
        <v>19144.77362</v>
      </c>
      <c r="L103" s="62">
        <f t="shared" si="38"/>
        <v>19144.77362</v>
      </c>
      <c r="M103" s="62">
        <f t="shared" si="38"/>
        <v>27986.27732</v>
      </c>
      <c r="N103" s="62">
        <f t="shared" si="38"/>
        <v>11532.79172</v>
      </c>
      <c r="O103" s="62">
        <f t="shared" si="38"/>
        <v>14496.99273</v>
      </c>
      <c r="P103" s="62">
        <f t="shared" si="38"/>
        <v>14496.99273</v>
      </c>
    </row>
    <row r="104" ht="14.25" customHeight="1">
      <c r="A104" s="107" t="s">
        <v>123</v>
      </c>
      <c r="B104" s="108" t="s">
        <v>87</v>
      </c>
      <c r="C104" s="62">
        <f t="shared" ref="C104:P104" si="39">D82</f>
        <v>10143.12994</v>
      </c>
      <c r="D104" s="62">
        <f t="shared" si="39"/>
        <v>8777.084294</v>
      </c>
      <c r="E104" s="62">
        <f t="shared" si="39"/>
        <v>12076.79186</v>
      </c>
      <c r="F104" s="62">
        <f t="shared" si="39"/>
        <v>5726.297783</v>
      </c>
      <c r="G104" s="62">
        <f t="shared" si="39"/>
        <v>6488.378652</v>
      </c>
      <c r="H104" s="62">
        <f t="shared" si="39"/>
        <v>10820.36118</v>
      </c>
      <c r="I104" s="62">
        <f t="shared" si="39"/>
        <v>6488.378652</v>
      </c>
      <c r="J104" s="62">
        <f t="shared" si="39"/>
        <v>8600.308058</v>
      </c>
      <c r="K104" s="62">
        <f t="shared" si="39"/>
        <v>8496.734368</v>
      </c>
      <c r="L104" s="62">
        <f t="shared" si="39"/>
        <v>8496.734368</v>
      </c>
      <c r="M104" s="62">
        <f t="shared" si="39"/>
        <v>12398.22097</v>
      </c>
      <c r="N104" s="62">
        <f t="shared" si="39"/>
        <v>5118.423948</v>
      </c>
      <c r="O104" s="62">
        <f t="shared" si="39"/>
        <v>6433.980303</v>
      </c>
      <c r="P104" s="62">
        <f t="shared" si="39"/>
        <v>6433.980303</v>
      </c>
    </row>
    <row r="105" ht="14.25" customHeight="1">
      <c r="A105" s="107" t="s">
        <v>124</v>
      </c>
      <c r="B105" s="108" t="s">
        <v>89</v>
      </c>
      <c r="C105" s="62">
        <f t="shared" ref="C105:P105" si="40">D91</f>
        <v>16795.42555</v>
      </c>
      <c r="D105" s="62">
        <f t="shared" si="40"/>
        <v>14538.69829</v>
      </c>
      <c r="E105" s="62">
        <f t="shared" si="40"/>
        <v>19989.93074</v>
      </c>
      <c r="F105" s="62">
        <f t="shared" si="40"/>
        <v>9492.249932</v>
      </c>
      <c r="G105" s="62">
        <f t="shared" si="40"/>
        <v>10755.52026</v>
      </c>
      <c r="H105" s="62">
        <f t="shared" si="40"/>
        <v>17912.41039</v>
      </c>
      <c r="I105" s="62">
        <f t="shared" si="40"/>
        <v>10755.52026</v>
      </c>
      <c r="J105" s="62">
        <f t="shared" si="40"/>
        <v>14244.15779</v>
      </c>
      <c r="K105" s="62">
        <f t="shared" si="40"/>
        <v>14084.6895</v>
      </c>
      <c r="L105" s="62">
        <f t="shared" si="40"/>
        <v>14084.6895</v>
      </c>
      <c r="M105" s="62">
        <f t="shared" si="40"/>
        <v>20515.79812</v>
      </c>
      <c r="N105" s="62">
        <f t="shared" si="40"/>
        <v>8484.602306</v>
      </c>
      <c r="O105" s="62">
        <f t="shared" si="40"/>
        <v>10665.34634</v>
      </c>
      <c r="P105" s="62">
        <f t="shared" si="40"/>
        <v>10665.34634</v>
      </c>
    </row>
    <row r="106" ht="14.25" customHeight="1">
      <c r="B106" s="109" t="s">
        <v>68</v>
      </c>
      <c r="C106" s="110">
        <f t="shared" ref="C106:P106" si="41">SUM(C96:C104,C105)</f>
        <v>245241.327</v>
      </c>
      <c r="D106" s="110">
        <f t="shared" si="41"/>
        <v>221665.4596</v>
      </c>
      <c r="E106" s="110">
        <f t="shared" si="41"/>
        <v>278735.5941</v>
      </c>
      <c r="F106" s="110">
        <f t="shared" si="41"/>
        <v>333122.3817</v>
      </c>
      <c r="G106" s="110">
        <f t="shared" si="41"/>
        <v>178183.5418</v>
      </c>
      <c r="H106" s="110">
        <f t="shared" si="41"/>
        <v>290713.3604</v>
      </c>
      <c r="I106" s="110">
        <f t="shared" si="41"/>
        <v>178183.5418</v>
      </c>
      <c r="J106" s="110">
        <f t="shared" si="41"/>
        <v>314471.9299</v>
      </c>
      <c r="K106" s="110">
        <f t="shared" si="41"/>
        <v>233336.9096</v>
      </c>
      <c r="L106" s="110">
        <f t="shared" si="41"/>
        <v>233336.9096</v>
      </c>
      <c r="M106" s="110">
        <f t="shared" si="41"/>
        <v>330790.7056</v>
      </c>
      <c r="N106" s="110">
        <f t="shared" si="41"/>
        <v>359062.7614</v>
      </c>
      <c r="O106" s="110">
        <f t="shared" si="41"/>
        <v>176689.6569</v>
      </c>
      <c r="P106" s="110">
        <f t="shared" si="41"/>
        <v>176689.6569</v>
      </c>
      <c r="Q106" s="71"/>
    </row>
    <row r="107" ht="14.25" customHeight="1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</row>
    <row r="108" ht="14.25" customHeight="1">
      <c r="B108" s="105" t="s">
        <v>125</v>
      </c>
      <c r="C108" s="106">
        <v>16.0</v>
      </c>
      <c r="D108" s="106">
        <v>17.0</v>
      </c>
      <c r="E108" s="106">
        <v>18.0</v>
      </c>
      <c r="F108" s="106">
        <v>19.0</v>
      </c>
      <c r="G108" s="106">
        <v>20.0</v>
      </c>
      <c r="H108" s="106">
        <v>21.0</v>
      </c>
      <c r="I108" s="106">
        <v>22.0</v>
      </c>
      <c r="J108" s="106">
        <v>23.0</v>
      </c>
      <c r="K108" s="106">
        <v>24.0</v>
      </c>
      <c r="L108" s="106">
        <v>25.0</v>
      </c>
      <c r="M108" s="106">
        <v>26.0</v>
      </c>
      <c r="N108" s="106">
        <v>27.0</v>
      </c>
      <c r="O108" s="106">
        <v>28.0</v>
      </c>
      <c r="P108" s="106">
        <v>29.0</v>
      </c>
    </row>
    <row r="109" ht="14.25" customHeight="1">
      <c r="A109" s="107" t="s">
        <v>115</v>
      </c>
      <c r="B109" s="108" t="s">
        <v>71</v>
      </c>
      <c r="C109" s="62">
        <f t="shared" ref="C109:P109" si="42">C96*10</f>
        <v>453836.678</v>
      </c>
      <c r="D109" s="62">
        <f t="shared" si="42"/>
        <v>456492.1114</v>
      </c>
      <c r="E109" s="62">
        <f t="shared" si="42"/>
        <v>450902.4094</v>
      </c>
      <c r="F109" s="62">
        <f t="shared" si="42"/>
        <v>1033555.956</v>
      </c>
      <c r="G109" s="62">
        <f t="shared" si="42"/>
        <v>434071.8479</v>
      </c>
      <c r="H109" s="62">
        <f t="shared" si="42"/>
        <v>675036.8775</v>
      </c>
      <c r="I109" s="62">
        <f t="shared" si="42"/>
        <v>434071.8479</v>
      </c>
      <c r="J109" s="62">
        <f t="shared" si="42"/>
        <v>852206.8009</v>
      </c>
      <c r="K109" s="62">
        <f t="shared" si="42"/>
        <v>568430.6337</v>
      </c>
      <c r="L109" s="62">
        <f t="shared" si="42"/>
        <v>568430.6337</v>
      </c>
      <c r="M109" s="62">
        <f t="shared" si="42"/>
        <v>755897.7253</v>
      </c>
      <c r="N109" s="62">
        <f t="shared" si="42"/>
        <v>1150575.85</v>
      </c>
      <c r="O109" s="62">
        <f t="shared" si="42"/>
        <v>430432.6041</v>
      </c>
      <c r="P109" s="62">
        <f t="shared" si="42"/>
        <v>430432.6041</v>
      </c>
    </row>
    <row r="110" ht="14.25" customHeight="1">
      <c r="A110" s="107" t="s">
        <v>116</v>
      </c>
      <c r="B110" s="108" t="s">
        <v>73</v>
      </c>
      <c r="C110" s="62">
        <f t="shared" ref="C110:P110" si="43">C97*5</f>
        <v>176336.8561</v>
      </c>
      <c r="D110" s="62">
        <f t="shared" si="43"/>
        <v>177368.6166</v>
      </c>
      <c r="E110" s="62">
        <f t="shared" si="43"/>
        <v>175196.755</v>
      </c>
      <c r="F110" s="62">
        <f t="shared" si="43"/>
        <v>401807.4336</v>
      </c>
      <c r="G110" s="62">
        <f t="shared" si="43"/>
        <v>168657.2917</v>
      </c>
      <c r="H110" s="62">
        <f t="shared" si="43"/>
        <v>262367.1587</v>
      </c>
      <c r="I110" s="62">
        <f t="shared" si="43"/>
        <v>168657.2917</v>
      </c>
      <c r="J110" s="62">
        <f t="shared" si="43"/>
        <v>331267.9861</v>
      </c>
      <c r="K110" s="62">
        <f t="shared" si="43"/>
        <v>220861.9878</v>
      </c>
      <c r="L110" s="62">
        <f t="shared" si="43"/>
        <v>220861.9878</v>
      </c>
      <c r="M110" s="62">
        <f t="shared" si="43"/>
        <v>293827.6866</v>
      </c>
      <c r="N110" s="62">
        <f t="shared" si="43"/>
        <v>447329.0758</v>
      </c>
      <c r="O110" s="62">
        <f t="shared" si="43"/>
        <v>167243.2746</v>
      </c>
      <c r="P110" s="62">
        <f t="shared" si="43"/>
        <v>167243.2746</v>
      </c>
    </row>
    <row r="111" ht="14.25" customHeight="1">
      <c r="A111" s="107" t="s">
        <v>117</v>
      </c>
      <c r="B111" s="108" t="s">
        <v>75</v>
      </c>
      <c r="C111" s="62">
        <f t="shared" ref="C111:P111" si="44">C98*24</f>
        <v>377864.853</v>
      </c>
      <c r="D111" s="62">
        <f t="shared" si="44"/>
        <v>380075.7694</v>
      </c>
      <c r="E111" s="62">
        <f t="shared" si="44"/>
        <v>375421.7781</v>
      </c>
      <c r="F111" s="62">
        <f t="shared" si="44"/>
        <v>861016.0653</v>
      </c>
      <c r="G111" s="62">
        <f t="shared" si="44"/>
        <v>361408.6366</v>
      </c>
      <c r="H111" s="62">
        <f t="shared" si="44"/>
        <v>562215.4931</v>
      </c>
      <c r="I111" s="62">
        <f t="shared" si="44"/>
        <v>361408.6366</v>
      </c>
      <c r="J111" s="62">
        <f t="shared" si="44"/>
        <v>709860.1218</v>
      </c>
      <c r="K111" s="62">
        <f t="shared" si="44"/>
        <v>473275.8903</v>
      </c>
      <c r="L111" s="62">
        <f t="shared" si="44"/>
        <v>473275.8903</v>
      </c>
      <c r="M111" s="62">
        <f t="shared" si="44"/>
        <v>629630.8948</v>
      </c>
      <c r="N111" s="62">
        <f t="shared" si="44"/>
        <v>958562.427</v>
      </c>
      <c r="O111" s="62">
        <f t="shared" si="44"/>
        <v>358378.5987</v>
      </c>
      <c r="P111" s="62">
        <f t="shared" si="44"/>
        <v>358378.5987</v>
      </c>
    </row>
    <row r="112" ht="14.25" customHeight="1">
      <c r="A112" s="107" t="s">
        <v>118</v>
      </c>
      <c r="B112" s="108" t="s">
        <v>77</v>
      </c>
      <c r="C112" s="62">
        <f t="shared" ref="C112:P112" si="45">C99*24</f>
        <v>629774.1526</v>
      </c>
      <c r="D112" s="62">
        <f t="shared" si="45"/>
        <v>633459.0096</v>
      </c>
      <c r="E112" s="62">
        <f t="shared" si="45"/>
        <v>625702.365</v>
      </c>
      <c r="F112" s="62">
        <f t="shared" si="45"/>
        <v>1435026.267</v>
      </c>
      <c r="G112" s="62">
        <f t="shared" si="45"/>
        <v>602347.1513</v>
      </c>
      <c r="H112" s="62">
        <f t="shared" si="45"/>
        <v>937025.2505</v>
      </c>
      <c r="I112" s="62">
        <f t="shared" si="45"/>
        <v>602347.1513</v>
      </c>
      <c r="J112" s="62">
        <f t="shared" si="45"/>
        <v>1183099.637</v>
      </c>
      <c r="K112" s="62">
        <f t="shared" si="45"/>
        <v>788792.3959</v>
      </c>
      <c r="L112" s="62">
        <f t="shared" si="45"/>
        <v>788792.3959</v>
      </c>
      <c r="M112" s="62">
        <f t="shared" si="45"/>
        <v>1049384.31</v>
      </c>
      <c r="N112" s="62">
        <f t="shared" si="45"/>
        <v>1597603.59</v>
      </c>
      <c r="O112" s="62">
        <f t="shared" si="45"/>
        <v>597297.093</v>
      </c>
      <c r="P112" s="62">
        <f t="shared" si="45"/>
        <v>597297.093</v>
      </c>
    </row>
    <row r="113" ht="14.25" customHeight="1">
      <c r="A113" s="107" t="s">
        <v>119</v>
      </c>
      <c r="B113" s="108" t="s">
        <v>79</v>
      </c>
      <c r="C113" s="62">
        <f t="shared" ref="C113:P113" si="46">C100*40</f>
        <v>1818120.01</v>
      </c>
      <c r="D113" s="62">
        <f t="shared" si="46"/>
        <v>1374863.464</v>
      </c>
      <c r="E113" s="62">
        <f t="shared" si="46"/>
        <v>2442992.531</v>
      </c>
      <c r="F113" s="62">
        <f t="shared" si="46"/>
        <v>631732.3352</v>
      </c>
      <c r="G113" s="62">
        <f t="shared" si="46"/>
        <v>715806.0501</v>
      </c>
      <c r="H113" s="62">
        <f t="shared" si="46"/>
        <v>1373703.864</v>
      </c>
      <c r="I113" s="62">
        <f t="shared" si="46"/>
        <v>715806.0501</v>
      </c>
      <c r="J113" s="62">
        <f t="shared" si="46"/>
        <v>1040222.627</v>
      </c>
      <c r="K113" s="62">
        <f t="shared" si="46"/>
        <v>937370.3652</v>
      </c>
      <c r="L113" s="62">
        <f t="shared" si="46"/>
        <v>937370.3652</v>
      </c>
      <c r="M113" s="62">
        <f t="shared" si="46"/>
        <v>1638785.437</v>
      </c>
      <c r="N113" s="62">
        <f t="shared" si="46"/>
        <v>564670.9333</v>
      </c>
      <c r="O113" s="62">
        <f t="shared" si="46"/>
        <v>709804.7562</v>
      </c>
      <c r="P113" s="62">
        <f t="shared" si="46"/>
        <v>709804.7562</v>
      </c>
    </row>
    <row r="114" ht="14.25" customHeight="1">
      <c r="A114" s="107" t="s">
        <v>120</v>
      </c>
      <c r="B114" s="108" t="s">
        <v>81</v>
      </c>
      <c r="C114" s="62">
        <f t="shared" ref="C114:P114" si="47">C101*24</f>
        <v>317777.7476</v>
      </c>
      <c r="D114" s="62">
        <f t="shared" si="47"/>
        <v>239712.1874</v>
      </c>
      <c r="E114" s="62">
        <f t="shared" si="47"/>
        <v>427824.9676</v>
      </c>
      <c r="F114" s="62">
        <f t="shared" si="47"/>
        <v>109239.7262</v>
      </c>
      <c r="G114" s="62">
        <f t="shared" si="47"/>
        <v>123777.8289</v>
      </c>
      <c r="H114" s="62">
        <f t="shared" si="47"/>
        <v>239644.0532</v>
      </c>
      <c r="I114" s="62">
        <f t="shared" si="47"/>
        <v>123777.8289</v>
      </c>
      <c r="J114" s="62">
        <f t="shared" si="47"/>
        <v>180943.9277</v>
      </c>
      <c r="K114" s="62">
        <f t="shared" si="47"/>
        <v>162090.9305</v>
      </c>
      <c r="L114" s="62">
        <f t="shared" si="47"/>
        <v>162090.9305</v>
      </c>
      <c r="M114" s="62">
        <f t="shared" si="47"/>
        <v>286545.0338</v>
      </c>
      <c r="N114" s="62">
        <f t="shared" si="47"/>
        <v>97643.40796</v>
      </c>
      <c r="O114" s="62">
        <f t="shared" si="47"/>
        <v>122740.0797</v>
      </c>
      <c r="P114" s="62">
        <f t="shared" si="47"/>
        <v>122740.0797</v>
      </c>
    </row>
    <row r="115" ht="14.25" customHeight="1">
      <c r="A115" s="107" t="s">
        <v>121</v>
      </c>
      <c r="B115" s="108" t="s">
        <v>83</v>
      </c>
      <c r="C115" s="62">
        <f t="shared" ref="C115:P115" si="48">C102*12</f>
        <v>169113.8855</v>
      </c>
      <c r="D115" s="62">
        <f t="shared" si="48"/>
        <v>130140.9328</v>
      </c>
      <c r="E115" s="62">
        <f t="shared" si="48"/>
        <v>224071.386</v>
      </c>
      <c r="F115" s="62">
        <f t="shared" si="48"/>
        <v>63250.91217</v>
      </c>
      <c r="G115" s="62">
        <f t="shared" si="48"/>
        <v>71668.62147</v>
      </c>
      <c r="H115" s="62">
        <f t="shared" si="48"/>
        <v>129519.7409</v>
      </c>
      <c r="I115" s="62">
        <f t="shared" si="48"/>
        <v>71668.62147</v>
      </c>
      <c r="J115" s="62">
        <f t="shared" si="48"/>
        <v>100076.5936</v>
      </c>
      <c r="K115" s="62">
        <f t="shared" si="48"/>
        <v>93852.29683</v>
      </c>
      <c r="L115" s="62">
        <f t="shared" si="48"/>
        <v>93852.29683</v>
      </c>
      <c r="M115" s="62">
        <f t="shared" si="48"/>
        <v>152005.442</v>
      </c>
      <c r="N115" s="62">
        <f t="shared" si="48"/>
        <v>56536.52602</v>
      </c>
      <c r="O115" s="62">
        <f t="shared" si="48"/>
        <v>71067.75415</v>
      </c>
      <c r="P115" s="62">
        <f t="shared" si="48"/>
        <v>71067.75415</v>
      </c>
    </row>
    <row r="116" ht="14.25" customHeight="1">
      <c r="A116" s="107" t="s">
        <v>122</v>
      </c>
      <c r="B116" s="108" t="s">
        <v>85</v>
      </c>
      <c r="C116" s="62">
        <f t="shared" ref="C116:P116" si="49">C103*60</f>
        <v>1372812.622</v>
      </c>
      <c r="D116" s="62">
        <f t="shared" si="49"/>
        <v>1187487.275</v>
      </c>
      <c r="E116" s="62">
        <f t="shared" si="49"/>
        <v>1635138.269</v>
      </c>
      <c r="F116" s="62">
        <f t="shared" si="49"/>
        <v>774146.8899</v>
      </c>
      <c r="G116" s="62">
        <f t="shared" si="49"/>
        <v>877173.7594</v>
      </c>
      <c r="H116" s="62">
        <f t="shared" si="49"/>
        <v>1464841.665</v>
      </c>
      <c r="I116" s="62">
        <f t="shared" si="49"/>
        <v>877173.7594</v>
      </c>
      <c r="J116" s="62">
        <f t="shared" si="49"/>
        <v>1163715.082</v>
      </c>
      <c r="K116" s="62">
        <f t="shared" si="49"/>
        <v>1148686.417</v>
      </c>
      <c r="L116" s="62">
        <f t="shared" si="49"/>
        <v>1148686.417</v>
      </c>
      <c r="M116" s="62">
        <f t="shared" si="49"/>
        <v>1679176.639</v>
      </c>
      <c r="N116" s="62">
        <f t="shared" si="49"/>
        <v>691967.5034</v>
      </c>
      <c r="O116" s="62">
        <f t="shared" si="49"/>
        <v>869819.564</v>
      </c>
      <c r="P116" s="62">
        <f t="shared" si="49"/>
        <v>869819.564</v>
      </c>
    </row>
    <row r="117" ht="14.25" customHeight="1">
      <c r="A117" s="107" t="s">
        <v>123</v>
      </c>
      <c r="B117" s="108" t="s">
        <v>87</v>
      </c>
      <c r="C117" s="62">
        <f t="shared" ref="C117:P117" si="50">C104*60</f>
        <v>608587.7966</v>
      </c>
      <c r="D117" s="62">
        <f t="shared" si="50"/>
        <v>526625.0576</v>
      </c>
      <c r="E117" s="62">
        <f t="shared" si="50"/>
        <v>724607.5115</v>
      </c>
      <c r="F117" s="62">
        <f t="shared" si="50"/>
        <v>343577.867</v>
      </c>
      <c r="G117" s="62">
        <f t="shared" si="50"/>
        <v>389302.7191</v>
      </c>
      <c r="H117" s="62">
        <f t="shared" si="50"/>
        <v>649221.6706</v>
      </c>
      <c r="I117" s="62">
        <f t="shared" si="50"/>
        <v>389302.7191</v>
      </c>
      <c r="J117" s="62">
        <f t="shared" si="50"/>
        <v>516018.4835</v>
      </c>
      <c r="K117" s="62">
        <f t="shared" si="50"/>
        <v>509804.0621</v>
      </c>
      <c r="L117" s="62">
        <f t="shared" si="50"/>
        <v>509804.0621</v>
      </c>
      <c r="M117" s="62">
        <f t="shared" si="50"/>
        <v>743893.2583</v>
      </c>
      <c r="N117" s="62">
        <f t="shared" si="50"/>
        <v>307105.4369</v>
      </c>
      <c r="O117" s="62">
        <f t="shared" si="50"/>
        <v>386038.8182</v>
      </c>
      <c r="P117" s="62">
        <f t="shared" si="50"/>
        <v>386038.8182</v>
      </c>
    </row>
    <row r="118" ht="14.25" customHeight="1">
      <c r="A118" s="107" t="s">
        <v>124</v>
      </c>
      <c r="B118" s="108" t="s">
        <v>89</v>
      </c>
      <c r="C118" s="62">
        <f t="shared" ref="C118:P118" si="51">C105*50</f>
        <v>839771.2777</v>
      </c>
      <c r="D118" s="62">
        <f t="shared" si="51"/>
        <v>726934.9146</v>
      </c>
      <c r="E118" s="62">
        <f t="shared" si="51"/>
        <v>999496.5371</v>
      </c>
      <c r="F118" s="62">
        <f t="shared" si="51"/>
        <v>474612.4966</v>
      </c>
      <c r="G118" s="62">
        <f t="shared" si="51"/>
        <v>537776.013</v>
      </c>
      <c r="H118" s="62">
        <f t="shared" si="51"/>
        <v>895620.5196</v>
      </c>
      <c r="I118" s="62">
        <f t="shared" si="51"/>
        <v>537776.013</v>
      </c>
      <c r="J118" s="62">
        <f t="shared" si="51"/>
        <v>712207.8895</v>
      </c>
      <c r="K118" s="62">
        <f t="shared" si="51"/>
        <v>704234.4748</v>
      </c>
      <c r="L118" s="62">
        <f t="shared" si="51"/>
        <v>704234.4748</v>
      </c>
      <c r="M118" s="62">
        <f t="shared" si="51"/>
        <v>1025789.906</v>
      </c>
      <c r="N118" s="62">
        <f t="shared" si="51"/>
        <v>424230.1153</v>
      </c>
      <c r="O118" s="62">
        <f t="shared" si="51"/>
        <v>533267.3169</v>
      </c>
      <c r="P118" s="62">
        <f t="shared" si="51"/>
        <v>533267.3169</v>
      </c>
    </row>
    <row r="119" ht="14.25" customHeight="1">
      <c r="B119" s="109" t="s">
        <v>68</v>
      </c>
      <c r="C119" s="110">
        <f t="shared" ref="C119:P119" si="52">SUM(C109:C118)</f>
        <v>6763995.879</v>
      </c>
      <c r="D119" s="110">
        <f t="shared" si="52"/>
        <v>5833159.339</v>
      </c>
      <c r="E119" s="110">
        <f t="shared" si="52"/>
        <v>8081354.509</v>
      </c>
      <c r="F119" s="110">
        <f t="shared" si="52"/>
        <v>6127965.949</v>
      </c>
      <c r="G119" s="110">
        <f t="shared" si="52"/>
        <v>4281989.92</v>
      </c>
      <c r="H119" s="110">
        <f t="shared" si="52"/>
        <v>7189196.294</v>
      </c>
      <c r="I119" s="110">
        <f t="shared" si="52"/>
        <v>4281989.92</v>
      </c>
      <c r="J119" s="110">
        <f t="shared" si="52"/>
        <v>6789619.149</v>
      </c>
      <c r="K119" s="110">
        <f t="shared" si="52"/>
        <v>5607399.454</v>
      </c>
      <c r="L119" s="110">
        <f t="shared" si="52"/>
        <v>5607399.454</v>
      </c>
      <c r="M119" s="110">
        <f t="shared" si="52"/>
        <v>8254936.333</v>
      </c>
      <c r="N119" s="110">
        <f t="shared" si="52"/>
        <v>6296224.866</v>
      </c>
      <c r="O119" s="110">
        <f t="shared" si="52"/>
        <v>4246089.86</v>
      </c>
      <c r="P119" s="110">
        <f t="shared" si="52"/>
        <v>4246089.86</v>
      </c>
    </row>
    <row r="120" ht="14.25" customHeight="1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</row>
    <row r="121" ht="14.25" customHeight="1">
      <c r="B121" s="105" t="s">
        <v>126</v>
      </c>
      <c r="C121" s="106">
        <v>16.0</v>
      </c>
      <c r="D121" s="106">
        <v>17.0</v>
      </c>
      <c r="E121" s="106">
        <v>18.0</v>
      </c>
      <c r="F121" s="106">
        <v>19.0</v>
      </c>
      <c r="G121" s="106">
        <v>20.0</v>
      </c>
      <c r="H121" s="106">
        <v>21.0</v>
      </c>
      <c r="I121" s="106">
        <v>22.0</v>
      </c>
      <c r="J121" s="106">
        <v>23.0</v>
      </c>
      <c r="K121" s="106">
        <v>24.0</v>
      </c>
      <c r="L121" s="106">
        <v>25.0</v>
      </c>
      <c r="M121" s="106">
        <v>26.0</v>
      </c>
      <c r="N121" s="106">
        <v>27.0</v>
      </c>
      <c r="O121" s="106">
        <v>28.0</v>
      </c>
      <c r="P121" s="106">
        <v>29.0</v>
      </c>
    </row>
    <row r="122" ht="14.25" customHeight="1">
      <c r="A122" s="107" t="s">
        <v>115</v>
      </c>
      <c r="B122" s="108" t="s">
        <v>71</v>
      </c>
      <c r="C122" s="62">
        <f t="shared" ref="C122:P122" si="53">C109*50</f>
        <v>22691833.9</v>
      </c>
      <c r="D122" s="62">
        <f t="shared" si="53"/>
        <v>22824605.57</v>
      </c>
      <c r="E122" s="62">
        <f t="shared" si="53"/>
        <v>22545120.47</v>
      </c>
      <c r="F122" s="62">
        <f t="shared" si="53"/>
        <v>51677797.8</v>
      </c>
      <c r="G122" s="62">
        <f t="shared" si="53"/>
        <v>21703592.4</v>
      </c>
      <c r="H122" s="62">
        <f t="shared" si="53"/>
        <v>33751843.87</v>
      </c>
      <c r="I122" s="62">
        <f t="shared" si="53"/>
        <v>21703592.4</v>
      </c>
      <c r="J122" s="62">
        <f t="shared" si="53"/>
        <v>42610340.04</v>
      </c>
      <c r="K122" s="62">
        <f t="shared" si="53"/>
        <v>28421531.68</v>
      </c>
      <c r="L122" s="62">
        <f t="shared" si="53"/>
        <v>28421531.68</v>
      </c>
      <c r="M122" s="62">
        <f t="shared" si="53"/>
        <v>37794886.26</v>
      </c>
      <c r="N122" s="62">
        <f t="shared" si="53"/>
        <v>57528792.5</v>
      </c>
      <c r="O122" s="62">
        <f t="shared" si="53"/>
        <v>21521630.21</v>
      </c>
      <c r="P122" s="62">
        <f t="shared" si="53"/>
        <v>21521630.21</v>
      </c>
    </row>
    <row r="123" ht="14.25" customHeight="1">
      <c r="A123" s="107" t="s">
        <v>116</v>
      </c>
      <c r="B123" s="108" t="s">
        <v>73</v>
      </c>
      <c r="C123" s="62">
        <f t="shared" ref="C123:P123" si="54">C110*100</f>
        <v>17633685.61</v>
      </c>
      <c r="D123" s="62">
        <f t="shared" si="54"/>
        <v>17736861.66</v>
      </c>
      <c r="E123" s="62">
        <f t="shared" si="54"/>
        <v>17519675.5</v>
      </c>
      <c r="F123" s="62">
        <f t="shared" si="54"/>
        <v>40180743.36</v>
      </c>
      <c r="G123" s="62">
        <f t="shared" si="54"/>
        <v>16865729.17</v>
      </c>
      <c r="H123" s="62">
        <f t="shared" si="54"/>
        <v>26236715.87</v>
      </c>
      <c r="I123" s="62">
        <f t="shared" si="54"/>
        <v>16865729.17</v>
      </c>
      <c r="J123" s="62">
        <f t="shared" si="54"/>
        <v>33126798.61</v>
      </c>
      <c r="K123" s="62">
        <f t="shared" si="54"/>
        <v>22086198.78</v>
      </c>
      <c r="L123" s="62">
        <f t="shared" si="54"/>
        <v>22086198.78</v>
      </c>
      <c r="M123" s="62">
        <f t="shared" si="54"/>
        <v>29382768.66</v>
      </c>
      <c r="N123" s="62">
        <f t="shared" si="54"/>
        <v>44732907.58</v>
      </c>
      <c r="O123" s="62">
        <f t="shared" si="54"/>
        <v>16724327.46</v>
      </c>
      <c r="P123" s="62">
        <f t="shared" si="54"/>
        <v>16724327.46</v>
      </c>
    </row>
    <row r="124" ht="14.25" customHeight="1">
      <c r="A124" s="107" t="s">
        <v>117</v>
      </c>
      <c r="B124" s="108" t="s">
        <v>75</v>
      </c>
      <c r="C124" s="62">
        <f t="shared" ref="C124:P124" si="55">C111*20</f>
        <v>7557297.061</v>
      </c>
      <c r="D124" s="62">
        <f t="shared" si="55"/>
        <v>7601515.388</v>
      </c>
      <c r="E124" s="62">
        <f t="shared" si="55"/>
        <v>7508435.563</v>
      </c>
      <c r="F124" s="62">
        <f t="shared" si="55"/>
        <v>17220321.31</v>
      </c>
      <c r="G124" s="62">
        <f t="shared" si="55"/>
        <v>7228172.731</v>
      </c>
      <c r="H124" s="62">
        <f t="shared" si="55"/>
        <v>11244309.86</v>
      </c>
      <c r="I124" s="62">
        <f t="shared" si="55"/>
        <v>7228172.731</v>
      </c>
      <c r="J124" s="62">
        <f t="shared" si="55"/>
        <v>14197202.44</v>
      </c>
      <c r="K124" s="62">
        <f t="shared" si="55"/>
        <v>9465517.806</v>
      </c>
      <c r="L124" s="62">
        <f t="shared" si="55"/>
        <v>9465517.806</v>
      </c>
      <c r="M124" s="62">
        <f t="shared" si="55"/>
        <v>12592617.9</v>
      </c>
      <c r="N124" s="62">
        <f t="shared" si="55"/>
        <v>19171248.54</v>
      </c>
      <c r="O124" s="62">
        <f t="shared" si="55"/>
        <v>7167571.973</v>
      </c>
      <c r="P124" s="62">
        <f t="shared" si="55"/>
        <v>7167571.973</v>
      </c>
    </row>
    <row r="125" ht="14.25" customHeight="1">
      <c r="A125" s="107" t="s">
        <v>118</v>
      </c>
      <c r="B125" s="108" t="s">
        <v>77</v>
      </c>
      <c r="C125" s="62">
        <f t="shared" ref="C125:P125" si="56">C112*24</f>
        <v>15114579.66</v>
      </c>
      <c r="D125" s="62">
        <f t="shared" si="56"/>
        <v>15203016.23</v>
      </c>
      <c r="E125" s="62">
        <f t="shared" si="56"/>
        <v>15016856.76</v>
      </c>
      <c r="F125" s="62">
        <f t="shared" si="56"/>
        <v>34440630.41</v>
      </c>
      <c r="G125" s="62">
        <f t="shared" si="56"/>
        <v>14456331.63</v>
      </c>
      <c r="H125" s="62">
        <f t="shared" si="56"/>
        <v>22488606.01</v>
      </c>
      <c r="I125" s="62">
        <f t="shared" si="56"/>
        <v>14456331.63</v>
      </c>
      <c r="J125" s="62">
        <f t="shared" si="56"/>
        <v>28394391.29</v>
      </c>
      <c r="K125" s="62">
        <f t="shared" si="56"/>
        <v>18931017.5</v>
      </c>
      <c r="L125" s="62">
        <f t="shared" si="56"/>
        <v>18931017.5</v>
      </c>
      <c r="M125" s="62">
        <f t="shared" si="56"/>
        <v>25185223.44</v>
      </c>
      <c r="N125" s="62">
        <f t="shared" si="56"/>
        <v>38342486.17</v>
      </c>
      <c r="O125" s="62">
        <f t="shared" si="56"/>
        <v>14335130.23</v>
      </c>
      <c r="P125" s="62">
        <f t="shared" si="56"/>
        <v>14335130.23</v>
      </c>
    </row>
    <row r="126" ht="14.25" customHeight="1">
      <c r="A126" s="107" t="s">
        <v>119</v>
      </c>
      <c r="B126" s="108" t="s">
        <v>79</v>
      </c>
      <c r="C126" s="62">
        <f t="shared" ref="C126:P126" si="57">C113*15</f>
        <v>27271800.16</v>
      </c>
      <c r="D126" s="62">
        <f t="shared" si="57"/>
        <v>20622951.97</v>
      </c>
      <c r="E126" s="62">
        <f t="shared" si="57"/>
        <v>36644887.96</v>
      </c>
      <c r="F126" s="62">
        <f t="shared" si="57"/>
        <v>9475985.029</v>
      </c>
      <c r="G126" s="62">
        <f t="shared" si="57"/>
        <v>10737090.75</v>
      </c>
      <c r="H126" s="62">
        <f t="shared" si="57"/>
        <v>20605557.97</v>
      </c>
      <c r="I126" s="62">
        <f t="shared" si="57"/>
        <v>10737090.75</v>
      </c>
      <c r="J126" s="62">
        <f t="shared" si="57"/>
        <v>15603339.4</v>
      </c>
      <c r="K126" s="62">
        <f t="shared" si="57"/>
        <v>14060555.48</v>
      </c>
      <c r="L126" s="62">
        <f t="shared" si="57"/>
        <v>14060555.48</v>
      </c>
      <c r="M126" s="62">
        <f t="shared" si="57"/>
        <v>24581781.55</v>
      </c>
      <c r="N126" s="62">
        <f t="shared" si="57"/>
        <v>8470063.999</v>
      </c>
      <c r="O126" s="62">
        <f t="shared" si="57"/>
        <v>10647071.34</v>
      </c>
      <c r="P126" s="62">
        <f t="shared" si="57"/>
        <v>10647071.34</v>
      </c>
    </row>
    <row r="127" ht="14.25" customHeight="1">
      <c r="A127" s="107" t="s">
        <v>120</v>
      </c>
      <c r="B127" s="108" t="s">
        <v>81</v>
      </c>
      <c r="C127" s="62">
        <f t="shared" ref="C127:P127" si="58">C114*50</f>
        <v>15888887.38</v>
      </c>
      <c r="D127" s="62">
        <f t="shared" si="58"/>
        <v>11985609.37</v>
      </c>
      <c r="E127" s="62">
        <f t="shared" si="58"/>
        <v>21391248.38</v>
      </c>
      <c r="F127" s="62">
        <f t="shared" si="58"/>
        <v>5461986.309</v>
      </c>
      <c r="G127" s="62">
        <f t="shared" si="58"/>
        <v>6188891.445</v>
      </c>
      <c r="H127" s="62">
        <f t="shared" si="58"/>
        <v>11982202.66</v>
      </c>
      <c r="I127" s="62">
        <f t="shared" si="58"/>
        <v>6188891.445</v>
      </c>
      <c r="J127" s="62">
        <f t="shared" si="58"/>
        <v>9047196.383</v>
      </c>
      <c r="K127" s="62">
        <f t="shared" si="58"/>
        <v>8104546.523</v>
      </c>
      <c r="L127" s="62">
        <f t="shared" si="58"/>
        <v>8104546.523</v>
      </c>
      <c r="M127" s="62">
        <f t="shared" si="58"/>
        <v>14327251.69</v>
      </c>
      <c r="N127" s="62">
        <f t="shared" si="58"/>
        <v>4882170.398</v>
      </c>
      <c r="O127" s="62">
        <f t="shared" si="58"/>
        <v>6137003.987</v>
      </c>
      <c r="P127" s="62">
        <f t="shared" si="58"/>
        <v>6137003.987</v>
      </c>
    </row>
    <row r="128" ht="14.25" customHeight="1">
      <c r="A128" s="107" t="s">
        <v>121</v>
      </c>
      <c r="B128" s="108" t="s">
        <v>83</v>
      </c>
      <c r="C128" s="62">
        <f t="shared" ref="C128:P128" si="59">C115*100</f>
        <v>16911388.55</v>
      </c>
      <c r="D128" s="62">
        <f t="shared" si="59"/>
        <v>13014093.28</v>
      </c>
      <c r="E128" s="62">
        <f t="shared" si="59"/>
        <v>22407138.6</v>
      </c>
      <c r="F128" s="62">
        <f t="shared" si="59"/>
        <v>6325091.217</v>
      </c>
      <c r="G128" s="62">
        <f t="shared" si="59"/>
        <v>7166862.147</v>
      </c>
      <c r="H128" s="62">
        <f t="shared" si="59"/>
        <v>12951974.09</v>
      </c>
      <c r="I128" s="62">
        <f t="shared" si="59"/>
        <v>7166862.147</v>
      </c>
      <c r="J128" s="62">
        <f t="shared" si="59"/>
        <v>10007659.36</v>
      </c>
      <c r="K128" s="62">
        <f t="shared" si="59"/>
        <v>9385229.683</v>
      </c>
      <c r="L128" s="62">
        <f t="shared" si="59"/>
        <v>9385229.683</v>
      </c>
      <c r="M128" s="62">
        <f t="shared" si="59"/>
        <v>15200544.2</v>
      </c>
      <c r="N128" s="62">
        <f t="shared" si="59"/>
        <v>5653652.602</v>
      </c>
      <c r="O128" s="62">
        <f t="shared" si="59"/>
        <v>7106775.415</v>
      </c>
      <c r="P128" s="62">
        <f t="shared" si="59"/>
        <v>7106775.415</v>
      </c>
    </row>
    <row r="129" ht="14.25" customHeight="1">
      <c r="A129" s="107" t="s">
        <v>122</v>
      </c>
      <c r="B129" s="108" t="s">
        <v>85</v>
      </c>
      <c r="C129" s="62">
        <f t="shared" ref="C129:P129" si="60">C116*15</f>
        <v>20592189.32</v>
      </c>
      <c r="D129" s="62">
        <f t="shared" si="60"/>
        <v>17812309.12</v>
      </c>
      <c r="E129" s="62">
        <f t="shared" si="60"/>
        <v>24527074.03</v>
      </c>
      <c r="F129" s="62">
        <f t="shared" si="60"/>
        <v>11612203.35</v>
      </c>
      <c r="G129" s="62">
        <f t="shared" si="60"/>
        <v>13157606.39</v>
      </c>
      <c r="H129" s="62">
        <f t="shared" si="60"/>
        <v>21972624.98</v>
      </c>
      <c r="I129" s="62">
        <f t="shared" si="60"/>
        <v>13157606.39</v>
      </c>
      <c r="J129" s="62">
        <f t="shared" si="60"/>
        <v>17455726.24</v>
      </c>
      <c r="K129" s="62">
        <f t="shared" si="60"/>
        <v>17230296.26</v>
      </c>
      <c r="L129" s="62">
        <f t="shared" si="60"/>
        <v>17230296.26</v>
      </c>
      <c r="M129" s="62">
        <f t="shared" si="60"/>
        <v>25187649.58</v>
      </c>
      <c r="N129" s="62">
        <f t="shared" si="60"/>
        <v>10379512.55</v>
      </c>
      <c r="O129" s="62">
        <f t="shared" si="60"/>
        <v>13047293.46</v>
      </c>
      <c r="P129" s="62">
        <f t="shared" si="60"/>
        <v>13047293.46</v>
      </c>
    </row>
    <row r="130" ht="14.25" customHeight="1">
      <c r="A130" s="107" t="s">
        <v>123</v>
      </c>
      <c r="B130" s="108" t="s">
        <v>87</v>
      </c>
      <c r="C130" s="62">
        <f t="shared" ref="C130:P130" si="61">C117*20</f>
        <v>12171755.93</v>
      </c>
      <c r="D130" s="62">
        <f t="shared" si="61"/>
        <v>10532501.15</v>
      </c>
      <c r="E130" s="62">
        <f t="shared" si="61"/>
        <v>14492150.23</v>
      </c>
      <c r="F130" s="62">
        <f t="shared" si="61"/>
        <v>6871557.339</v>
      </c>
      <c r="G130" s="62">
        <f t="shared" si="61"/>
        <v>7786054.382</v>
      </c>
      <c r="H130" s="62">
        <f t="shared" si="61"/>
        <v>12984433.41</v>
      </c>
      <c r="I130" s="62">
        <f t="shared" si="61"/>
        <v>7786054.382</v>
      </c>
      <c r="J130" s="62">
        <f t="shared" si="61"/>
        <v>10320369.67</v>
      </c>
      <c r="K130" s="62">
        <f t="shared" si="61"/>
        <v>10196081.24</v>
      </c>
      <c r="L130" s="62">
        <f t="shared" si="61"/>
        <v>10196081.24</v>
      </c>
      <c r="M130" s="62">
        <f t="shared" si="61"/>
        <v>14877865.17</v>
      </c>
      <c r="N130" s="62">
        <f t="shared" si="61"/>
        <v>6142108.737</v>
      </c>
      <c r="O130" s="62">
        <f t="shared" si="61"/>
        <v>7720776.363</v>
      </c>
      <c r="P130" s="62">
        <f t="shared" si="61"/>
        <v>7720776.363</v>
      </c>
    </row>
    <row r="131" ht="14.25" customHeight="1">
      <c r="A131" s="107" t="s">
        <v>124</v>
      </c>
      <c r="B131" s="108" t="s">
        <v>89</v>
      </c>
      <c r="C131" s="62">
        <f t="shared" ref="C131:P131" si="62">C118*24</f>
        <v>20154510.67</v>
      </c>
      <c r="D131" s="62">
        <f t="shared" si="62"/>
        <v>17446437.95</v>
      </c>
      <c r="E131" s="62">
        <f t="shared" si="62"/>
        <v>23987916.89</v>
      </c>
      <c r="F131" s="62">
        <f t="shared" si="62"/>
        <v>11390699.92</v>
      </c>
      <c r="G131" s="62">
        <f t="shared" si="62"/>
        <v>12906624.31</v>
      </c>
      <c r="H131" s="62">
        <f t="shared" si="62"/>
        <v>21494892.47</v>
      </c>
      <c r="I131" s="62">
        <f t="shared" si="62"/>
        <v>12906624.31</v>
      </c>
      <c r="J131" s="62">
        <f t="shared" si="62"/>
        <v>17092989.35</v>
      </c>
      <c r="K131" s="62">
        <f t="shared" si="62"/>
        <v>16901627.39</v>
      </c>
      <c r="L131" s="62">
        <f t="shared" si="62"/>
        <v>16901627.39</v>
      </c>
      <c r="M131" s="62">
        <f t="shared" si="62"/>
        <v>24618957.75</v>
      </c>
      <c r="N131" s="62">
        <f t="shared" si="62"/>
        <v>10181522.77</v>
      </c>
      <c r="O131" s="62">
        <f t="shared" si="62"/>
        <v>12798415.61</v>
      </c>
      <c r="P131" s="62">
        <f t="shared" si="62"/>
        <v>12798415.61</v>
      </c>
    </row>
    <row r="132" ht="14.25" customHeight="1">
      <c r="B132" s="109" t="s">
        <v>68</v>
      </c>
      <c r="C132" s="110">
        <f t="shared" ref="C132:P132" si="63">SUM(C122:C131)</f>
        <v>175987928.2</v>
      </c>
      <c r="D132" s="110">
        <f t="shared" si="63"/>
        <v>154779901.7</v>
      </c>
      <c r="E132" s="110">
        <f t="shared" si="63"/>
        <v>206040504.4</v>
      </c>
      <c r="F132" s="110">
        <f t="shared" si="63"/>
        <v>194657016</v>
      </c>
      <c r="G132" s="110">
        <f t="shared" si="63"/>
        <v>118196955.4</v>
      </c>
      <c r="H132" s="110">
        <f t="shared" si="63"/>
        <v>195713161.2</v>
      </c>
      <c r="I132" s="110">
        <f t="shared" si="63"/>
        <v>118196955.4</v>
      </c>
      <c r="J132" s="110">
        <f t="shared" si="63"/>
        <v>197856012.8</v>
      </c>
      <c r="K132" s="110">
        <f t="shared" si="63"/>
        <v>154782602.4</v>
      </c>
      <c r="L132" s="110">
        <f t="shared" si="63"/>
        <v>154782602.4</v>
      </c>
      <c r="M132" s="110">
        <f t="shared" si="63"/>
        <v>223749546.2</v>
      </c>
      <c r="N132" s="110">
        <f t="shared" si="63"/>
        <v>205484465.8</v>
      </c>
      <c r="O132" s="110">
        <f t="shared" si="63"/>
        <v>117205996</v>
      </c>
      <c r="P132" s="110">
        <f t="shared" si="63"/>
        <v>117205996</v>
      </c>
    </row>
    <row r="133" ht="14.25" customHeight="1"/>
    <row r="134" ht="14.25" customHeight="1">
      <c r="B134" s="105" t="s">
        <v>127</v>
      </c>
      <c r="C134" s="106">
        <v>16.0</v>
      </c>
      <c r="D134" s="106">
        <v>17.0</v>
      </c>
      <c r="E134" s="106">
        <v>18.0</v>
      </c>
      <c r="F134" s="106">
        <v>19.0</v>
      </c>
      <c r="G134" s="106">
        <v>20.0</v>
      </c>
      <c r="H134" s="106">
        <v>21.0</v>
      </c>
      <c r="I134" s="106">
        <v>22.0</v>
      </c>
      <c r="J134" s="106">
        <v>23.0</v>
      </c>
      <c r="K134" s="106">
        <v>24.0</v>
      </c>
      <c r="L134" s="106">
        <v>25.0</v>
      </c>
      <c r="M134" s="106">
        <v>26.0</v>
      </c>
      <c r="N134" s="106">
        <v>27.0</v>
      </c>
      <c r="O134" s="106">
        <v>28.0</v>
      </c>
      <c r="P134" s="106">
        <v>29.0</v>
      </c>
    </row>
    <row r="135" ht="14.25" customHeight="1">
      <c r="A135" s="107" t="s">
        <v>115</v>
      </c>
      <c r="B135" s="108" t="s">
        <v>71</v>
      </c>
      <c r="C135" s="62">
        <f t="shared" ref="C135:P135" si="64">C122*0.016</f>
        <v>363069.3424</v>
      </c>
      <c r="D135" s="62">
        <f t="shared" si="64"/>
        <v>365193.6891</v>
      </c>
      <c r="E135" s="62">
        <f t="shared" si="64"/>
        <v>360721.9275</v>
      </c>
      <c r="F135" s="62">
        <f t="shared" si="64"/>
        <v>826844.7648</v>
      </c>
      <c r="G135" s="62">
        <f t="shared" si="64"/>
        <v>347257.4783</v>
      </c>
      <c r="H135" s="62">
        <f t="shared" si="64"/>
        <v>540029.502</v>
      </c>
      <c r="I135" s="62">
        <f t="shared" si="64"/>
        <v>347257.4783</v>
      </c>
      <c r="J135" s="62">
        <f t="shared" si="64"/>
        <v>681765.4407</v>
      </c>
      <c r="K135" s="62">
        <f t="shared" si="64"/>
        <v>454744.5069</v>
      </c>
      <c r="L135" s="62">
        <f t="shared" si="64"/>
        <v>454744.5069</v>
      </c>
      <c r="M135" s="62">
        <f t="shared" si="64"/>
        <v>604718.1802</v>
      </c>
      <c r="N135" s="62">
        <f t="shared" si="64"/>
        <v>920460.68</v>
      </c>
      <c r="O135" s="62">
        <f t="shared" si="64"/>
        <v>344346.0833</v>
      </c>
      <c r="P135" s="62">
        <f t="shared" si="64"/>
        <v>344346.0833</v>
      </c>
    </row>
    <row r="136" ht="14.25" customHeight="1">
      <c r="A136" s="107" t="s">
        <v>116</v>
      </c>
      <c r="B136" s="108" t="s">
        <v>73</v>
      </c>
      <c r="C136" s="62">
        <f t="shared" ref="C136:P136" si="65">C123*0.016</f>
        <v>282138.9698</v>
      </c>
      <c r="D136" s="62">
        <f t="shared" si="65"/>
        <v>283789.7866</v>
      </c>
      <c r="E136" s="62">
        <f t="shared" si="65"/>
        <v>280314.808</v>
      </c>
      <c r="F136" s="62">
        <f t="shared" si="65"/>
        <v>642891.8937</v>
      </c>
      <c r="G136" s="62">
        <f t="shared" si="65"/>
        <v>269851.6667</v>
      </c>
      <c r="H136" s="62">
        <f t="shared" si="65"/>
        <v>419787.4539</v>
      </c>
      <c r="I136" s="62">
        <f t="shared" si="65"/>
        <v>269851.6667</v>
      </c>
      <c r="J136" s="62">
        <f t="shared" si="65"/>
        <v>530028.7778</v>
      </c>
      <c r="K136" s="62">
        <f t="shared" si="65"/>
        <v>353379.1805</v>
      </c>
      <c r="L136" s="62">
        <f t="shared" si="65"/>
        <v>353379.1805</v>
      </c>
      <c r="M136" s="62">
        <f t="shared" si="65"/>
        <v>470124.2986</v>
      </c>
      <c r="N136" s="62">
        <f t="shared" si="65"/>
        <v>715726.5213</v>
      </c>
      <c r="O136" s="62">
        <f t="shared" si="65"/>
        <v>267589.2394</v>
      </c>
      <c r="P136" s="62">
        <f t="shared" si="65"/>
        <v>267589.2394</v>
      </c>
    </row>
    <row r="137" ht="14.25" customHeight="1">
      <c r="A137" s="107" t="s">
        <v>117</v>
      </c>
      <c r="B137" s="108" t="s">
        <v>75</v>
      </c>
      <c r="C137" s="62">
        <f t="shared" ref="C137:P137" si="66">C124*0.016</f>
        <v>120916.753</v>
      </c>
      <c r="D137" s="62">
        <f t="shared" si="66"/>
        <v>121624.2462</v>
      </c>
      <c r="E137" s="62">
        <f t="shared" si="66"/>
        <v>120134.969</v>
      </c>
      <c r="F137" s="62">
        <f t="shared" si="66"/>
        <v>275525.1409</v>
      </c>
      <c r="G137" s="62">
        <f t="shared" si="66"/>
        <v>115650.7637</v>
      </c>
      <c r="H137" s="62">
        <f t="shared" si="66"/>
        <v>179908.9578</v>
      </c>
      <c r="I137" s="62">
        <f t="shared" si="66"/>
        <v>115650.7637</v>
      </c>
      <c r="J137" s="62">
        <f t="shared" si="66"/>
        <v>227155.239</v>
      </c>
      <c r="K137" s="62">
        <f t="shared" si="66"/>
        <v>151448.2849</v>
      </c>
      <c r="L137" s="62">
        <f t="shared" si="66"/>
        <v>151448.2849</v>
      </c>
      <c r="M137" s="62">
        <f t="shared" si="66"/>
        <v>201481.8863</v>
      </c>
      <c r="N137" s="62">
        <f t="shared" si="66"/>
        <v>306739.9766</v>
      </c>
      <c r="O137" s="62">
        <f t="shared" si="66"/>
        <v>114681.1516</v>
      </c>
      <c r="P137" s="62">
        <f t="shared" si="66"/>
        <v>114681.1516</v>
      </c>
    </row>
    <row r="138" ht="14.25" customHeight="1">
      <c r="A138" s="107" t="s">
        <v>118</v>
      </c>
      <c r="B138" s="108" t="s">
        <v>77</v>
      </c>
      <c r="C138" s="62">
        <f t="shared" ref="C138:P138" si="67">C125*0.016</f>
        <v>241833.2746</v>
      </c>
      <c r="D138" s="62">
        <f t="shared" si="67"/>
        <v>243248.2597</v>
      </c>
      <c r="E138" s="62">
        <f t="shared" si="67"/>
        <v>240269.7081</v>
      </c>
      <c r="F138" s="62">
        <f t="shared" si="67"/>
        <v>551050.0865</v>
      </c>
      <c r="G138" s="62">
        <f t="shared" si="67"/>
        <v>231301.3061</v>
      </c>
      <c r="H138" s="62">
        <f t="shared" si="67"/>
        <v>359817.6962</v>
      </c>
      <c r="I138" s="62">
        <f t="shared" si="67"/>
        <v>231301.3061</v>
      </c>
      <c r="J138" s="62">
        <f t="shared" si="67"/>
        <v>454310.2606</v>
      </c>
      <c r="K138" s="62">
        <f t="shared" si="67"/>
        <v>302896.28</v>
      </c>
      <c r="L138" s="62">
        <f t="shared" si="67"/>
        <v>302896.28</v>
      </c>
      <c r="M138" s="62">
        <f t="shared" si="67"/>
        <v>402963.5751</v>
      </c>
      <c r="N138" s="62">
        <f t="shared" si="67"/>
        <v>613479.7787</v>
      </c>
      <c r="O138" s="62">
        <f t="shared" si="67"/>
        <v>229362.0837</v>
      </c>
      <c r="P138" s="62">
        <f t="shared" si="67"/>
        <v>229362.0837</v>
      </c>
    </row>
    <row r="139" ht="14.25" customHeight="1">
      <c r="A139" s="107" t="s">
        <v>119</v>
      </c>
      <c r="B139" s="108" t="s">
        <v>79</v>
      </c>
      <c r="C139" s="62">
        <f t="shared" ref="C139:P139" si="68">C126*0.0025</f>
        <v>68179.50039</v>
      </c>
      <c r="D139" s="62">
        <f t="shared" si="68"/>
        <v>51557.37991</v>
      </c>
      <c r="E139" s="62">
        <f t="shared" si="68"/>
        <v>91612.21991</v>
      </c>
      <c r="F139" s="62">
        <f t="shared" si="68"/>
        <v>23689.96257</v>
      </c>
      <c r="G139" s="62">
        <f t="shared" si="68"/>
        <v>26842.72688</v>
      </c>
      <c r="H139" s="62">
        <f t="shared" si="68"/>
        <v>51513.89492</v>
      </c>
      <c r="I139" s="62">
        <f t="shared" si="68"/>
        <v>26842.72688</v>
      </c>
      <c r="J139" s="62">
        <f t="shared" si="68"/>
        <v>39008.3485</v>
      </c>
      <c r="K139" s="62">
        <f t="shared" si="68"/>
        <v>35151.3887</v>
      </c>
      <c r="L139" s="62">
        <f t="shared" si="68"/>
        <v>35151.3887</v>
      </c>
      <c r="M139" s="62">
        <f t="shared" si="68"/>
        <v>61454.45388</v>
      </c>
      <c r="N139" s="62">
        <f t="shared" si="68"/>
        <v>21175.16</v>
      </c>
      <c r="O139" s="62">
        <f t="shared" si="68"/>
        <v>26617.67836</v>
      </c>
      <c r="P139" s="62">
        <f t="shared" si="68"/>
        <v>26617.67836</v>
      </c>
    </row>
    <row r="140" ht="14.25" customHeight="1">
      <c r="A140" s="107" t="s">
        <v>120</v>
      </c>
      <c r="B140" s="108" t="s">
        <v>81</v>
      </c>
      <c r="C140" s="62">
        <f t="shared" ref="C140:P140" si="69">C127*0.0025</f>
        <v>39722.21844</v>
      </c>
      <c r="D140" s="62">
        <f t="shared" si="69"/>
        <v>29964.02343</v>
      </c>
      <c r="E140" s="62">
        <f t="shared" si="69"/>
        <v>53478.12096</v>
      </c>
      <c r="F140" s="62">
        <f t="shared" si="69"/>
        <v>13654.96577</v>
      </c>
      <c r="G140" s="62">
        <f t="shared" si="69"/>
        <v>15472.22861</v>
      </c>
      <c r="H140" s="62">
        <f t="shared" si="69"/>
        <v>29955.50664</v>
      </c>
      <c r="I140" s="62">
        <f t="shared" si="69"/>
        <v>15472.22861</v>
      </c>
      <c r="J140" s="62">
        <f t="shared" si="69"/>
        <v>22617.99096</v>
      </c>
      <c r="K140" s="62">
        <f t="shared" si="69"/>
        <v>20261.36631</v>
      </c>
      <c r="L140" s="62">
        <f t="shared" si="69"/>
        <v>20261.36631</v>
      </c>
      <c r="M140" s="62">
        <f t="shared" si="69"/>
        <v>35818.12923</v>
      </c>
      <c r="N140" s="62">
        <f t="shared" si="69"/>
        <v>12205.42599</v>
      </c>
      <c r="O140" s="62">
        <f t="shared" si="69"/>
        <v>15342.50997</v>
      </c>
      <c r="P140" s="62">
        <f t="shared" si="69"/>
        <v>15342.50997</v>
      </c>
    </row>
    <row r="141" ht="14.25" customHeight="1">
      <c r="A141" s="107" t="s">
        <v>121</v>
      </c>
      <c r="B141" s="108" t="s">
        <v>83</v>
      </c>
      <c r="C141" s="62">
        <f t="shared" ref="C141:P141" si="70">C128*0.0025</f>
        <v>42278.47138</v>
      </c>
      <c r="D141" s="62">
        <f t="shared" si="70"/>
        <v>32535.2332</v>
      </c>
      <c r="E141" s="62">
        <f t="shared" si="70"/>
        <v>56017.84651</v>
      </c>
      <c r="F141" s="62">
        <f t="shared" si="70"/>
        <v>15812.72804</v>
      </c>
      <c r="G141" s="62">
        <f t="shared" si="70"/>
        <v>17917.15537</v>
      </c>
      <c r="H141" s="62">
        <f t="shared" si="70"/>
        <v>32379.93522</v>
      </c>
      <c r="I141" s="62">
        <f t="shared" si="70"/>
        <v>17917.15537</v>
      </c>
      <c r="J141" s="62">
        <f t="shared" si="70"/>
        <v>25019.14841</v>
      </c>
      <c r="K141" s="62">
        <f t="shared" si="70"/>
        <v>23463.07421</v>
      </c>
      <c r="L141" s="62">
        <f t="shared" si="70"/>
        <v>23463.07421</v>
      </c>
      <c r="M141" s="62">
        <f t="shared" si="70"/>
        <v>38001.36051</v>
      </c>
      <c r="N141" s="62">
        <f t="shared" si="70"/>
        <v>14134.1315</v>
      </c>
      <c r="O141" s="62">
        <f t="shared" si="70"/>
        <v>17766.93854</v>
      </c>
      <c r="P141" s="62">
        <f t="shared" si="70"/>
        <v>17766.93854</v>
      </c>
    </row>
    <row r="142" ht="14.25" customHeight="1">
      <c r="A142" s="107" t="s">
        <v>122</v>
      </c>
      <c r="B142" s="108" t="s">
        <v>85</v>
      </c>
      <c r="C142" s="62">
        <f t="shared" ref="C142:P142" si="71">C129*0.001</f>
        <v>20592.18932</v>
      </c>
      <c r="D142" s="62">
        <f t="shared" si="71"/>
        <v>17812.30912</v>
      </c>
      <c r="E142" s="62">
        <f t="shared" si="71"/>
        <v>24527.07403</v>
      </c>
      <c r="F142" s="62">
        <f t="shared" si="71"/>
        <v>11612.20335</v>
      </c>
      <c r="G142" s="62">
        <f t="shared" si="71"/>
        <v>13157.60639</v>
      </c>
      <c r="H142" s="62">
        <f t="shared" si="71"/>
        <v>21972.62498</v>
      </c>
      <c r="I142" s="62">
        <f t="shared" si="71"/>
        <v>13157.60639</v>
      </c>
      <c r="J142" s="62">
        <f t="shared" si="71"/>
        <v>17455.72624</v>
      </c>
      <c r="K142" s="62">
        <f t="shared" si="71"/>
        <v>17230.29626</v>
      </c>
      <c r="L142" s="62">
        <f t="shared" si="71"/>
        <v>17230.29626</v>
      </c>
      <c r="M142" s="62">
        <f t="shared" si="71"/>
        <v>25187.64958</v>
      </c>
      <c r="N142" s="62">
        <f t="shared" si="71"/>
        <v>10379.51255</v>
      </c>
      <c r="O142" s="62">
        <f t="shared" si="71"/>
        <v>13047.29346</v>
      </c>
      <c r="P142" s="62">
        <f t="shared" si="71"/>
        <v>13047.29346</v>
      </c>
    </row>
    <row r="143" ht="14.25" customHeight="1">
      <c r="A143" s="107" t="s">
        <v>123</v>
      </c>
      <c r="B143" s="108" t="s">
        <v>87</v>
      </c>
      <c r="C143" s="62">
        <f t="shared" ref="C143:P143" si="72">C130*0.001</f>
        <v>12171.75593</v>
      </c>
      <c r="D143" s="62">
        <f t="shared" si="72"/>
        <v>10532.50115</v>
      </c>
      <c r="E143" s="62">
        <f t="shared" si="72"/>
        <v>14492.15023</v>
      </c>
      <c r="F143" s="62">
        <f t="shared" si="72"/>
        <v>6871.557339</v>
      </c>
      <c r="G143" s="62">
        <f t="shared" si="72"/>
        <v>7786.054382</v>
      </c>
      <c r="H143" s="62">
        <f t="shared" si="72"/>
        <v>12984.43341</v>
      </c>
      <c r="I143" s="62">
        <f t="shared" si="72"/>
        <v>7786.054382</v>
      </c>
      <c r="J143" s="62">
        <f t="shared" si="72"/>
        <v>10320.36967</v>
      </c>
      <c r="K143" s="62">
        <f t="shared" si="72"/>
        <v>10196.08124</v>
      </c>
      <c r="L143" s="62">
        <f t="shared" si="72"/>
        <v>10196.08124</v>
      </c>
      <c r="M143" s="62">
        <f t="shared" si="72"/>
        <v>14877.86517</v>
      </c>
      <c r="N143" s="62">
        <f t="shared" si="72"/>
        <v>6142.108737</v>
      </c>
      <c r="O143" s="62">
        <f t="shared" si="72"/>
        <v>7720.776363</v>
      </c>
      <c r="P143" s="62">
        <f t="shared" si="72"/>
        <v>7720.776363</v>
      </c>
    </row>
    <row r="144" ht="14.25" customHeight="1">
      <c r="A144" s="107" t="s">
        <v>124</v>
      </c>
      <c r="B144" s="108" t="s">
        <v>89</v>
      </c>
      <c r="C144" s="62">
        <f t="shared" ref="C144:P144" si="73">C131*0.001</f>
        <v>20154.51067</v>
      </c>
      <c r="D144" s="62">
        <f t="shared" si="73"/>
        <v>17446.43795</v>
      </c>
      <c r="E144" s="62">
        <f t="shared" si="73"/>
        <v>23987.91689</v>
      </c>
      <c r="F144" s="62">
        <f t="shared" si="73"/>
        <v>11390.69992</v>
      </c>
      <c r="G144" s="62">
        <f t="shared" si="73"/>
        <v>12906.62431</v>
      </c>
      <c r="H144" s="62">
        <f t="shared" si="73"/>
        <v>21494.89247</v>
      </c>
      <c r="I144" s="62">
        <f t="shared" si="73"/>
        <v>12906.62431</v>
      </c>
      <c r="J144" s="62">
        <f t="shared" si="73"/>
        <v>17092.98935</v>
      </c>
      <c r="K144" s="62">
        <f t="shared" si="73"/>
        <v>16901.62739</v>
      </c>
      <c r="L144" s="62">
        <f t="shared" si="73"/>
        <v>16901.62739</v>
      </c>
      <c r="M144" s="62">
        <f t="shared" si="73"/>
        <v>24618.95775</v>
      </c>
      <c r="N144" s="62">
        <f t="shared" si="73"/>
        <v>10181.52277</v>
      </c>
      <c r="O144" s="62">
        <f t="shared" si="73"/>
        <v>12798.41561</v>
      </c>
      <c r="P144" s="62">
        <f t="shared" si="73"/>
        <v>12798.41561</v>
      </c>
    </row>
    <row r="145" ht="14.25" customHeight="1">
      <c r="B145" s="109" t="s">
        <v>68</v>
      </c>
      <c r="C145" s="110">
        <f t="shared" ref="C145:P145" si="74">SUM(C135:C144)</f>
        <v>1211056.986</v>
      </c>
      <c r="D145" s="110">
        <f t="shared" si="74"/>
        <v>1173703.866</v>
      </c>
      <c r="E145" s="110">
        <f t="shared" si="74"/>
        <v>1265556.741</v>
      </c>
      <c r="F145" s="110">
        <f t="shared" si="74"/>
        <v>2379344.003</v>
      </c>
      <c r="G145" s="110">
        <f t="shared" si="74"/>
        <v>1058143.611</v>
      </c>
      <c r="H145" s="110">
        <f t="shared" si="74"/>
        <v>1669844.898</v>
      </c>
      <c r="I145" s="110">
        <f t="shared" si="74"/>
        <v>1058143.611</v>
      </c>
      <c r="J145" s="110">
        <f t="shared" si="74"/>
        <v>2024774.291</v>
      </c>
      <c r="K145" s="110">
        <f t="shared" si="74"/>
        <v>1385672.086</v>
      </c>
      <c r="L145" s="110">
        <f t="shared" si="74"/>
        <v>1385672.086</v>
      </c>
      <c r="M145" s="110">
        <f t="shared" si="74"/>
        <v>1879246.356</v>
      </c>
      <c r="N145" s="110">
        <f t="shared" si="74"/>
        <v>2630624.818</v>
      </c>
      <c r="O145" s="110">
        <f t="shared" si="74"/>
        <v>1049272.17</v>
      </c>
      <c r="P145" s="110">
        <f t="shared" si="74"/>
        <v>1049272.17</v>
      </c>
    </row>
    <row r="146" ht="14.25" customHeight="1"/>
    <row r="147" ht="14.25" customHeight="1"/>
    <row r="148" ht="14.25" customHeight="1">
      <c r="K148" s="71"/>
    </row>
    <row r="149" ht="14.25" customHeight="1"/>
    <row r="150" ht="14.25" customHeight="1">
      <c r="D150" s="66"/>
      <c r="E150" s="71"/>
    </row>
    <row r="151" ht="14.25" customHeight="1">
      <c r="D151" s="66"/>
      <c r="E151" s="71"/>
    </row>
    <row r="152" ht="14.25" customHeight="1">
      <c r="D152" s="66"/>
      <c r="E152" s="71"/>
    </row>
    <row r="153" ht="14.25" customHeight="1">
      <c r="D153" s="66"/>
      <c r="E153" s="71"/>
    </row>
    <row r="154" ht="14.25" customHeight="1">
      <c r="D154" s="66"/>
      <c r="E154" s="71"/>
    </row>
    <row r="155" ht="14.25" customHeight="1">
      <c r="D155" s="66"/>
      <c r="E155" s="71"/>
    </row>
    <row r="156" ht="14.25" customHeight="1">
      <c r="D156" s="66"/>
      <c r="E156" s="71"/>
    </row>
    <row r="157" ht="14.25" customHeight="1">
      <c r="D157" s="66"/>
      <c r="E157" s="71"/>
    </row>
    <row r="158" ht="14.25" customHeight="1">
      <c r="D158" s="66"/>
      <c r="E158" s="71"/>
    </row>
    <row r="159" ht="14.25" customHeight="1">
      <c r="D159" s="66"/>
      <c r="E159" s="71"/>
    </row>
    <row r="160" ht="14.25" customHeight="1"/>
    <row r="161" ht="14.25" customHeight="1"/>
    <row r="162" ht="14.25" customHeight="1"/>
    <row r="163" ht="14.25" customHeight="1"/>
    <row r="164" ht="14.25" customHeight="1">
      <c r="A164" s="138"/>
      <c r="B164" s="139"/>
      <c r="C164" s="139"/>
      <c r="D164" s="140"/>
      <c r="J164" s="140"/>
      <c r="O164" s="140"/>
    </row>
    <row r="165" ht="14.25" customHeight="1">
      <c r="A165" s="138"/>
      <c r="B165" s="138"/>
      <c r="C165" s="138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 ht="14.25" customHeight="1">
      <c r="A166" s="141"/>
      <c r="B166" s="139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 ht="14.25" customHeight="1">
      <c r="B167" s="139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 ht="14.25" customHeight="1">
      <c r="B168" s="139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 ht="14.25" customHeight="1">
      <c r="B169" s="139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 ht="14.25" customHeight="1">
      <c r="B170" s="139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 ht="14.25" customHeight="1">
      <c r="B171" s="139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 ht="14.25" customHeight="1">
      <c r="B172" s="139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D1:I1"/>
    <mergeCell ref="J1:N1"/>
    <mergeCell ref="O1:T1"/>
    <mergeCell ref="A3:A10"/>
    <mergeCell ref="A12:A19"/>
    <mergeCell ref="A21:A28"/>
    <mergeCell ref="A30:A37"/>
    <mergeCell ref="J164:N164"/>
    <mergeCell ref="O164:T164"/>
    <mergeCell ref="A39:A46"/>
    <mergeCell ref="A48:A55"/>
    <mergeCell ref="A57:A64"/>
    <mergeCell ref="A66:A73"/>
    <mergeCell ref="A75:A82"/>
    <mergeCell ref="A84:A91"/>
    <mergeCell ref="D164:I164"/>
    <mergeCell ref="A166:A17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2024-10-31T15:20:11Z</dcterms:created>
  <dc:creator>Nguyen Thi Hoang Ngan</dc:creator>
</cp:coreProperties>
</file>