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data" sheetId="1" r:id="rId4"/>
    <sheet state="visible" name="COSG components" sheetId="2" r:id="rId5"/>
    <sheet state="visible" name="demand planning" sheetId="3" r:id="rId6"/>
    <sheet state="visible" name="capa anal" sheetId="4" r:id="rId7"/>
    <sheet state="visible" name="forecast data" sheetId="5" r:id="rId8"/>
    <sheet state="visible" name="Scenario 1 month" sheetId="6" r:id="rId9"/>
    <sheet state="visible" name="Scenario 2 month" sheetId="7" r:id="rId10"/>
    <sheet state="visible" name="Solution" sheetId="8" r:id="rId11"/>
  </sheets>
  <definedNames/>
  <calcPr/>
  <pivotCaches>
    <pivotCache cacheId="0" r:id="rId12"/>
  </pivotCaches>
  <extLst>
    <ext uri="GoogleSheetsCustomDataVersion2">
      <go:sheetsCustomData xmlns:go="http://customooxmlschemas.google.com/" r:id="rId13" roundtripDataChecksum="lhhsTmsUrJebG2DZwQOjGHATCwTW+ISj0hCzzuwTKm8="/>
    </ext>
  </extLst>
</workbook>
</file>

<file path=xl/sharedStrings.xml><?xml version="1.0" encoding="utf-8"?>
<sst xmlns="http://schemas.openxmlformats.org/spreadsheetml/2006/main" count="944" uniqueCount="185">
  <si>
    <t>In-house equipment Capacity</t>
  </si>
  <si>
    <t>Extraction</t>
  </si>
  <si>
    <t>Quantity</t>
  </si>
  <si>
    <t>Capa per machine per shift</t>
  </si>
  <si>
    <t>Maintenance</t>
  </si>
  <si>
    <t>Inhouse capacity: 3 shifts/day</t>
  </si>
  <si>
    <t>Per machine per shift</t>
  </si>
  <si>
    <t>48,000.0</t>
  </si>
  <si>
    <t>24 hours per 2 months</t>
  </si>
  <si>
    <t>41,800.0</t>
  </si>
  <si>
    <t>3 IN 1</t>
  </si>
  <si>
    <t>ESPRESSO</t>
  </si>
  <si>
    <t>37,150.0</t>
  </si>
  <si>
    <t>2,880.0</t>
  </si>
  <si>
    <t>STICK FILLING</t>
  </si>
  <si>
    <t>PURE BLACK</t>
  </si>
  <si>
    <t>Unit: Stick</t>
  </si>
  <si>
    <t>2,400,000.0</t>
  </si>
  <si>
    <t>1,200,000.0</t>
  </si>
  <si>
    <t>1,300,000.0</t>
  </si>
  <si>
    <t>In - house labor, packing capacity</t>
  </si>
  <si>
    <t>Capacity per person</t>
  </si>
  <si>
    <t>Maximum shift per person per day</t>
  </si>
  <si>
    <t>Maximum shift per month</t>
  </si>
  <si>
    <t>Basic salary per month
(1 shift per day, 26 days)</t>
  </si>
  <si>
    <t>Overtime charge</t>
  </si>
  <si>
    <t>Per shift</t>
  </si>
  <si>
    <t>Unit: carton</t>
  </si>
  <si>
    <t>50.0</t>
  </si>
  <si>
    <t>40.5</t>
  </si>
  <si>
    <t>VND 7,072,000.0</t>
  </si>
  <si>
    <t>150% of basic salary per hour
on weekday and 200% per hour on Sunday</t>
  </si>
  <si>
    <t>Outsourcing labor</t>
  </si>
  <si>
    <t>VND 44,000.0/hour</t>
  </si>
  <si>
    <t>Outsourcing manufacturing equipment</t>
  </si>
  <si>
    <t>Boosting up maximum 30% per current capacity per month</t>
  </si>
  <si>
    <t>USD 200/ton</t>
  </si>
  <si>
    <t>MOQ 5,000 tons per month</t>
  </si>
  <si>
    <t>Inventory cost</t>
  </si>
  <si>
    <t>USD 7/ton/month</t>
  </si>
  <si>
    <t>Cost of goods sold</t>
  </si>
  <si>
    <t>Components</t>
  </si>
  <si>
    <t>Ratio</t>
  </si>
  <si>
    <t>Remark</t>
  </si>
  <si>
    <t>Per carton</t>
  </si>
  <si>
    <t>Direct labour</t>
  </si>
  <si>
    <t xml:space="preserve">- Packing labor account for 9,8%
- Overtime charge &amp; outsourcing labor excluded </t>
  </si>
  <si>
    <t>Materials</t>
  </si>
  <si>
    <t>General production</t>
  </si>
  <si>
    <t>Subcontractor</t>
  </si>
  <si>
    <t>Outsourcing labor &amp; manufacture equipment excluded</t>
  </si>
  <si>
    <t>Others</t>
  </si>
  <si>
    <t>Cost of goods sold accounts for 39% of the selling price</t>
  </si>
  <si>
    <t>Total Revenue</t>
  </si>
  <si>
    <t>Monthly Demand With Seasonality Index</t>
  </si>
  <si>
    <t>3in1 coffee</t>
  </si>
  <si>
    <t>Espresso</t>
  </si>
  <si>
    <t>Month</t>
  </si>
  <si>
    <t>Index</t>
  </si>
  <si>
    <t>total demand</t>
  </si>
  <si>
    <t>3in1</t>
  </si>
  <si>
    <t>Pure black</t>
  </si>
  <si>
    <t>sum index</t>
  </si>
  <si>
    <t>pure black coffee</t>
  </si>
  <si>
    <t>3in1 Coffee</t>
  </si>
  <si>
    <t>Ratio Per Group</t>
  </si>
  <si>
    <t>Revenue</t>
  </si>
  <si>
    <t>Carton</t>
  </si>
  <si>
    <t>LSC3IN100050</t>
  </si>
  <si>
    <t>Total cost</t>
  </si>
  <si>
    <t>LSC3IN100100</t>
  </si>
  <si>
    <t>LSC3IN100020</t>
  </si>
  <si>
    <t>3in1 Jan</t>
  </si>
  <si>
    <t>LSC3IN100024</t>
  </si>
  <si>
    <t>total cost 3in1</t>
  </si>
  <si>
    <t xml:space="preserve">Total </t>
  </si>
  <si>
    <t>Expresso</t>
  </si>
  <si>
    <t>LSCESP000015</t>
  </si>
  <si>
    <t>LSCESP000050</t>
  </si>
  <si>
    <t>LSCESP000100</t>
  </si>
  <si>
    <t>Total</t>
  </si>
  <si>
    <t xml:space="preserve">carton per sku </t>
  </si>
  <si>
    <t>3in1 (1)</t>
  </si>
  <si>
    <t>LSCPUR000015</t>
  </si>
  <si>
    <t>3in1 (2)</t>
  </si>
  <si>
    <t>LSCPUR000020</t>
  </si>
  <si>
    <t>3in1 (3)</t>
  </si>
  <si>
    <t>LSCPUR000024</t>
  </si>
  <si>
    <t>3in1 (4)</t>
  </si>
  <si>
    <t>Es (1)</t>
  </si>
  <si>
    <t>Es (2)</t>
  </si>
  <si>
    <t>Es (3)</t>
  </si>
  <si>
    <t>Pure (1)</t>
  </si>
  <si>
    <t>Pure (2)</t>
  </si>
  <si>
    <t>Pure (3)</t>
  </si>
  <si>
    <t>bag/box per sku</t>
  </si>
  <si>
    <t>stick per sku</t>
  </si>
  <si>
    <t>UOM</t>
  </si>
  <si>
    <t>kgs per sku</t>
  </si>
  <si>
    <t xml:space="preserve">Extraction </t>
  </si>
  <si>
    <t>Unit</t>
  </si>
  <si>
    <t xml:space="preserve">Quantity </t>
  </si>
  <si>
    <t xml:space="preserve">Shift per day </t>
  </si>
  <si>
    <t xml:space="preserve">Days of working </t>
  </si>
  <si>
    <t>Maximum capa per month</t>
  </si>
  <si>
    <t>kgs</t>
  </si>
  <si>
    <t xml:space="preserve">Spray drying </t>
  </si>
  <si>
    <t xml:space="preserve">Capa per machine per shift </t>
  </si>
  <si>
    <t xml:space="preserve">Maximum capa per month </t>
  </si>
  <si>
    <t xml:space="preserve">Mixing </t>
  </si>
  <si>
    <t>3In1</t>
  </si>
  <si>
    <t xml:space="preserve">Stick filling </t>
  </si>
  <si>
    <t xml:space="preserve">Convert into kg </t>
  </si>
  <si>
    <t>Sticks</t>
  </si>
  <si>
    <t xml:space="preserve">Espresso </t>
  </si>
  <si>
    <t xml:space="preserve">Pure Black </t>
  </si>
  <si>
    <t xml:space="preserve">Unit </t>
  </si>
  <si>
    <t xml:space="preserve">Quantiy </t>
  </si>
  <si>
    <t>Stick</t>
  </si>
  <si>
    <t xml:space="preserve">Packing </t>
  </si>
  <si>
    <t>Quantity labour per shift</t>
  </si>
  <si>
    <t>Cartons</t>
  </si>
  <si>
    <t>Forecast</t>
  </si>
  <si>
    <t>Variant</t>
  </si>
  <si>
    <t>Name</t>
  </si>
  <si>
    <t>SKU</t>
  </si>
  <si>
    <t>Es</t>
  </si>
  <si>
    <t>Pure</t>
  </si>
  <si>
    <t>Box</t>
  </si>
  <si>
    <t>Kg</t>
  </si>
  <si>
    <t>Tổng cộng</t>
  </si>
  <si>
    <t>Extraction (kgs)</t>
  </si>
  <si>
    <t>Sum of Dec-24</t>
  </si>
  <si>
    <t>Sum of Jan-25</t>
  </si>
  <si>
    <t>Sum of Feb-25</t>
  </si>
  <si>
    <t>Sum of Mar-25</t>
  </si>
  <si>
    <t>Sum of Apr-25</t>
  </si>
  <si>
    <t>Sum of May-25</t>
  </si>
  <si>
    <t>Sum of Jun-25</t>
  </si>
  <si>
    <t>Sum of Jul-25</t>
  </si>
  <si>
    <t>Sum of Aug-25</t>
  </si>
  <si>
    <t>Sum of Sep-25</t>
  </si>
  <si>
    <t>Sum of Oct-25</t>
  </si>
  <si>
    <t>Sum of Nov-25</t>
  </si>
  <si>
    <t>Openning inventory</t>
  </si>
  <si>
    <t>Production</t>
  </si>
  <si>
    <t>Demand</t>
  </si>
  <si>
    <t>Closing inventory</t>
  </si>
  <si>
    <t>Spray drying (kgs)</t>
  </si>
  <si>
    <t>Mixing (3in1) (kgs)</t>
  </si>
  <si>
    <t>Mixing (Espresso) (kgs)</t>
  </si>
  <si>
    <t>Stick filling (3in1) (kgs)</t>
  </si>
  <si>
    <t>Stick filling (Espresso) (kgs)</t>
  </si>
  <si>
    <t>Stick filling (Pure Black) (kgs)</t>
  </si>
  <si>
    <t>Packing (cartons)</t>
  </si>
  <si>
    <t>Sum of Nov-24</t>
  </si>
  <si>
    <t>Mixing (3In1) (kgs)</t>
  </si>
  <si>
    <t>Stick filling (3In1) (kgs)</t>
  </si>
  <si>
    <t>Stick filling (Esspreso) (kgs)</t>
  </si>
  <si>
    <t>Minimum order quantity(kgs)</t>
  </si>
  <si>
    <t>kg</t>
  </si>
  <si>
    <t>Order quantity each month(kgs)</t>
  </si>
  <si>
    <t>Ordering cost per ton</t>
  </si>
  <si>
    <t>Outsourcing cost per month</t>
  </si>
  <si>
    <t>Outsourcing cost for the whole plan</t>
  </si>
  <si>
    <t>Outsource</t>
  </si>
  <si>
    <t>Result after outsource</t>
  </si>
  <si>
    <t>Total capacity of machine per month</t>
  </si>
  <si>
    <t>Percentage of outsourcing machine</t>
  </si>
  <si>
    <t xml:space="preserve"> Outsource Option</t>
  </si>
  <si>
    <t>Cost Estimation for option 1 of Packing step</t>
  </si>
  <si>
    <t>Basic Salary per month (26 days)</t>
  </si>
  <si>
    <t>Number of Days per month</t>
  </si>
  <si>
    <t>Basic salary per person per shift</t>
  </si>
  <si>
    <t xml:space="preserve">Basic salary per person per hour </t>
  </si>
  <si>
    <t>Closing Inventory after outsource</t>
  </si>
  <si>
    <t>Overtime Salary per person per hour</t>
  </si>
  <si>
    <t>Labor cost per person per day</t>
  </si>
  <si>
    <t>Option 2: Outsource</t>
  </si>
  <si>
    <t>Total labor cost per month</t>
  </si>
  <si>
    <t>Cost Estimation for option 2 of Packing step</t>
  </si>
  <si>
    <t>Outsourcing Salary per person per shift</t>
  </si>
  <si>
    <t>Shift required</t>
  </si>
  <si>
    <t>Total labor cost for year</t>
  </si>
  <si>
    <t>Option 1: Overtime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</si>
</sst>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.0_);_(* \(#,##0.0\);_(* &quot;-&quot;??_);_(@_)"/>
    <numFmt numFmtId="165" formatCode="_(* #,##0.00_);_(* \(#,##0.00\);_(* &quot;-&quot;??_);_(@_)"/>
    <numFmt numFmtId="166" formatCode="_(* #,##0_);_(* \(#,##0\);_(* &quot;-&quot;??_);_(@_)"/>
    <numFmt numFmtId="167" formatCode="_(* #,##0_);_(* \(#,##0\);_(* &quot;-&quot;????_);_(@_)"/>
    <numFmt numFmtId="168" formatCode="d\.m"/>
    <numFmt numFmtId="169" formatCode="0.0%"/>
    <numFmt numFmtId="170" formatCode="[$$]#,##0.00"/>
    <numFmt numFmtId="171" formatCode="[$$]#,##0"/>
    <numFmt numFmtId="172" formatCode="#,##0\ [$đ-42A]"/>
  </numFmts>
  <fonts count="19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i/>
      <sz val="11.0"/>
      <color theme="1"/>
      <name val="Arial"/>
    </font>
    <font>
      <sz val="11.0"/>
      <color theme="1"/>
      <name val="Arial"/>
    </font>
    <font>
      <sz val="11.0"/>
      <color rgb="FF215E99"/>
      <name val="Aptos Narrow"/>
    </font>
    <font/>
    <font>
      <i/>
      <sz val="11.0"/>
      <color theme="1"/>
      <name val="Aptos Narrow"/>
    </font>
    <font>
      <b/>
      <sz val="11.0"/>
      <color theme="1"/>
      <name val="Arial"/>
    </font>
    <font>
      <sz val="11.0"/>
      <color rgb="FF215E99"/>
      <name val="Arial"/>
    </font>
    <font>
      <sz val="11.0"/>
      <color rgb="FF000000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Aptos Narrow"/>
    </font>
    <font>
      <color theme="1"/>
      <name val="Aptos Narrow"/>
      <scheme val="minor"/>
    </font>
    <font>
      <b/>
      <sz val="11.0"/>
      <color rgb="FFFF0000"/>
      <name val="Arial"/>
    </font>
    <font>
      <b/>
      <sz val="11.0"/>
      <color rgb="FFFF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Border="1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  <xf borderId="2" fillId="0" fontId="2" numFmtId="0" xfId="0" applyBorder="1" applyFont="1"/>
    <xf borderId="2" fillId="2" fontId="3" numFmtId="0" xfId="0" applyAlignment="1" applyBorder="1" applyFill="1" applyFont="1">
      <alignment horizontal="right" vertical="center"/>
    </xf>
    <xf borderId="3" fillId="0" fontId="2" numFmtId="0" xfId="0" applyBorder="1" applyFont="1"/>
    <xf borderId="2" fillId="0" fontId="3" numFmtId="0" xfId="0" applyBorder="1" applyFont="1"/>
    <xf borderId="2" fillId="0" fontId="4" numFmtId="164" xfId="0" applyBorder="1" applyFont="1" applyNumberFormat="1"/>
    <xf borderId="2" fillId="0" fontId="5" numFmtId="0" xfId="0" applyBorder="1" applyFont="1"/>
    <xf borderId="4" fillId="0" fontId="1" numFmtId="164" xfId="0" applyAlignment="1" applyBorder="1" applyFont="1" applyNumberFormat="1">
      <alignment horizontal="center"/>
    </xf>
    <xf borderId="5" fillId="0" fontId="6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7" numFmtId="0" xfId="0" applyBorder="1" applyFont="1"/>
    <xf borderId="2" fillId="0" fontId="4" numFmtId="165" xfId="0" applyBorder="1" applyFont="1" applyNumberFormat="1"/>
    <xf borderId="2" fillId="0" fontId="4" numFmtId="166" xfId="0" applyBorder="1" applyFont="1" applyNumberFormat="1"/>
    <xf borderId="2" fillId="0" fontId="4" numFmtId="167" xfId="0" applyBorder="1" applyFont="1" applyNumberFormat="1"/>
    <xf borderId="2" fillId="0" fontId="8" numFmtId="0" xfId="0" applyAlignment="1" applyBorder="1" applyFont="1">
      <alignment vertical="center"/>
    </xf>
    <xf borderId="2" fillId="0" fontId="8" numFmtId="0" xfId="0" applyAlignment="1" applyBorder="1" applyFont="1">
      <alignment shrinkToFit="0" vertical="center" wrapText="1"/>
    </xf>
    <xf borderId="2" fillId="0" fontId="8" numFmtId="0" xfId="0" applyBorder="1" applyFont="1"/>
    <xf borderId="2" fillId="0" fontId="9" numFmtId="0" xfId="0" applyBorder="1" applyFont="1"/>
    <xf borderId="2" fillId="0" fontId="4" numFmtId="168" xfId="0" applyBorder="1" applyFont="1" applyNumberFormat="1"/>
    <xf borderId="2" fillId="0" fontId="4" numFmtId="0" xfId="0" applyBorder="1" applyFont="1"/>
    <xf borderId="2" fillId="0" fontId="4" numFmtId="3" xfId="0" applyBorder="1" applyFont="1" applyNumberFormat="1"/>
    <xf borderId="2" fillId="0" fontId="4" numFmtId="0" xfId="0" applyAlignment="1" applyBorder="1" applyFont="1">
      <alignment shrinkToFit="0" wrapText="1"/>
    </xf>
    <xf borderId="2" fillId="0" fontId="4" numFmtId="1" xfId="0" applyBorder="1" applyFont="1" applyNumberFormat="1"/>
    <xf borderId="4" fillId="0" fontId="10" numFmtId="0" xfId="0" applyBorder="1" applyFont="1"/>
    <xf borderId="6" fillId="0" fontId="6" numFmtId="0" xfId="0" applyBorder="1" applyFont="1"/>
    <xf borderId="4" fillId="0" fontId="8" numFmtId="0" xfId="0" applyBorder="1" applyFont="1"/>
    <xf borderId="7" fillId="0" fontId="2" numFmtId="0" xfId="0" applyBorder="1" applyFont="1"/>
    <xf borderId="1" fillId="0" fontId="8" numFmtId="0" xfId="0" applyBorder="1" applyFont="1"/>
    <xf borderId="1" fillId="0" fontId="3" numFmtId="0" xfId="0" applyBorder="1" applyFont="1"/>
    <xf borderId="1" fillId="0" fontId="4" numFmtId="0" xfId="0" applyBorder="1" applyFont="1"/>
    <xf borderId="1" fillId="0" fontId="4" numFmtId="10" xfId="0" applyAlignment="1" applyBorder="1" applyFont="1" applyNumberFormat="1">
      <alignment horizontal="right"/>
    </xf>
    <xf borderId="1" fillId="0" fontId="4" numFmtId="0" xfId="0" applyAlignment="1" applyBorder="1" applyFont="1">
      <alignment shrinkToFit="0" wrapText="1"/>
    </xf>
    <xf borderId="1" fillId="0" fontId="4" numFmtId="169" xfId="0" applyAlignment="1" applyBorder="1" applyFont="1" applyNumberFormat="1">
      <alignment horizontal="right"/>
    </xf>
    <xf borderId="1" fillId="0" fontId="4" numFmtId="10" xfId="0" applyBorder="1" applyFont="1" applyNumberFormat="1"/>
    <xf borderId="1" fillId="0" fontId="1" numFmtId="0" xfId="0" applyBorder="1" applyFont="1"/>
    <xf borderId="1" fillId="0" fontId="2" numFmtId="166" xfId="0" applyBorder="1" applyFont="1" applyNumberFormat="1"/>
    <xf borderId="2" fillId="0" fontId="8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2" fillId="0" fontId="4" numFmtId="10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2" fillId="0" fontId="4" numFmtId="169" xfId="0" applyAlignment="1" applyBorder="1" applyFont="1" applyNumberFormat="1">
      <alignment horizontal="center" vertical="center"/>
    </xf>
    <xf borderId="7" fillId="0" fontId="4" numFmtId="0" xfId="0" applyBorder="1" applyFont="1"/>
    <xf borderId="8" fillId="0" fontId="2" numFmtId="0" xfId="0" applyBorder="1" applyFont="1"/>
    <xf borderId="0" fillId="0" fontId="4" numFmtId="0" xfId="0" applyFont="1"/>
    <xf borderId="9" fillId="0" fontId="2" numFmtId="0" xfId="0" applyBorder="1" applyFont="1"/>
    <xf borderId="10" fillId="0" fontId="2" numFmtId="0" xfId="0" applyBorder="1" applyFont="1"/>
    <xf borderId="0" fillId="0" fontId="11" numFmtId="0" xfId="0" applyAlignment="1" applyFont="1">
      <alignment horizontal="center"/>
    </xf>
    <xf borderId="0" fillId="0" fontId="12" numFmtId="0" xfId="0" applyFont="1"/>
    <xf borderId="2" fillId="0" fontId="12" numFmtId="0" xfId="0" applyBorder="1" applyFont="1"/>
    <xf borderId="5" fillId="0" fontId="12" numFmtId="0" xfId="0" applyBorder="1" applyFont="1"/>
    <xf borderId="5" fillId="0" fontId="11" numFmtId="0" xfId="0" applyBorder="1" applyFont="1"/>
    <xf borderId="2" fillId="2" fontId="12" numFmtId="0" xfId="0" applyBorder="1" applyFont="1"/>
    <xf borderId="11" fillId="2" fontId="12" numFmtId="10" xfId="0" applyAlignment="1" applyBorder="1" applyFont="1" applyNumberFormat="1">
      <alignment horizontal="right"/>
    </xf>
    <xf borderId="2" fillId="0" fontId="2" numFmtId="166" xfId="0" applyBorder="1" applyFont="1" applyNumberFormat="1"/>
    <xf borderId="0" fillId="0" fontId="12" numFmtId="0" xfId="0" applyAlignment="1" applyFont="1">
      <alignment horizontal="right"/>
    </xf>
    <xf borderId="12" fillId="0" fontId="12" numFmtId="0" xfId="0" applyAlignment="1" applyBorder="1" applyFont="1">
      <alignment horizontal="right"/>
    </xf>
    <xf borderId="13" fillId="0" fontId="12" numFmtId="10" xfId="0" applyAlignment="1" applyBorder="1" applyFont="1" applyNumberFormat="1">
      <alignment horizontal="right"/>
    </xf>
    <xf borderId="13" fillId="0" fontId="12" numFmtId="4" xfId="0" applyAlignment="1" applyBorder="1" applyFont="1" applyNumberFormat="1">
      <alignment horizontal="right"/>
    </xf>
    <xf borderId="2" fillId="0" fontId="11" numFmtId="0" xfId="0" applyBorder="1" applyFont="1"/>
    <xf borderId="2" fillId="0" fontId="12" numFmtId="4" xfId="0" applyBorder="1" applyFont="1" applyNumberFormat="1"/>
    <xf borderId="2" fillId="0" fontId="2" numFmtId="9" xfId="0" applyBorder="1" applyFont="1" applyNumberFormat="1"/>
    <xf borderId="2" fillId="0" fontId="12" numFmtId="166" xfId="0" applyBorder="1" applyFont="1" applyNumberFormat="1"/>
    <xf borderId="2" fillId="0" fontId="4" numFmtId="9" xfId="0" applyBorder="1" applyFont="1" applyNumberFormat="1"/>
    <xf borderId="0" fillId="0" fontId="11" numFmtId="0" xfId="0" applyFont="1"/>
    <xf borderId="0" fillId="0" fontId="1" numFmtId="0" xfId="0" applyFont="1"/>
    <xf borderId="0" fillId="0" fontId="4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12" numFmtId="4" xfId="0" applyAlignment="1" applyBorder="1" applyFont="1" applyNumberFormat="1">
      <alignment horizontal="right"/>
    </xf>
    <xf borderId="2" fillId="0" fontId="2" numFmtId="4" xfId="0" applyBorder="1" applyFont="1" applyNumberFormat="1"/>
    <xf borderId="0" fillId="0" fontId="2" numFmtId="0" xfId="0" applyFont="1"/>
    <xf borderId="0" fillId="0" fontId="12" numFmtId="4" xfId="0" applyAlignment="1" applyFont="1" applyNumberFormat="1">
      <alignment horizontal="right"/>
    </xf>
    <xf borderId="0" fillId="0" fontId="4" numFmtId="4" xfId="0" applyAlignment="1" applyFont="1" applyNumberFormat="1">
      <alignment horizontal="center" vertical="center"/>
    </xf>
    <xf borderId="0" fillId="0" fontId="12" numFmtId="10" xfId="0" applyAlignment="1" applyFont="1" applyNumberFormat="1">
      <alignment horizontal="right"/>
    </xf>
    <xf borderId="2" fillId="0" fontId="2" numFmtId="3" xfId="0" applyBorder="1" applyFont="1" applyNumberFormat="1"/>
    <xf borderId="0" fillId="0" fontId="2" numFmtId="4" xfId="0" applyFont="1" applyNumberFormat="1"/>
    <xf borderId="2" fillId="3" fontId="10" numFmtId="3" xfId="0" applyBorder="1" applyFill="1" applyFont="1" applyNumberFormat="1"/>
    <xf borderId="0" fillId="0" fontId="8" numFmtId="0" xfId="0" applyFont="1"/>
    <xf borderId="0" fillId="0" fontId="1" numFmtId="4" xfId="0" applyFont="1" applyNumberFormat="1"/>
    <xf borderId="14" fillId="0" fontId="8" numFmtId="0" xfId="0" applyAlignment="1" applyBorder="1" applyFont="1">
      <alignment vertical="center"/>
    </xf>
    <xf borderId="4" fillId="0" fontId="2" numFmtId="0" xfId="0" applyBorder="1" applyFont="1"/>
    <xf borderId="15" fillId="0" fontId="6" numFmtId="0" xfId="0" applyBorder="1" applyFont="1"/>
    <xf borderId="12" fillId="0" fontId="6" numFmtId="0" xfId="0" applyBorder="1" applyFont="1"/>
    <xf borderId="14" fillId="0" fontId="4" numFmtId="0" xfId="0" applyAlignment="1" applyBorder="1" applyFont="1">
      <alignment vertical="center"/>
    </xf>
    <xf borderId="0" fillId="0" fontId="13" numFmtId="0" xfId="0" applyFont="1"/>
    <xf borderId="2" fillId="0" fontId="14" numFmtId="0" xfId="0" applyBorder="1" applyFont="1"/>
    <xf borderId="2" fillId="0" fontId="13" numFmtId="17" xfId="0" applyBorder="1" applyFont="1" applyNumberFormat="1"/>
    <xf borderId="0" fillId="0" fontId="10" numFmtId="0" xfId="0" applyAlignment="1" applyFont="1">
      <alignment horizontal="center"/>
    </xf>
    <xf borderId="2" fillId="0" fontId="15" numFmtId="166" xfId="0" applyAlignment="1" applyBorder="1" applyFont="1" applyNumberFormat="1">
      <alignment horizontal="right"/>
    </xf>
    <xf borderId="2" fillId="0" fontId="15" numFmtId="166" xfId="0" applyBorder="1" applyFont="1" applyNumberFormat="1"/>
    <xf borderId="2" fillId="3" fontId="15" numFmtId="166" xfId="0" applyBorder="1" applyFont="1" applyNumberFormat="1"/>
    <xf borderId="0" fillId="0" fontId="16" numFmtId="0" xfId="0" applyFont="1"/>
    <xf borderId="0" fillId="0" fontId="2" numFmtId="0" xfId="0" applyAlignment="1" applyFont="1">
      <alignment horizontal="left"/>
    </xf>
    <xf borderId="0" fillId="0" fontId="2" numFmtId="166" xfId="0" applyFont="1" applyNumberFormat="1"/>
    <xf borderId="2" fillId="0" fontId="17" numFmtId="0" xfId="0" applyBorder="1" applyFont="1"/>
    <xf borderId="2" fillId="0" fontId="10" numFmtId="3" xfId="0" applyBorder="1" applyFont="1" applyNumberFormat="1"/>
    <xf borderId="0" fillId="0" fontId="17" numFmtId="0" xfId="0" applyFont="1"/>
    <xf borderId="2" fillId="0" fontId="10" numFmtId="166" xfId="0" applyBorder="1" applyFont="1" applyNumberFormat="1"/>
    <xf borderId="2" fillId="0" fontId="4" numFmtId="170" xfId="0" applyBorder="1" applyFont="1" applyNumberFormat="1"/>
    <xf borderId="2" fillId="0" fontId="2" numFmtId="171" xfId="0" applyBorder="1" applyFont="1" applyNumberFormat="1"/>
    <xf borderId="0" fillId="0" fontId="18" numFmtId="0" xfId="0" applyFont="1"/>
    <xf borderId="2" fillId="0" fontId="2" numFmtId="10" xfId="0" applyBorder="1" applyFont="1" applyNumberFormat="1"/>
    <xf borderId="0" fillId="0" fontId="4" numFmtId="166" xfId="0" applyFont="1" applyNumberFormat="1"/>
    <xf borderId="2" fillId="0" fontId="4" numFmtId="172" xfId="0" applyBorder="1" applyFont="1" applyNumberFormat="1"/>
    <xf borderId="0" fillId="0" fontId="4" numFmtId="172" xfId="0" applyFont="1" applyNumberFormat="1"/>
    <xf borderId="0" fillId="0" fontId="2" numFmtId="17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1771650</xdr:colOff>
      <xdr:row>0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1771650</xdr:colOff>
      <xdr:row>1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1771650</xdr:colOff>
      <xdr:row>0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1771650</xdr:colOff>
      <xdr:row>1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1771650</xdr:colOff>
      <xdr:row>0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1771650</xdr:colOff>
      <xdr:row>2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1771650</xdr:colOff>
      <xdr:row>2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1771650</xdr:colOff>
      <xdr:row>16</xdr:row>
      <xdr:rowOff>0</xdr:rowOff>
    </xdr:from>
    <xdr:ext cx="1781175" cy="6096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P42" sheet="forecast data"/>
  </cacheSource>
  <cacheFields>
    <cacheField name="UOM" numFmtId="0">
      <sharedItems>
        <s v="Carton"/>
        <s v="Box"/>
        <s v="Stick"/>
        <s v="Kg"/>
      </sharedItems>
    </cacheField>
    <cacheField name="Variant" numFmtId="0">
      <sharedItems>
        <s v="3in1"/>
        <s v="Es"/>
        <s v="Pure"/>
      </sharedItems>
    </cacheField>
    <cacheField name="Name" numFmtId="0">
      <sharedItems>
        <s v="3in1 (1)"/>
        <s v="3in1 (2)"/>
        <s v="3in1 (3)"/>
        <s v="3in1 (4)"/>
        <s v="Es (1)"/>
        <s v="Es (2)"/>
        <s v="Es (3)"/>
        <s v="Pure (1)"/>
        <s v="Pure (2)"/>
        <s v="Pure (3)"/>
      </sharedItems>
    </cacheField>
    <cacheField name="SKU" numFmtId="0">
      <sharedItems>
        <s v="LSC3IN100050"/>
        <s v="LSC3IN100100"/>
        <s v="LSC3IN100020"/>
        <s v="LSC3IN100024"/>
        <s v="LSCESP000015"/>
        <s v="LSCESP000050"/>
        <s v="LSCESP000100"/>
        <s v="LSCPUR000015"/>
        <s v="LSCPUR000020"/>
        <s v="LSCPUR000024"/>
      </sharedItems>
    </cacheField>
    <cacheField name="Dec-24" numFmtId="166">
      <sharedItems containsSemiMixedTypes="0" containsString="0" containsNumber="1">
        <n v="312030.7246"/>
        <n v="242690.5636"/>
        <n v="108737.9798"/>
        <n v="181842.2297"/>
        <n v="129125.1911"/>
        <n v="44177.2552"/>
        <n v="83599.62963"/>
        <n v="44744.98599"/>
        <n v="73926.4986"/>
        <n v="3120307.246"/>
        <n v="1213452.818"/>
        <n v="2609711.515"/>
        <n v="4364213.514"/>
        <n v="5165007.643"/>
        <n v="1060254.125"/>
        <n v="530127.0625"/>
        <n v="5015977.778"/>
        <n v="2684699.16"/>
        <n v="3696324.93"/>
        <n v="1.560153623E8"/>
        <n v="1.213452818E8"/>
        <n v="5.21942303E7"/>
        <n v="1.047411243E8"/>
        <n v="7.747511464E7"/>
        <n v="5.301270625E7"/>
        <n v="7.523966667E7"/>
        <n v="5.369398319E7"/>
        <n v="8.871179832E7"/>
        <n v="2496245.797"/>
        <n v="1941524.509"/>
        <n v="835107.6848"/>
        <n v="1675857.989"/>
        <n v="193687.7866"/>
        <n v="390038.4058"/>
        <n v="303363.2045"/>
        <n v="52194.2303"/>
        <n v="53693.98319"/>
        <n v="88711.79832"/>
      </sharedItems>
    </cacheField>
    <cacheField name="Jan-25" numFmtId="166">
      <sharedItems containsSemiMixedTypes="0" containsString="0" containsNumber="1">
        <n v="355610.4348"/>
        <n v="276585.8937"/>
        <n v="123924.8485"/>
        <n v="207239.1892"/>
        <n v="147159.4356"/>
        <n v="50347.26291"/>
        <n v="95275.55556"/>
        <n v="50994.28571"/>
        <n v="84251.42857"/>
        <n v="3556104.348"/>
        <n v="1382929.469"/>
        <n v="2974196.364"/>
        <n v="4973740.541"/>
        <n v="5886377.425"/>
        <n v="1208334.31"/>
        <n v="604167.155"/>
        <n v="5716533.333"/>
        <n v="3059657.143"/>
        <n v="4212571.429"/>
        <n v="1.778052174E8"/>
        <n v="1.382929469E8"/>
        <n v="5.948392727E7"/>
        <n v="1.19369773E8"/>
        <n v="8.829566138E7"/>
        <n v="6.04167155E7"/>
        <n v="8.5748E7"/>
        <n v="6.119314286E7"/>
        <n v="1.011017143E8"/>
        <n v="2844883.478"/>
        <n v="2212687.15"/>
        <n v="951742.8364"/>
        <n v="1909916.368"/>
        <n v="220739.1534"/>
        <n v="444513.0435"/>
        <n v="345732.3671"/>
        <n v="59483.92727"/>
        <n v="61193.14286"/>
        <n v="101101.7143"/>
      </sharedItems>
    </cacheField>
    <cacheField name="Feb-25" numFmtId="166">
      <sharedItems containsSemiMixedTypes="0" containsString="0" containsNumber="1">
        <n v="340619.0145"/>
        <n v="264925.9002"/>
        <n v="118700.5657"/>
        <n v="198502.6351"/>
        <n v="140955.6555"/>
        <n v="48224.78026"/>
        <n v="91259.03704"/>
        <n v="48844.52661"/>
        <n v="80699.65266"/>
        <n v="3406190.145"/>
        <n v="1324629.501"/>
        <n v="2848813.576"/>
        <n v="4764063.243"/>
        <n v="5638226.22"/>
        <n v="1157394.726"/>
        <n v="578697.3631"/>
        <n v="5475542.222"/>
        <n v="2930671.597"/>
        <n v="4034982.633"/>
        <n v="1.703095072E8"/>
        <n v="1.324629501E8"/>
        <n v="5.697627152E7"/>
        <n v="1.143375178E8"/>
        <n v="8.45733933E7"/>
        <n v="5.786973631E7"/>
        <n v="8.213313333E7"/>
        <n v="5.861343193E7"/>
        <n v="9.683958319E7"/>
        <n v="2724952.116"/>
        <n v="2119407.201"/>
        <n v="911620.3442"/>
        <n v="1829400.285"/>
        <n v="211433.4832"/>
        <n v="425773.7681"/>
        <n v="331157.3752"/>
        <n v="56976.27152"/>
        <n v="58613.43193"/>
        <n v="96839.58319"/>
      </sharedItems>
    </cacheField>
    <cacheField name="Mar-25" numFmtId="166">
      <sharedItems containsSemiMixedTypes="0" containsString="0" containsNumber="1">
        <n v="329811.2464"/>
        <n v="256519.8583"/>
        <n v="114934.2222"/>
        <n v="192204.1892"/>
        <n v="136483.1628"/>
        <n v="46694.61835"/>
        <n v="88363.40741"/>
        <n v="47294.70028"/>
        <n v="78139.07003"/>
        <n v="3298112.464"/>
        <n v="1282599.291"/>
        <n v="2758421.333"/>
        <n v="4612900.541"/>
        <n v="5459326.514"/>
        <n v="1120670.84"/>
        <n v="560335.4202"/>
        <n v="5301804.444"/>
        <n v="2837682.017"/>
        <n v="3906953.501"/>
        <n v="1.649056232E8"/>
        <n v="1.282599291E8"/>
        <n v="5.516842667E7"/>
        <n v="1.10709613E8"/>
        <n v="8.188989771E7"/>
        <n v="5.603354202E7"/>
        <n v="7.952706667E7"/>
        <n v="5.675364034E7"/>
        <n v="9.376688403E7"/>
        <n v="2638489.971"/>
        <n v="2052158.866"/>
        <n v="882694.8267"/>
        <n v="1771353.808"/>
        <n v="204724.7443"/>
        <n v="412264.058"/>
        <n v="320649.8229"/>
        <n v="55168.42667"/>
        <n v="56753.64034"/>
        <n v="93766.88403"/>
      </sharedItems>
    </cacheField>
    <cacheField name="Apr-25" numFmtId="166">
      <sharedItems containsSemiMixedTypes="0" containsString="0" containsNumber="1">
        <n v="236724.9855"/>
        <n v="184119.4332"/>
        <n v="82495.07071"/>
        <n v="137956.2838"/>
        <n v="97962.01646"/>
        <n v="33515.48188"/>
        <n v="63423.62963"/>
        <n v="33946.19608"/>
        <n v="56085.01961"/>
        <n v="2367249.855"/>
        <n v="920597.1659"/>
        <n v="1979881.697"/>
        <n v="3310950.811"/>
        <n v="3918480.658"/>
        <n v="804371.5652"/>
        <n v="402185.7826"/>
        <n v="3805417.778"/>
        <n v="2036771.765"/>
        <n v="2804250.98"/>
        <n v="1.183624928E8"/>
        <n v="9.205971659E7"/>
        <n v="3.959763394E7"/>
        <n v="7.946281946E7"/>
        <n v="5.877720988E7"/>
        <n v="4.021857826E7"/>
        <n v="5.708126667E7"/>
        <n v="4.073543529E7"/>
        <n v="6.730202353E7"/>
        <n v="1893799.884"/>
        <n v="1472955.465"/>
        <n v="633562.143"/>
        <n v="1271405.111"/>
        <n v="146943.0247"/>
        <n v="295906.2319"/>
        <n v="230149.2915"/>
        <n v="39597.63394"/>
        <n v="40735.43529"/>
        <n v="67302.02353"/>
      </sharedItems>
    </cacheField>
    <cacheField name="May-25" numFmtId="166">
      <sharedItems containsSemiMixedTypes="0" containsString="0" containsNumber="1">
        <n v="144684.6377"/>
        <n v="112532.496"/>
        <n v="50420.40404"/>
        <n v="84317.90541"/>
        <n v="59873.69195"/>
        <n v="20484.4256"/>
        <n v="38764.07407"/>
        <n v="20747.67507"/>
        <n v="34278.76751"/>
        <n v="1446846.377"/>
        <n v="562662.4799"/>
        <n v="1210089.697"/>
        <n v="2023629.73"/>
        <n v="2394947.678"/>
        <n v="491626.2143"/>
        <n v="245813.1072"/>
        <n v="2325844.444"/>
        <n v="1244860.504"/>
        <n v="1713938.375"/>
        <n v="7.234231884E7"/>
        <n v="5.626624799E7"/>
        <n v="2.420179394E7"/>
        <n v="4.856711351E7"/>
        <n v="3.592421517E7"/>
        <n v="2.458131072E7"/>
        <n v="3.488766667E7"/>
        <n v="2.489721008E7"/>
        <n v="4.113452101E7"/>
        <n v="1157477.101"/>
        <n v="900259.9678"/>
        <n v="387228.703"/>
        <n v="777073.8162"/>
        <n v="89810.53792"/>
        <n v="180855.7971"/>
        <n v="140665.62"/>
        <n v="24201.79394"/>
        <n v="24897.21008"/>
        <n v="41134.52101"/>
      </sharedItems>
    </cacheField>
    <cacheField name="Jun-25" numFmtId="166">
      <sharedItems containsSemiMixedTypes="0" containsString="0" containsNumber="1">
        <n v="597564.9855"/>
        <n v="464772.7665"/>
        <n v="208242.3434"/>
        <n v="348243.1081"/>
        <n v="247285.5614"/>
        <n v="84603.14572"/>
        <n v="160100.2963"/>
        <n v="85690.39776"/>
        <n v="141575.4398"/>
        <n v="5975649.855"/>
        <n v="2323863.833"/>
        <n v="4997816.242"/>
        <n v="8357834.595"/>
        <n v="9891422.457"/>
        <n v="2030475.497"/>
        <n v="1015237.749"/>
        <n v="9606017.778"/>
        <n v="5141423.866"/>
        <n v="7078771.989"/>
        <n v="2.987824928E8"/>
        <n v="2.323863833E8"/>
        <n v="9.995632485E7"/>
        <n v="2.005880303E8"/>
        <n v="1.483713369E8"/>
        <n v="1.015237749E8"/>
        <n v="1.440902667E8"/>
        <n v="1.028284773E8"/>
        <n v="1.698905277E8"/>
        <n v="4780519.884"/>
        <n v="3718182.132"/>
        <n v="1599301.198"/>
        <n v="3209408.484"/>
        <n v="370928.3422"/>
        <n v="746956.2319"/>
        <n v="580965.9581"/>
        <n v="99956.32485"/>
        <n v="102828.4773"/>
        <n v="169890.5277"/>
      </sharedItems>
    </cacheField>
    <cacheField name="Jul-25" numFmtId="166">
      <sharedItems containsSemiMixedTypes="0" containsString="0" containsNumber="1">
        <n v="212668.9855"/>
        <n v="165409.211"/>
        <n v="74111.91919"/>
        <n v="123937.1622"/>
        <n v="88007.11346"/>
        <n v="30109.63763"/>
        <n v="56978.51852"/>
        <n v="30496.58263"/>
        <n v="50385.65826"/>
        <n v="2126689.855"/>
        <n v="827046.0548"/>
        <n v="1778686.061"/>
        <n v="2974491.892"/>
        <n v="3520284.539"/>
        <n v="722631.303"/>
        <n v="361315.6515"/>
        <n v="3418711.111"/>
        <n v="1829794.958"/>
        <n v="2519282.913"/>
        <n v="1.063344928E8"/>
        <n v="8.270460548E7"/>
        <n v="3.557372121E7"/>
        <n v="7.138780541E7"/>
        <n v="5.280426808E7"/>
        <n v="3.613156515E7"/>
        <n v="5.128066667E7"/>
        <n v="3.659589916E7"/>
        <n v="6.046278992E7"/>
        <n v="1701351.884"/>
        <n v="1323273.688"/>
        <n v="569179.5394"/>
        <n v="1142204.886"/>
        <n v="132010.6702"/>
        <n v="265836.2319"/>
        <n v="206761.5137"/>
        <n v="35573.72121"/>
        <n v="36595.89916"/>
        <n v="60462.78992"/>
      </sharedItems>
    </cacheField>
    <cacheField name="Aug-25" numFmtId="166">
      <sharedItems containsSemiMixedTypes="0" containsString="0" containsNumber="1">
        <n v="330159.8841"/>
        <n v="256791.0209"/>
        <n v="115055.7172"/>
        <n v="192407.3649"/>
        <n v="136627.4368"/>
        <n v="46743.97841"/>
        <n v="88456.81481"/>
        <n v="47344.69468"/>
        <n v="78221.66947"/>
        <n v="3301598.841"/>
        <n v="1283955.105"/>
        <n v="2761337.212"/>
        <n v="4617776.757"/>
        <n v="5465097.472"/>
        <n v="1121855.482"/>
        <n v="560927.7409"/>
        <n v="5307408.889"/>
        <n v="2840681.681"/>
        <n v="3911083.473"/>
        <n v="1.65079942E8"/>
        <n v="1.283955105E8"/>
        <n v="5.522674424E7"/>
        <n v="1.108266422E8"/>
        <n v="8.197646208E7"/>
        <n v="5.609277409E7"/>
        <n v="7.961113333E7"/>
        <n v="5.681363361E7"/>
        <n v="9.386600336E7"/>
        <n v="2641279.072"/>
        <n v="2054328.167"/>
        <n v="883627.9079"/>
        <n v="1773226.275"/>
        <n v="204941.1552"/>
        <n v="412699.8551"/>
        <n v="320988.7762"/>
        <n v="55226.74424"/>
        <n v="56813.63361"/>
        <n v="93866.00336"/>
      </sharedItems>
    </cacheField>
    <cacheField name="Sep-25" numFmtId="166">
      <sharedItems containsSemiMixedTypes="0" containsString="0" containsNumber="1">
        <n v="248230.029"/>
        <n v="193067.8003"/>
        <n v="86504.40404"/>
        <n v="144661.0811"/>
        <n v="102723.057"/>
        <n v="35144.36392"/>
        <n v="66506.07407"/>
        <n v="35596.0112"/>
        <n v="58810.80112"/>
        <n v="2482300.29"/>
        <n v="965339.0016"/>
        <n v="2076105.697"/>
        <n v="3471865.946"/>
        <n v="4108922.281"/>
        <n v="843464.734"/>
        <n v="421732.367"/>
        <n v="3990364.444"/>
        <n v="2135760.672"/>
        <n v="2940540.056"/>
        <n v="1.241150145E8"/>
        <n v="9.653390016E7"/>
        <n v="4.152211394E7"/>
        <n v="8.33247827E7"/>
        <n v="6.163383422E7"/>
        <n v="4.21732367E7"/>
        <n v="5.985546667E7"/>
        <n v="4.271521345E7"/>
        <n v="7.057296134E7"/>
        <n v="1985840.232"/>
        <n v="1544542.403"/>
        <n v="664353.823"/>
        <n v="1333196.523"/>
        <n v="154084.5855"/>
        <n v="310287.5362"/>
        <n v="241334.7504"/>
        <n v="41522.11394"/>
        <n v="42715.21345"/>
        <n v="70572.96134"/>
      </sharedItems>
    </cacheField>
    <cacheField name="Oct-25" numFmtId="166">
      <sharedItems containsSemiMixedTypes="0" containsString="0" containsNumber="1">
        <n v="660319.7681"/>
        <n v="513582.0419"/>
        <n v="230111.4343"/>
        <n v="384814.7297"/>
        <n v="273254.8736"/>
        <n v="93487.95682"/>
        <n v="176913.6296"/>
        <n v="94689.38936"/>
        <n v="156443.3389"/>
        <n v="6603197.681"/>
        <n v="2567910.209"/>
        <n v="5522674.424"/>
        <n v="9235553.514"/>
        <n v="1.093019494E7"/>
        <n v="2243710.964"/>
        <n v="1121855.482"/>
        <n v="1.061481778E7"/>
        <n v="5681363.361"/>
        <n v="7822166.947"/>
        <n v="3.301598841E8"/>
        <n v="2.567910209E8"/>
        <n v="1.104534885E8"/>
        <n v="2.216532843E8"/>
        <n v="1.639529242E8"/>
        <n v="1.121855482E8"/>
        <n v="1.592222667E8"/>
        <n v="1.136272672E8"/>
        <n v="1.877320067E8"/>
        <n v="5282558.145"/>
        <n v="4108656.335"/>
        <n v="1767255.816"/>
        <n v="3546452.549"/>
        <n v="409882.3104"/>
        <n v="825399.7101"/>
        <n v="641977.5523"/>
        <n v="110453.4885"/>
        <n v="113627.2672"/>
        <n v="187732.0067"/>
      </sharedItems>
    </cacheField>
    <cacheField name="Nov-25" numFmtId="166">
      <sharedItems containsSemiMixedTypes="0" containsString="0" containsNumber="1">
        <n v="415227.4783"/>
        <n v="322954.7053"/>
        <n v="144700.4848"/>
        <n v="241982.2297"/>
        <n v="171830.2822"/>
        <n v="58787.83346"/>
        <n v="111248.2222"/>
        <n v="59543.32773"/>
        <n v="98375.93277"/>
        <n v="4152274.783"/>
        <n v="1614773.527"/>
        <n v="3472811.636"/>
        <n v="5807573.514"/>
        <n v="6873211.287"/>
        <n v="1410908.003"/>
        <n v="705454.0015"/>
        <n v="6674893.333"/>
        <n v="3572599.664"/>
        <n v="4918796.639"/>
        <n v="2.076137391E8"/>
        <n v="1.614773527E8"/>
        <n v="6.945623273E7"/>
        <n v="1.393817643E8"/>
        <n v="1.030981693E8"/>
        <n v="7.054540015E7"/>
        <n v="1.001234E8"/>
        <n v="7.145199328E7"/>
        <n v="1.180511193E8"/>
        <n v="3321819.826"/>
        <n v="2583637.643"/>
        <n v="1111299.724"/>
        <n v="2230108.229"/>
        <n v="257745.4233"/>
        <n v="519034.3478"/>
        <n v="403693.3816"/>
        <n v="69456.23273"/>
        <n v="71451.99328"/>
        <n v="118051.119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cenario 1 month" cacheId="0" dataCaption="" compact="0" compactData="0">
  <location ref="A3:B7" firstHeaderRow="0" firstDataRow="1" firstDataCol="0" rowPageCount="1" colPageCount="1"/>
  <pivotFields>
    <pivotField name="UOM" axis="axisPage" compact="0" outline="0" multipleItemSelectionAllowed="1" showAll="0">
      <items>
        <item h="1" x="0"/>
        <item h="1" x="1"/>
        <item h="1" x="2"/>
        <item x="3"/>
        <item t="default"/>
      </items>
    </pivotField>
    <pivotField name="Variant" axis="axisRow" compact="0" outline="0" multipleItemSelectionAllowed="1" showAll="0" sortType="ascending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c-24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an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eb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Mar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pr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May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un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ul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ug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ep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Oct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ov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>
    <field x="1"/>
  </rowFields>
  <pageFields>
    <pageField fld="0"/>
  </pageFields>
</pivotTableDefinition>
</file>

<file path=xl/pivotTables/pivotTable2.xml><?xml version="1.0" encoding="utf-8"?>
<pivotTableDefinition xmlns="http://schemas.openxmlformats.org/spreadsheetml/2006/main" name="Scenario 2 month" cacheId="0" dataCaption="" compact="0" compactData="0">
  <location ref="A3:B7" firstHeaderRow="0" firstDataRow="1" firstDataCol="0" rowPageCount="1" colPageCount="1"/>
  <pivotFields>
    <pivotField name="UOM" axis="axisPage" compact="0" outline="0" multipleItemSelectionAllowed="1" showAll="0">
      <items>
        <item h="1" x="0"/>
        <item h="1" x="1"/>
        <item h="1" x="2"/>
        <item x="3"/>
        <item t="default"/>
      </items>
    </pivotField>
    <pivotField name="Variant" axis="axisRow" compact="0" outline="0" multipleItemSelectionAllowed="1" showAll="0" sortType="ascending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c-24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an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eb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Mar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pr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May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un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Jul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ug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ep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Oct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ov-25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>
    <field x="1"/>
  </rowFields>
  <pageFields>
    <pageField fld="0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8.63"/>
    <col customWidth="1" min="3" max="3" width="8.63"/>
    <col customWidth="1" min="4" max="4" width="31.38"/>
    <col customWidth="1" min="5" max="5" width="38.63"/>
    <col customWidth="1" min="6" max="6" width="40.38"/>
    <col customWidth="1" min="7" max="7" width="31.63"/>
    <col customWidth="1" min="8" max="8" width="37.0"/>
    <col customWidth="1" min="9" max="26" width="8.63"/>
  </cols>
  <sheetData>
    <row r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6"/>
      <c r="F2" s="7"/>
      <c r="G2" s="4" t="s">
        <v>4</v>
      </c>
      <c r="H2" s="8" t="s">
        <v>5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0" t="s">
        <v>6</v>
      </c>
      <c r="B3" s="7"/>
      <c r="C3" s="7">
        <v>2.0</v>
      </c>
      <c r="D3" s="11" t="s">
        <v>7</v>
      </c>
      <c r="E3" s="7"/>
      <c r="F3" s="7"/>
      <c r="G3" s="7" t="s">
        <v>8</v>
      </c>
      <c r="H3" s="7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4"/>
      <c r="C4" s="4" t="s">
        <v>2</v>
      </c>
      <c r="D4" s="5" t="s">
        <v>3</v>
      </c>
      <c r="E4" s="6"/>
      <c r="F4" s="7"/>
      <c r="G4" s="7"/>
      <c r="H4" s="7"/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6</v>
      </c>
      <c r="B5" s="7"/>
      <c r="C5" s="12">
        <v>2.0</v>
      </c>
      <c r="D5" s="11" t="s">
        <v>9</v>
      </c>
      <c r="E5" s="7"/>
      <c r="F5" s="7"/>
      <c r="G5" s="7" t="s">
        <v>8</v>
      </c>
      <c r="H5" s="7"/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7"/>
      <c r="C6" s="4"/>
      <c r="D6" s="13" t="s">
        <v>3</v>
      </c>
      <c r="E6" s="14"/>
      <c r="F6" s="7"/>
      <c r="G6" s="7"/>
      <c r="H6" s="7"/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15"/>
      <c r="C7" s="4" t="s">
        <v>2</v>
      </c>
      <c r="D7" s="16" t="s">
        <v>10</v>
      </c>
      <c r="E7" s="17" t="s">
        <v>11</v>
      </c>
      <c r="F7" s="18"/>
      <c r="G7" s="6"/>
      <c r="H7" s="7"/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7"/>
      <c r="C8" s="12">
        <v>2.0</v>
      </c>
      <c r="D8" s="11" t="s">
        <v>12</v>
      </c>
      <c r="E8" s="19" t="s">
        <v>13</v>
      </c>
      <c r="F8" s="7"/>
      <c r="G8" s="7" t="s">
        <v>8</v>
      </c>
      <c r="H8" s="7"/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7"/>
      <c r="C9" s="12"/>
      <c r="D9" s="13" t="s">
        <v>3</v>
      </c>
      <c r="E9" s="14"/>
      <c r="F9" s="7"/>
      <c r="G9" s="7"/>
      <c r="H9" s="7"/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15" t="s">
        <v>14</v>
      </c>
      <c r="C10" s="4" t="s">
        <v>2</v>
      </c>
      <c r="D10" s="16" t="s">
        <v>10</v>
      </c>
      <c r="E10" s="17" t="s">
        <v>11</v>
      </c>
      <c r="F10" s="16" t="s">
        <v>15</v>
      </c>
      <c r="G10" s="7"/>
      <c r="H10" s="7"/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6</v>
      </c>
      <c r="B11" s="7" t="s">
        <v>16</v>
      </c>
      <c r="C11" s="12">
        <v>2.0</v>
      </c>
      <c r="D11" s="20" t="s">
        <v>17</v>
      </c>
      <c r="E11" s="21" t="s">
        <v>18</v>
      </c>
      <c r="F11" s="20" t="s">
        <v>19</v>
      </c>
      <c r="G11" s="7" t="s">
        <v>8</v>
      </c>
      <c r="H11" s="7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7"/>
      <c r="C12" s="12"/>
      <c r="D12" s="7"/>
      <c r="E12" s="7"/>
      <c r="F12" s="7"/>
      <c r="G12" s="7"/>
      <c r="H12" s="7"/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20</v>
      </c>
      <c r="B13" s="7"/>
      <c r="C13" s="4" t="s">
        <v>2</v>
      </c>
      <c r="D13" s="22" t="s">
        <v>21</v>
      </c>
      <c r="E13" s="23" t="s">
        <v>22</v>
      </c>
      <c r="F13" s="5" t="s">
        <v>23</v>
      </c>
      <c r="G13" s="22" t="s">
        <v>24</v>
      </c>
      <c r="H13" s="24" t="s">
        <v>25</v>
      </c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8" t="s">
        <v>26</v>
      </c>
      <c r="B14" s="7" t="s">
        <v>27</v>
      </c>
      <c r="C14" s="25">
        <v>710.0</v>
      </c>
      <c r="D14" s="19" t="s">
        <v>28</v>
      </c>
      <c r="E14" s="26">
        <v>45413.0</v>
      </c>
      <c r="F14" s="27" t="s">
        <v>29</v>
      </c>
      <c r="G14" s="28" t="s">
        <v>30</v>
      </c>
      <c r="H14" s="29" t="s">
        <v>31</v>
      </c>
      <c r="I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7"/>
      <c r="C15" s="12"/>
      <c r="D15" s="7"/>
      <c r="E15" s="7"/>
      <c r="F15" s="7"/>
      <c r="G15" s="7"/>
      <c r="H15" s="7"/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4" t="s">
        <v>32</v>
      </c>
      <c r="B16" s="7"/>
      <c r="C16" s="25"/>
      <c r="D16" s="30" t="s">
        <v>28</v>
      </c>
      <c r="E16" s="7"/>
      <c r="F16" s="7"/>
      <c r="G16" s="27" t="s">
        <v>33</v>
      </c>
      <c r="H16" s="7"/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4" t="s">
        <v>34</v>
      </c>
      <c r="B17" s="7"/>
      <c r="C17" s="31" t="s">
        <v>35</v>
      </c>
      <c r="D17" s="32"/>
      <c r="E17" s="14"/>
      <c r="F17" s="7"/>
      <c r="G17" s="27" t="s">
        <v>36</v>
      </c>
      <c r="H17" s="27" t="s">
        <v>37</v>
      </c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3" t="s">
        <v>38</v>
      </c>
      <c r="B18" s="32"/>
      <c r="C18" s="32"/>
      <c r="D18" s="32"/>
      <c r="E18" s="32"/>
      <c r="F18" s="14"/>
      <c r="G18" s="27" t="s">
        <v>39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4"/>
      <c r="B19" s="34"/>
      <c r="C19" s="34"/>
      <c r="D19" s="34"/>
      <c r="E19" s="34"/>
      <c r="F19" s="34"/>
      <c r="G19" s="3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6"/>
      <c r="B22" s="37"/>
      <c r="C22" s="38"/>
      <c r="D22" s="39"/>
      <c r="E22" s="3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37"/>
      <c r="C23" s="3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37"/>
      <c r="C24" s="3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37"/>
      <c r="C25" s="40"/>
      <c r="D25" s="3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37"/>
      <c r="C26" s="4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35"/>
      <c r="C27" s="42"/>
      <c r="D27" s="4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5">
    <mergeCell ref="A1:H1"/>
    <mergeCell ref="D6:E6"/>
    <mergeCell ref="D9:E9"/>
    <mergeCell ref="C17:E17"/>
    <mergeCell ref="A18:F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43.63"/>
    <col customWidth="1" min="3" max="3" width="23.63"/>
    <col customWidth="1" min="4" max="4" width="35.38"/>
  </cols>
  <sheetData>
    <row r="1">
      <c r="A1" s="44" t="s">
        <v>40</v>
      </c>
      <c r="B1" s="44" t="s">
        <v>41</v>
      </c>
      <c r="C1" s="44" t="s">
        <v>42</v>
      </c>
      <c r="D1" s="44" t="s">
        <v>43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5" t="s">
        <v>44</v>
      </c>
      <c r="B2" s="46" t="s">
        <v>45</v>
      </c>
      <c r="C2" s="47">
        <v>0.276</v>
      </c>
      <c r="D2" s="48" t="s">
        <v>46</v>
      </c>
      <c r="E2" s="49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6"/>
      <c r="B3" s="46" t="s">
        <v>47</v>
      </c>
      <c r="C3" s="47">
        <v>0.552</v>
      </c>
      <c r="D3" s="6"/>
      <c r="E3" s="49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6"/>
      <c r="B4" s="46" t="s">
        <v>48</v>
      </c>
      <c r="C4" s="47">
        <v>0.118</v>
      </c>
      <c r="D4" s="6"/>
      <c r="E4" s="49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6"/>
      <c r="B5" s="46" t="s">
        <v>49</v>
      </c>
      <c r="C5" s="51">
        <v>0.034</v>
      </c>
      <c r="D5" s="48" t="s">
        <v>50</v>
      </c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6"/>
      <c r="B6" s="46" t="s">
        <v>51</v>
      </c>
      <c r="C6" s="47">
        <v>0.02</v>
      </c>
      <c r="D6" s="6"/>
      <c r="E6" s="49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2"/>
      <c r="B7" s="34"/>
      <c r="C7" s="53"/>
      <c r="D7" s="5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4" t="s">
        <v>52</v>
      </c>
      <c r="C8" s="2"/>
      <c r="D8" s="2"/>
      <c r="E8" s="5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2"/>
      <c r="B9" s="2"/>
      <c r="C9" s="34"/>
      <c r="D9" s="3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8:B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5.0"/>
    <col customWidth="1" min="7" max="7" width="16.13"/>
    <col customWidth="1" min="8" max="9" width="17.63"/>
    <col customWidth="1" min="10" max="10" width="17.13"/>
    <col customWidth="1" min="11" max="11" width="14.88"/>
    <col customWidth="1" min="12" max="12" width="18.0"/>
    <col customWidth="1" min="13" max="13" width="13.63"/>
    <col customWidth="1" min="14" max="16" width="14.88"/>
    <col customWidth="1" min="17" max="17" width="14.63"/>
    <col customWidth="1" min="18" max="18" width="14.88"/>
    <col customWidth="1" min="19" max="19" width="16.13"/>
  </cols>
  <sheetData>
    <row r="1">
      <c r="A1" s="24" t="s">
        <v>53</v>
      </c>
      <c r="B1" s="20">
        <v>3.88E8</v>
      </c>
      <c r="C1" s="27"/>
      <c r="E1" s="57"/>
      <c r="F1" s="57"/>
      <c r="G1" s="57" t="s">
        <v>54</v>
      </c>
      <c r="M1" s="58"/>
      <c r="N1" s="58"/>
      <c r="O1" s="58"/>
    </row>
    <row r="2">
      <c r="A2" s="24" t="s">
        <v>55</v>
      </c>
      <c r="B2" s="20">
        <f>62%*B1</f>
        <v>240560000</v>
      </c>
      <c r="C2" s="27">
        <f t="shared" ref="C2:C4" si="1">B2/$B$1</f>
        <v>0.62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>
      <c r="A3" s="24" t="s">
        <v>56</v>
      </c>
      <c r="B3" s="20">
        <f>22%*B1</f>
        <v>85360000</v>
      </c>
      <c r="C3" s="27">
        <f t="shared" si="1"/>
        <v>0.22</v>
      </c>
      <c r="E3" s="58"/>
      <c r="F3" s="58"/>
      <c r="G3" s="59" t="s">
        <v>57</v>
      </c>
      <c r="H3" s="60" t="s">
        <v>58</v>
      </c>
      <c r="I3" s="61" t="s">
        <v>59</v>
      </c>
      <c r="J3" s="60" t="s">
        <v>60</v>
      </c>
      <c r="K3" s="60" t="s">
        <v>56</v>
      </c>
      <c r="L3" s="60" t="s">
        <v>61</v>
      </c>
      <c r="M3" s="58"/>
      <c r="N3" s="62" t="s">
        <v>62</v>
      </c>
      <c r="O3" s="63">
        <v>12.0</v>
      </c>
    </row>
    <row r="4">
      <c r="A4" s="24" t="s">
        <v>63</v>
      </c>
      <c r="B4" s="64">
        <f>16%*B1</f>
        <v>62080000</v>
      </c>
      <c r="C4" s="27">
        <f t="shared" si="1"/>
        <v>0.16</v>
      </c>
      <c r="E4" s="65"/>
      <c r="F4" s="65"/>
      <c r="G4" s="66">
        <v>1.0</v>
      </c>
      <c r="H4" s="67">
        <v>0.895</v>
      </c>
      <c r="I4" s="68">
        <f t="shared" ref="I4:I15" si="2">$B$1*H4/$O$3</f>
        <v>28938333.33</v>
      </c>
      <c r="J4" s="68">
        <f t="shared" ref="J4:J15" si="3">I4*62%</f>
        <v>17941766.67</v>
      </c>
      <c r="K4" s="68">
        <f t="shared" ref="K4:K15" si="4">I4*22%</f>
        <v>6366433.333</v>
      </c>
      <c r="L4" s="68">
        <f t="shared" ref="L4:L15" si="5">I4*16%</f>
        <v>4630133.333</v>
      </c>
      <c r="M4" s="58"/>
      <c r="N4" s="58"/>
      <c r="O4" s="58"/>
    </row>
    <row r="5">
      <c r="E5" s="65"/>
      <c r="F5" s="65"/>
      <c r="G5" s="66">
        <v>2.0</v>
      </c>
      <c r="H5" s="67">
        <v>1.02</v>
      </c>
      <c r="I5" s="68">
        <f t="shared" si="2"/>
        <v>32980000</v>
      </c>
      <c r="J5" s="68">
        <f t="shared" si="3"/>
        <v>20447600</v>
      </c>
      <c r="K5" s="68">
        <f t="shared" si="4"/>
        <v>7255600</v>
      </c>
      <c r="L5" s="68">
        <f t="shared" si="5"/>
        <v>5276800</v>
      </c>
      <c r="M5" s="58"/>
      <c r="N5" s="58"/>
      <c r="O5" s="58"/>
    </row>
    <row r="6">
      <c r="A6" s="24" t="s">
        <v>64</v>
      </c>
      <c r="B6" s="24" t="s">
        <v>65</v>
      </c>
      <c r="C6" s="24" t="s">
        <v>66</v>
      </c>
      <c r="D6" s="24" t="s">
        <v>67</v>
      </c>
      <c r="E6" s="65"/>
      <c r="F6" s="65"/>
      <c r="G6" s="66">
        <v>3.0</v>
      </c>
      <c r="H6" s="67">
        <v>0.977</v>
      </c>
      <c r="I6" s="68">
        <f t="shared" si="2"/>
        <v>31589666.67</v>
      </c>
      <c r="J6" s="68">
        <f t="shared" si="3"/>
        <v>19585593.33</v>
      </c>
      <c r="K6" s="68">
        <f t="shared" si="4"/>
        <v>6949726.667</v>
      </c>
      <c r="L6" s="68">
        <f t="shared" si="5"/>
        <v>5054346.667</v>
      </c>
      <c r="M6" s="58"/>
      <c r="N6" s="69" t="s">
        <v>66</v>
      </c>
      <c r="O6" s="70">
        <f>SUM(I4:I15)</f>
        <v>388000000</v>
      </c>
    </row>
    <row r="7">
      <c r="A7" s="15" t="s">
        <v>68</v>
      </c>
      <c r="B7" s="71">
        <v>0.36</v>
      </c>
      <c r="C7" s="64">
        <f t="shared" ref="C7:C10" si="6">$C$11*B7</f>
        <v>86601600</v>
      </c>
      <c r="D7" s="64">
        <f t="shared" ref="D7:D8" si="7">C7/20.7</f>
        <v>4183652.174</v>
      </c>
      <c r="E7" s="65"/>
      <c r="F7" s="65"/>
      <c r="G7" s="66">
        <v>4.0</v>
      </c>
      <c r="H7" s="67">
        <v>0.946</v>
      </c>
      <c r="I7" s="68">
        <f t="shared" si="2"/>
        <v>30587333.33</v>
      </c>
      <c r="J7" s="68">
        <f t="shared" si="3"/>
        <v>18964146.67</v>
      </c>
      <c r="K7" s="68">
        <f t="shared" si="4"/>
        <v>6729213.333</v>
      </c>
      <c r="L7" s="68">
        <f t="shared" si="5"/>
        <v>4893973.333</v>
      </c>
      <c r="M7" s="58"/>
      <c r="N7" s="69" t="s">
        <v>69</v>
      </c>
      <c r="O7" s="72">
        <f>39%*O6</f>
        <v>151320000</v>
      </c>
    </row>
    <row r="8">
      <c r="A8" s="15" t="s">
        <v>70</v>
      </c>
      <c r="B8" s="71">
        <v>0.28</v>
      </c>
      <c r="C8" s="64">
        <f t="shared" si="6"/>
        <v>67356800</v>
      </c>
      <c r="D8" s="64">
        <f t="shared" si="7"/>
        <v>3253951.691</v>
      </c>
      <c r="E8" s="65"/>
      <c r="F8" s="65"/>
      <c r="G8" s="66">
        <v>5.0</v>
      </c>
      <c r="H8" s="67">
        <v>0.679</v>
      </c>
      <c r="I8" s="68">
        <f t="shared" si="2"/>
        <v>21954333.33</v>
      </c>
      <c r="J8" s="68">
        <f t="shared" si="3"/>
        <v>13611686.67</v>
      </c>
      <c r="K8" s="68">
        <f t="shared" si="4"/>
        <v>4829953.333</v>
      </c>
      <c r="L8" s="68">
        <f t="shared" si="5"/>
        <v>3512693.333</v>
      </c>
      <c r="M8" s="58"/>
      <c r="N8" s="69" t="s">
        <v>49</v>
      </c>
      <c r="O8" s="59"/>
    </row>
    <row r="9">
      <c r="A9" s="15" t="s">
        <v>71</v>
      </c>
      <c r="B9" s="71">
        <v>0.12</v>
      </c>
      <c r="C9" s="64">
        <f t="shared" si="6"/>
        <v>28867200</v>
      </c>
      <c r="D9" s="64">
        <f>C9/19.8</f>
        <v>1457939.394</v>
      </c>
      <c r="E9" s="65"/>
      <c r="F9" s="65"/>
      <c r="G9" s="66">
        <v>6.0</v>
      </c>
      <c r="H9" s="67">
        <v>0.415</v>
      </c>
      <c r="I9" s="68">
        <f t="shared" si="2"/>
        <v>13418333.33</v>
      </c>
      <c r="J9" s="68">
        <f t="shared" si="3"/>
        <v>8319366.667</v>
      </c>
      <c r="K9" s="68">
        <f t="shared" si="4"/>
        <v>2952033.333</v>
      </c>
      <c r="L9" s="68">
        <f t="shared" si="5"/>
        <v>2146933.333</v>
      </c>
      <c r="M9" s="58"/>
      <c r="N9" s="69" t="s">
        <v>72</v>
      </c>
      <c r="O9" s="59"/>
    </row>
    <row r="10">
      <c r="A10" s="15" t="s">
        <v>73</v>
      </c>
      <c r="B10" s="71">
        <v>0.24</v>
      </c>
      <c r="C10" s="64">
        <f t="shared" si="6"/>
        <v>57734400</v>
      </c>
      <c r="D10" s="64">
        <f>C10/23.68</f>
        <v>2438108.108</v>
      </c>
      <c r="E10" s="65"/>
      <c r="F10" s="65"/>
      <c r="G10" s="66">
        <v>7.0</v>
      </c>
      <c r="H10" s="67">
        <v>1.714</v>
      </c>
      <c r="I10" s="68">
        <f t="shared" si="2"/>
        <v>55419333.33</v>
      </c>
      <c r="J10" s="68">
        <f t="shared" si="3"/>
        <v>34359986.67</v>
      </c>
      <c r="K10" s="68">
        <f t="shared" si="4"/>
        <v>12192253.33</v>
      </c>
      <c r="L10" s="68">
        <f t="shared" si="5"/>
        <v>8867093.333</v>
      </c>
      <c r="M10" s="58"/>
      <c r="N10" s="69" t="s">
        <v>74</v>
      </c>
      <c r="O10" s="59">
        <f>J4*33%</f>
        <v>5920783</v>
      </c>
    </row>
    <row r="11">
      <c r="A11" s="24" t="s">
        <v>75</v>
      </c>
      <c r="B11" s="73">
        <v>1.0</v>
      </c>
      <c r="C11" s="64">
        <f>B2</f>
        <v>240560000</v>
      </c>
      <c r="D11" s="7"/>
      <c r="E11" s="65"/>
      <c r="F11" s="65"/>
      <c r="G11" s="66">
        <v>8.0</v>
      </c>
      <c r="H11" s="67">
        <v>0.61</v>
      </c>
      <c r="I11" s="68">
        <f t="shared" si="2"/>
        <v>19723333.33</v>
      </c>
      <c r="J11" s="68">
        <f t="shared" si="3"/>
        <v>12228466.67</v>
      </c>
      <c r="K11" s="68">
        <f t="shared" si="4"/>
        <v>4339133.333</v>
      </c>
      <c r="L11" s="68">
        <f t="shared" si="5"/>
        <v>3155733.333</v>
      </c>
      <c r="M11" s="58"/>
      <c r="N11" s="74"/>
      <c r="O11" s="74"/>
    </row>
    <row r="12">
      <c r="A12" s="75"/>
      <c r="E12" s="65"/>
      <c r="F12" s="65"/>
      <c r="G12" s="66">
        <v>9.0</v>
      </c>
      <c r="H12" s="67">
        <v>0.947</v>
      </c>
      <c r="I12" s="68">
        <f t="shared" si="2"/>
        <v>30619666.67</v>
      </c>
      <c r="J12" s="68">
        <f t="shared" si="3"/>
        <v>18984193.33</v>
      </c>
      <c r="K12" s="68">
        <f t="shared" si="4"/>
        <v>6736326.667</v>
      </c>
      <c r="L12" s="68">
        <f t="shared" si="5"/>
        <v>4899146.667</v>
      </c>
      <c r="M12" s="58"/>
      <c r="N12" s="58"/>
      <c r="O12" s="58"/>
    </row>
    <row r="13">
      <c r="A13" s="24" t="s">
        <v>76</v>
      </c>
      <c r="B13" s="24" t="s">
        <v>65</v>
      </c>
      <c r="C13" s="24" t="s">
        <v>66</v>
      </c>
      <c r="D13" s="24" t="s">
        <v>67</v>
      </c>
      <c r="E13" s="65"/>
      <c r="F13" s="65"/>
      <c r="G13" s="66">
        <v>10.0</v>
      </c>
      <c r="H13" s="67">
        <v>0.712</v>
      </c>
      <c r="I13" s="68">
        <f t="shared" si="2"/>
        <v>23021333.33</v>
      </c>
      <c r="J13" s="68">
        <f t="shared" si="3"/>
        <v>14273226.67</v>
      </c>
      <c r="K13" s="68">
        <f t="shared" si="4"/>
        <v>5064693.333</v>
      </c>
      <c r="L13" s="68">
        <f t="shared" si="5"/>
        <v>3683413.333</v>
      </c>
      <c r="M13" s="58"/>
      <c r="N13" s="58"/>
      <c r="O13" s="58"/>
    </row>
    <row r="14">
      <c r="A14" s="15" t="s">
        <v>77</v>
      </c>
      <c r="B14" s="71">
        <v>0.46</v>
      </c>
      <c r="C14" s="7">
        <f t="shared" ref="C14:C16" si="8">$C$17*B14</f>
        <v>39265600</v>
      </c>
      <c r="D14" s="7">
        <f>C14/22.68</f>
        <v>1731287.478</v>
      </c>
      <c r="E14" s="65"/>
      <c r="F14" s="65"/>
      <c r="G14" s="66">
        <v>11.0</v>
      </c>
      <c r="H14" s="67">
        <v>1.894</v>
      </c>
      <c r="I14" s="68">
        <f t="shared" si="2"/>
        <v>61239333.33</v>
      </c>
      <c r="J14" s="68">
        <f t="shared" si="3"/>
        <v>37968386.67</v>
      </c>
      <c r="K14" s="68">
        <f t="shared" si="4"/>
        <v>13472653.33</v>
      </c>
      <c r="L14" s="68">
        <f t="shared" si="5"/>
        <v>9798293.333</v>
      </c>
      <c r="M14" s="58"/>
      <c r="N14" s="58"/>
      <c r="O14" s="58"/>
    </row>
    <row r="15">
      <c r="A15" s="15" t="s">
        <v>78</v>
      </c>
      <c r="B15" s="71">
        <v>0.27</v>
      </c>
      <c r="C15" s="7">
        <f t="shared" si="8"/>
        <v>23047200</v>
      </c>
      <c r="D15" s="7">
        <f t="shared" ref="D15:D16" si="9">C15/38.91</f>
        <v>592320.7402</v>
      </c>
      <c r="E15" s="65"/>
      <c r="F15" s="65"/>
      <c r="G15" s="66">
        <v>12.0</v>
      </c>
      <c r="H15" s="67">
        <v>1.191</v>
      </c>
      <c r="I15" s="68">
        <f t="shared" si="2"/>
        <v>38509000</v>
      </c>
      <c r="J15" s="68">
        <f t="shared" si="3"/>
        <v>23875580</v>
      </c>
      <c r="K15" s="68">
        <f t="shared" si="4"/>
        <v>8471980</v>
      </c>
      <c r="L15" s="68">
        <f t="shared" si="5"/>
        <v>6161440</v>
      </c>
      <c r="M15" s="58"/>
      <c r="N15" s="58"/>
      <c r="O15" s="58"/>
    </row>
    <row r="16">
      <c r="A16" s="15" t="s">
        <v>79</v>
      </c>
      <c r="B16" s="71">
        <v>0.27</v>
      </c>
      <c r="C16" s="7">
        <f t="shared" si="8"/>
        <v>23047200</v>
      </c>
      <c r="D16" s="7">
        <f t="shared" si="9"/>
        <v>592320.7402</v>
      </c>
      <c r="I16" s="54"/>
    </row>
    <row r="17">
      <c r="A17" s="24" t="s">
        <v>80</v>
      </c>
      <c r="B17" s="73">
        <v>1.0</v>
      </c>
      <c r="C17" s="64">
        <f>B3</f>
        <v>85360000</v>
      </c>
      <c r="D17" s="7"/>
      <c r="G17" s="54" t="s">
        <v>81</v>
      </c>
    </row>
    <row r="18">
      <c r="D18" s="76"/>
      <c r="E18" s="74"/>
      <c r="F18" s="74"/>
      <c r="G18" s="59"/>
      <c r="H18" s="69">
        <v>1.0</v>
      </c>
      <c r="I18" s="27">
        <v>2.0</v>
      </c>
      <c r="J18" s="27">
        <v>3.0</v>
      </c>
      <c r="K18" s="27">
        <v>4.0</v>
      </c>
      <c r="L18" s="27">
        <v>5.0</v>
      </c>
      <c r="M18" s="27">
        <v>6.0</v>
      </c>
      <c r="N18" s="27">
        <v>7.0</v>
      </c>
      <c r="O18" s="27">
        <v>8.0</v>
      </c>
      <c r="P18" s="27">
        <v>9.0</v>
      </c>
      <c r="Q18" s="27">
        <v>10.0</v>
      </c>
      <c r="R18" s="27">
        <v>11.0</v>
      </c>
      <c r="S18" s="27">
        <v>12.0</v>
      </c>
    </row>
    <row r="19">
      <c r="A19" s="7"/>
      <c r="B19" s="24" t="s">
        <v>65</v>
      </c>
      <c r="C19" s="24" t="s">
        <v>66</v>
      </c>
      <c r="D19" s="77" t="s">
        <v>67</v>
      </c>
      <c r="E19" s="57"/>
      <c r="F19" s="57" t="s">
        <v>82</v>
      </c>
      <c r="G19" s="7" t="s">
        <v>68</v>
      </c>
      <c r="H19" s="78">
        <f t="shared" ref="H19:H22" si="10">D7*$H$4/$O$3</f>
        <v>312030.7246</v>
      </c>
      <c r="I19" s="79">
        <f t="shared" ref="I19:I22" si="11">D7*$H$5/$O$3</f>
        <v>355610.4348</v>
      </c>
      <c r="J19" s="79">
        <f t="shared" ref="J19:J22" si="12">D7*$H$6/$O$3</f>
        <v>340619.0145</v>
      </c>
      <c r="K19" s="79">
        <f t="shared" ref="K19:K22" si="13">D7*$H$7/$O$3</f>
        <v>329811.2464</v>
      </c>
      <c r="L19" s="79">
        <f t="shared" ref="L19:L22" si="14">D7*$H$8/$O$3</f>
        <v>236724.9855</v>
      </c>
      <c r="M19" s="79">
        <f t="shared" ref="M19:M22" si="15">D7*$H$9/$O$3</f>
        <v>144684.6377</v>
      </c>
      <c r="N19" s="79">
        <f t="shared" ref="N19:N22" si="16">D7*$H$10/$O$3</f>
        <v>597564.9855</v>
      </c>
      <c r="O19" s="79">
        <f t="shared" ref="O19:O22" si="17">D7*$H$11/$O$3</f>
        <v>212668.9855</v>
      </c>
      <c r="P19" s="79">
        <f t="shared" ref="P19:P22" si="18">D7*$H$12/$O$3</f>
        <v>330159.8841</v>
      </c>
      <c r="Q19" s="79">
        <f t="shared" ref="Q19:Q22" si="19">D7*$H$13/$O$3</f>
        <v>248230.029</v>
      </c>
      <c r="R19" s="79">
        <f t="shared" ref="R19:R22" si="20">D7*$H$14/$O$3</f>
        <v>660319.7681</v>
      </c>
      <c r="S19" s="79">
        <f t="shared" ref="S19:S22" si="21">D7*$H$15/$O$3</f>
        <v>415227.4783</v>
      </c>
    </row>
    <row r="20">
      <c r="A20" s="15" t="s">
        <v>83</v>
      </c>
      <c r="B20" s="71">
        <v>0.39</v>
      </c>
      <c r="C20" s="7">
        <f t="shared" ref="C20:C22" si="22">$C$23*B20</f>
        <v>24211200</v>
      </c>
      <c r="D20" s="77">
        <f>C20/21.6</f>
        <v>1120888.889</v>
      </c>
      <c r="E20" s="57"/>
      <c r="F20" s="57" t="s">
        <v>84</v>
      </c>
      <c r="G20" s="7" t="s">
        <v>70</v>
      </c>
      <c r="H20" s="78">
        <f t="shared" si="10"/>
        <v>242690.5636</v>
      </c>
      <c r="I20" s="79">
        <f t="shared" si="11"/>
        <v>276585.8937</v>
      </c>
      <c r="J20" s="79">
        <f t="shared" si="12"/>
        <v>264925.9002</v>
      </c>
      <c r="K20" s="79">
        <f t="shared" si="13"/>
        <v>256519.8583</v>
      </c>
      <c r="L20" s="79">
        <f t="shared" si="14"/>
        <v>184119.4332</v>
      </c>
      <c r="M20" s="79">
        <f t="shared" si="15"/>
        <v>112532.496</v>
      </c>
      <c r="N20" s="79">
        <f t="shared" si="16"/>
        <v>464772.7665</v>
      </c>
      <c r="O20" s="79">
        <f t="shared" si="17"/>
        <v>165409.211</v>
      </c>
      <c r="P20" s="79">
        <f t="shared" si="18"/>
        <v>256791.0209</v>
      </c>
      <c r="Q20" s="79">
        <f t="shared" si="19"/>
        <v>193067.8003</v>
      </c>
      <c r="R20" s="79">
        <f t="shared" si="20"/>
        <v>513582.0419</v>
      </c>
      <c r="S20" s="79">
        <f t="shared" si="21"/>
        <v>322954.7053</v>
      </c>
    </row>
    <row r="21">
      <c r="A21" s="15" t="s">
        <v>85</v>
      </c>
      <c r="B21" s="71">
        <v>0.23</v>
      </c>
      <c r="C21" s="7">
        <f t="shared" si="22"/>
        <v>14278400</v>
      </c>
      <c r="D21" s="77">
        <f t="shared" ref="D21:D22" si="23">C21/23.8</f>
        <v>599932.7731</v>
      </c>
      <c r="E21" s="57"/>
      <c r="F21" s="57" t="s">
        <v>86</v>
      </c>
      <c r="G21" s="7" t="s">
        <v>71</v>
      </c>
      <c r="H21" s="78">
        <f t="shared" si="10"/>
        <v>108737.9798</v>
      </c>
      <c r="I21" s="79">
        <f t="shared" si="11"/>
        <v>123924.8485</v>
      </c>
      <c r="J21" s="79">
        <f t="shared" si="12"/>
        <v>118700.5657</v>
      </c>
      <c r="K21" s="79">
        <f t="shared" si="13"/>
        <v>114934.2222</v>
      </c>
      <c r="L21" s="79">
        <f t="shared" si="14"/>
        <v>82495.07071</v>
      </c>
      <c r="M21" s="79">
        <f t="shared" si="15"/>
        <v>50420.40404</v>
      </c>
      <c r="N21" s="79">
        <f t="shared" si="16"/>
        <v>208242.3434</v>
      </c>
      <c r="O21" s="79">
        <f t="shared" si="17"/>
        <v>74111.91919</v>
      </c>
      <c r="P21" s="79">
        <f t="shared" si="18"/>
        <v>115055.7172</v>
      </c>
      <c r="Q21" s="79">
        <f t="shared" si="19"/>
        <v>86504.40404</v>
      </c>
      <c r="R21" s="79">
        <f t="shared" si="20"/>
        <v>230111.4343</v>
      </c>
      <c r="S21" s="79">
        <f t="shared" si="21"/>
        <v>144700.4848</v>
      </c>
    </row>
    <row r="22">
      <c r="A22" s="15" t="s">
        <v>87</v>
      </c>
      <c r="B22" s="71">
        <v>0.38</v>
      </c>
      <c r="C22" s="7">
        <f t="shared" si="22"/>
        <v>23590400</v>
      </c>
      <c r="D22" s="77">
        <f t="shared" si="23"/>
        <v>991193.2773</v>
      </c>
      <c r="E22" s="57"/>
      <c r="F22" s="57" t="s">
        <v>88</v>
      </c>
      <c r="G22" s="7" t="s">
        <v>73</v>
      </c>
      <c r="H22" s="78">
        <f t="shared" si="10"/>
        <v>181842.2297</v>
      </c>
      <c r="I22" s="79">
        <f t="shared" si="11"/>
        <v>207239.1892</v>
      </c>
      <c r="J22" s="79">
        <f t="shared" si="12"/>
        <v>198502.6351</v>
      </c>
      <c r="K22" s="79">
        <f t="shared" si="13"/>
        <v>192204.1892</v>
      </c>
      <c r="L22" s="79">
        <f t="shared" si="14"/>
        <v>137956.2838</v>
      </c>
      <c r="M22" s="79">
        <f t="shared" si="15"/>
        <v>84317.90541</v>
      </c>
      <c r="N22" s="79">
        <f t="shared" si="16"/>
        <v>348243.1081</v>
      </c>
      <c r="O22" s="79">
        <f t="shared" si="17"/>
        <v>123937.1622</v>
      </c>
      <c r="P22" s="79">
        <f t="shared" si="18"/>
        <v>192407.3649</v>
      </c>
      <c r="Q22" s="79">
        <f t="shared" si="19"/>
        <v>144661.0811</v>
      </c>
      <c r="R22" s="79">
        <f t="shared" si="20"/>
        <v>384814.7297</v>
      </c>
      <c r="S22" s="79">
        <f t="shared" si="21"/>
        <v>241982.2297</v>
      </c>
    </row>
    <row r="23">
      <c r="A23" s="24" t="s">
        <v>80</v>
      </c>
      <c r="B23" s="73">
        <v>1.0</v>
      </c>
      <c r="C23" s="64">
        <f>B4</f>
        <v>62080000</v>
      </c>
      <c r="D23" s="77"/>
      <c r="E23" s="57"/>
      <c r="F23" s="57" t="s">
        <v>89</v>
      </c>
      <c r="G23" s="7" t="s">
        <v>77</v>
      </c>
      <c r="H23" s="78">
        <f t="shared" ref="H23:H25" si="24">D14*$H$4/$O$3</f>
        <v>129125.1911</v>
      </c>
      <c r="I23" s="79">
        <f t="shared" ref="I23:I25" si="25">D14*$H$5/$O$3</f>
        <v>147159.4356</v>
      </c>
      <c r="J23" s="79">
        <f t="shared" ref="J23:J25" si="26">D14*$H$6/$O$3</f>
        <v>140955.6555</v>
      </c>
      <c r="K23" s="79">
        <f t="shared" ref="K23:K25" si="27">D14*$H$7/$O$3</f>
        <v>136483.1628</v>
      </c>
      <c r="L23" s="79">
        <f t="shared" ref="L23:L25" si="28">D14*$H$8/$O$3</f>
        <v>97962.01646</v>
      </c>
      <c r="M23" s="79">
        <f t="shared" ref="M23:M25" si="29">D14*$H$9/$O$3</f>
        <v>59873.69195</v>
      </c>
      <c r="N23" s="79">
        <f t="shared" ref="N23:N25" si="30">D14*$H$10/$O$3</f>
        <v>247285.5614</v>
      </c>
      <c r="O23" s="79">
        <f t="shared" ref="O23:O25" si="31">D14*$H$11/$O$3</f>
        <v>88007.11346</v>
      </c>
      <c r="P23" s="79">
        <f t="shared" ref="P23:P25" si="32">D14*$H$12/$O$3</f>
        <v>136627.4368</v>
      </c>
      <c r="Q23" s="79">
        <f t="shared" ref="Q23:Q25" si="33">D14*$H$13/$O$3</f>
        <v>102723.057</v>
      </c>
      <c r="R23" s="79">
        <f t="shared" ref="R23:R25" si="34">D14*$H$14/$O$3</f>
        <v>273254.8736</v>
      </c>
      <c r="S23" s="79">
        <f t="shared" ref="S23:S25" si="35">D14*$H$15/$O$3</f>
        <v>171830.2822</v>
      </c>
    </row>
    <row r="24">
      <c r="D24" s="76"/>
      <c r="E24" s="57"/>
      <c r="F24" s="57" t="s">
        <v>90</v>
      </c>
      <c r="G24" s="7" t="s">
        <v>78</v>
      </c>
      <c r="H24" s="78">
        <f t="shared" si="24"/>
        <v>44177.2552</v>
      </c>
      <c r="I24" s="79">
        <f t="shared" si="25"/>
        <v>50347.26291</v>
      </c>
      <c r="J24" s="79">
        <f t="shared" si="26"/>
        <v>48224.78026</v>
      </c>
      <c r="K24" s="79">
        <f t="shared" si="27"/>
        <v>46694.61835</v>
      </c>
      <c r="L24" s="79">
        <f t="shared" si="28"/>
        <v>33515.48188</v>
      </c>
      <c r="M24" s="79">
        <f t="shared" si="29"/>
        <v>20484.4256</v>
      </c>
      <c r="N24" s="79">
        <f t="shared" si="30"/>
        <v>84603.14572</v>
      </c>
      <c r="O24" s="79">
        <f t="shared" si="31"/>
        <v>30109.63763</v>
      </c>
      <c r="P24" s="79">
        <f t="shared" si="32"/>
        <v>46743.97841</v>
      </c>
      <c r="Q24" s="79">
        <f t="shared" si="33"/>
        <v>35144.36392</v>
      </c>
      <c r="R24" s="79">
        <f t="shared" si="34"/>
        <v>93487.95682</v>
      </c>
      <c r="S24" s="79">
        <f t="shared" si="35"/>
        <v>58787.83346</v>
      </c>
    </row>
    <row r="25">
      <c r="D25" s="76"/>
      <c r="E25" s="57"/>
      <c r="F25" s="57" t="s">
        <v>91</v>
      </c>
      <c r="G25" s="7" t="s">
        <v>79</v>
      </c>
      <c r="H25" s="78">
        <f t="shared" si="24"/>
        <v>44177.2552</v>
      </c>
      <c r="I25" s="79">
        <f t="shared" si="25"/>
        <v>50347.26291</v>
      </c>
      <c r="J25" s="79">
        <f t="shared" si="26"/>
        <v>48224.78026</v>
      </c>
      <c r="K25" s="79">
        <f t="shared" si="27"/>
        <v>46694.61835</v>
      </c>
      <c r="L25" s="79">
        <f t="shared" si="28"/>
        <v>33515.48188</v>
      </c>
      <c r="M25" s="79">
        <f t="shared" si="29"/>
        <v>20484.4256</v>
      </c>
      <c r="N25" s="79">
        <f t="shared" si="30"/>
        <v>84603.14572</v>
      </c>
      <c r="O25" s="79">
        <f t="shared" si="31"/>
        <v>30109.63763</v>
      </c>
      <c r="P25" s="79">
        <f t="shared" si="32"/>
        <v>46743.97841</v>
      </c>
      <c r="Q25" s="79">
        <f t="shared" si="33"/>
        <v>35144.36392</v>
      </c>
      <c r="R25" s="79">
        <f t="shared" si="34"/>
        <v>93487.95682</v>
      </c>
      <c r="S25" s="79">
        <f t="shared" si="35"/>
        <v>58787.83346</v>
      </c>
    </row>
    <row r="26">
      <c r="D26" s="76"/>
      <c r="E26" s="57"/>
      <c r="F26" s="57" t="s">
        <v>92</v>
      </c>
      <c r="G26" s="7" t="s">
        <v>83</v>
      </c>
      <c r="H26" s="78">
        <f t="shared" ref="H26:H28" si="36">D20*$H$4/$O$3</f>
        <v>83599.62963</v>
      </c>
      <c r="I26" s="79">
        <f t="shared" ref="I26:I28" si="37">D20*$H$5/$O$3</f>
        <v>95275.55556</v>
      </c>
      <c r="J26" s="79">
        <f t="shared" ref="J26:J28" si="38">D20*$H$6/$O$3</f>
        <v>91259.03704</v>
      </c>
      <c r="K26" s="79">
        <f t="shared" ref="K26:K28" si="39">D20*$H$7/$O$3</f>
        <v>88363.40741</v>
      </c>
      <c r="L26" s="79">
        <f t="shared" ref="L26:L28" si="40">D20*$H$8/$O$3</f>
        <v>63423.62963</v>
      </c>
      <c r="M26" s="79">
        <f t="shared" ref="M26:M28" si="41">D20*$H$9/$O$3</f>
        <v>38764.07407</v>
      </c>
      <c r="N26" s="79">
        <f t="shared" ref="N26:N28" si="42">D20*$H$10/$O$3</f>
        <v>160100.2963</v>
      </c>
      <c r="O26" s="79">
        <f t="shared" ref="O26:O28" si="43">D20*$H$11/$O$3</f>
        <v>56978.51852</v>
      </c>
      <c r="P26" s="79">
        <f t="shared" ref="P26:P28" si="44">D20*$H$12/$O$3</f>
        <v>88456.81481</v>
      </c>
      <c r="Q26" s="79">
        <f t="shared" ref="Q26:Q28" si="45">D20*$H$13/$O$3</f>
        <v>66506.07407</v>
      </c>
      <c r="R26" s="79">
        <f t="shared" ref="R26:R28" si="46">D20*$H$14/$O$3</f>
        <v>176913.6296</v>
      </c>
      <c r="S26" s="79">
        <f t="shared" ref="S26:S28" si="47">D20*$H$15/$O$3</f>
        <v>111248.2222</v>
      </c>
    </row>
    <row r="27">
      <c r="A27" s="54"/>
      <c r="D27" s="76"/>
      <c r="E27" s="57"/>
      <c r="F27" s="57" t="s">
        <v>93</v>
      </c>
      <c r="G27" s="7" t="s">
        <v>85</v>
      </c>
      <c r="H27" s="78">
        <f t="shared" si="36"/>
        <v>44744.98599</v>
      </c>
      <c r="I27" s="79">
        <f t="shared" si="37"/>
        <v>50994.28571</v>
      </c>
      <c r="J27" s="79">
        <f t="shared" si="38"/>
        <v>48844.52661</v>
      </c>
      <c r="K27" s="79">
        <f t="shared" si="39"/>
        <v>47294.70028</v>
      </c>
      <c r="L27" s="79">
        <f t="shared" si="40"/>
        <v>33946.19608</v>
      </c>
      <c r="M27" s="79">
        <f t="shared" si="41"/>
        <v>20747.67507</v>
      </c>
      <c r="N27" s="79">
        <f t="shared" si="42"/>
        <v>85690.39776</v>
      </c>
      <c r="O27" s="79">
        <f t="shared" si="43"/>
        <v>30496.58263</v>
      </c>
      <c r="P27" s="79">
        <f t="shared" si="44"/>
        <v>47344.69468</v>
      </c>
      <c r="Q27" s="79">
        <f t="shared" si="45"/>
        <v>35596.0112</v>
      </c>
      <c r="R27" s="79">
        <f t="shared" si="46"/>
        <v>94689.38936</v>
      </c>
      <c r="S27" s="79">
        <f t="shared" si="47"/>
        <v>59543.32773</v>
      </c>
    </row>
    <row r="28">
      <c r="A28" s="80"/>
      <c r="D28" s="76"/>
      <c r="E28" s="57"/>
      <c r="F28" s="57" t="s">
        <v>94</v>
      </c>
      <c r="G28" s="7" t="s">
        <v>87</v>
      </c>
      <c r="H28" s="78">
        <f t="shared" si="36"/>
        <v>73926.4986</v>
      </c>
      <c r="I28" s="79">
        <f t="shared" si="37"/>
        <v>84251.42857</v>
      </c>
      <c r="J28" s="79">
        <f t="shared" si="38"/>
        <v>80699.65266</v>
      </c>
      <c r="K28" s="79">
        <f t="shared" si="39"/>
        <v>78139.07003</v>
      </c>
      <c r="L28" s="79">
        <f t="shared" si="40"/>
        <v>56085.01961</v>
      </c>
      <c r="M28" s="79">
        <f t="shared" si="41"/>
        <v>34278.76751</v>
      </c>
      <c r="N28" s="79">
        <f t="shared" si="42"/>
        <v>141575.4398</v>
      </c>
      <c r="O28" s="79">
        <f t="shared" si="43"/>
        <v>50385.65826</v>
      </c>
      <c r="P28" s="79">
        <f t="shared" si="44"/>
        <v>78221.66947</v>
      </c>
      <c r="Q28" s="79">
        <f t="shared" si="45"/>
        <v>58810.80112</v>
      </c>
      <c r="R28" s="79">
        <f t="shared" si="46"/>
        <v>156443.3389</v>
      </c>
      <c r="S28" s="79">
        <f t="shared" si="47"/>
        <v>98375.93277</v>
      </c>
    </row>
    <row r="29">
      <c r="D29" s="76"/>
      <c r="E29" s="57"/>
      <c r="F29" s="57"/>
      <c r="G29" s="65"/>
      <c r="H29" s="81">
        <f t="shared" ref="H29:S29" si="48">SUM(H18:H28)</f>
        <v>1265053.313</v>
      </c>
      <c r="I29" s="81">
        <f t="shared" si="48"/>
        <v>1441737.597</v>
      </c>
      <c r="J29" s="81">
        <f t="shared" si="48"/>
        <v>1380959.548</v>
      </c>
      <c r="K29" s="81">
        <f t="shared" si="48"/>
        <v>1337143.093</v>
      </c>
      <c r="L29" s="81">
        <f t="shared" si="48"/>
        <v>959748.5987</v>
      </c>
      <c r="M29" s="81">
        <f t="shared" si="48"/>
        <v>586594.5029</v>
      </c>
      <c r="N29" s="81">
        <f t="shared" si="48"/>
        <v>2422688.19</v>
      </c>
      <c r="O29" s="81">
        <f t="shared" si="48"/>
        <v>862222.4259</v>
      </c>
      <c r="P29" s="81">
        <f t="shared" si="48"/>
        <v>1338561.56</v>
      </c>
      <c r="Q29" s="81">
        <f t="shared" si="48"/>
        <v>1006397.986</v>
      </c>
      <c r="R29" s="81">
        <f t="shared" si="48"/>
        <v>2677116.119</v>
      </c>
      <c r="S29" s="81">
        <f t="shared" si="48"/>
        <v>1683450.33</v>
      </c>
    </row>
    <row r="30">
      <c r="D30" s="82"/>
      <c r="E30" s="57"/>
      <c r="F30" s="57"/>
      <c r="G30" s="65"/>
      <c r="H30" s="83"/>
    </row>
    <row r="31">
      <c r="G31" s="74" t="s">
        <v>95</v>
      </c>
    </row>
    <row r="32">
      <c r="G32" s="7"/>
      <c r="H32" s="69">
        <v>1.0</v>
      </c>
      <c r="I32" s="27">
        <v>2.0</v>
      </c>
      <c r="J32" s="27">
        <v>3.0</v>
      </c>
      <c r="K32" s="27">
        <v>4.0</v>
      </c>
      <c r="L32" s="27">
        <v>5.0</v>
      </c>
      <c r="M32" s="27">
        <v>6.0</v>
      </c>
      <c r="N32" s="27">
        <v>7.0</v>
      </c>
      <c r="O32" s="27">
        <v>8.0</v>
      </c>
      <c r="P32" s="27">
        <v>9.0</v>
      </c>
      <c r="Q32" s="27">
        <v>10.0</v>
      </c>
      <c r="R32" s="27">
        <v>11.0</v>
      </c>
      <c r="S32" s="27">
        <v>12.0</v>
      </c>
    </row>
    <row r="33">
      <c r="F33" s="57" t="s">
        <v>82</v>
      </c>
      <c r="G33" s="7" t="s">
        <v>68</v>
      </c>
      <c r="H33" s="79">
        <f t="shared" ref="H33:S33" si="49">H19*10</f>
        <v>3120307.246</v>
      </c>
      <c r="I33" s="79">
        <f t="shared" si="49"/>
        <v>3556104.348</v>
      </c>
      <c r="J33" s="79">
        <f t="shared" si="49"/>
        <v>3406190.145</v>
      </c>
      <c r="K33" s="79">
        <f t="shared" si="49"/>
        <v>3298112.464</v>
      </c>
      <c r="L33" s="79">
        <f t="shared" si="49"/>
        <v>2367249.855</v>
      </c>
      <c r="M33" s="79">
        <f t="shared" si="49"/>
        <v>1446846.377</v>
      </c>
      <c r="N33" s="79">
        <f t="shared" si="49"/>
        <v>5975649.855</v>
      </c>
      <c r="O33" s="79">
        <f t="shared" si="49"/>
        <v>2126689.855</v>
      </c>
      <c r="P33" s="79">
        <f t="shared" si="49"/>
        <v>3301598.841</v>
      </c>
      <c r="Q33" s="79">
        <f t="shared" si="49"/>
        <v>2482300.29</v>
      </c>
      <c r="R33" s="79">
        <f t="shared" si="49"/>
        <v>6603197.681</v>
      </c>
      <c r="S33" s="79">
        <f t="shared" si="49"/>
        <v>4152274.783</v>
      </c>
    </row>
    <row r="34">
      <c r="F34" s="57" t="s">
        <v>84</v>
      </c>
      <c r="G34" s="7" t="s">
        <v>70</v>
      </c>
      <c r="H34" s="70">
        <f t="shared" ref="H34:S34" si="50">H20*5</f>
        <v>1213452.818</v>
      </c>
      <c r="I34" s="70">
        <f t="shared" si="50"/>
        <v>1382929.469</v>
      </c>
      <c r="J34" s="70">
        <f t="shared" si="50"/>
        <v>1324629.501</v>
      </c>
      <c r="K34" s="70">
        <f t="shared" si="50"/>
        <v>1282599.291</v>
      </c>
      <c r="L34" s="70">
        <f t="shared" si="50"/>
        <v>920597.1659</v>
      </c>
      <c r="M34" s="70">
        <f t="shared" si="50"/>
        <v>562662.4799</v>
      </c>
      <c r="N34" s="70">
        <f t="shared" si="50"/>
        <v>2323863.833</v>
      </c>
      <c r="O34" s="70">
        <f t="shared" si="50"/>
        <v>827046.0548</v>
      </c>
      <c r="P34" s="70">
        <f t="shared" si="50"/>
        <v>1283955.105</v>
      </c>
      <c r="Q34" s="70">
        <f t="shared" si="50"/>
        <v>965339.0016</v>
      </c>
      <c r="R34" s="70">
        <f t="shared" si="50"/>
        <v>2567910.209</v>
      </c>
      <c r="S34" s="70">
        <f t="shared" si="50"/>
        <v>1614773.527</v>
      </c>
    </row>
    <row r="35">
      <c r="F35" s="57" t="s">
        <v>86</v>
      </c>
      <c r="G35" s="7" t="s">
        <v>71</v>
      </c>
      <c r="H35" s="78">
        <f t="shared" ref="H35:S35" si="51">H21*24</f>
        <v>2609711.515</v>
      </c>
      <c r="I35" s="78">
        <f t="shared" si="51"/>
        <v>2974196.364</v>
      </c>
      <c r="J35" s="78">
        <f t="shared" si="51"/>
        <v>2848813.576</v>
      </c>
      <c r="K35" s="78">
        <f t="shared" si="51"/>
        <v>2758421.333</v>
      </c>
      <c r="L35" s="78">
        <f t="shared" si="51"/>
        <v>1979881.697</v>
      </c>
      <c r="M35" s="78">
        <f t="shared" si="51"/>
        <v>1210089.697</v>
      </c>
      <c r="N35" s="78">
        <f t="shared" si="51"/>
        <v>4997816.242</v>
      </c>
      <c r="O35" s="78">
        <f t="shared" si="51"/>
        <v>1778686.061</v>
      </c>
      <c r="P35" s="78">
        <f t="shared" si="51"/>
        <v>2761337.212</v>
      </c>
      <c r="Q35" s="78">
        <f t="shared" si="51"/>
        <v>2076105.697</v>
      </c>
      <c r="R35" s="78">
        <f t="shared" si="51"/>
        <v>5522674.424</v>
      </c>
      <c r="S35" s="78">
        <f t="shared" si="51"/>
        <v>3472811.636</v>
      </c>
    </row>
    <row r="36">
      <c r="F36" s="57" t="s">
        <v>88</v>
      </c>
      <c r="G36" s="7" t="s">
        <v>73</v>
      </c>
      <c r="H36" s="78">
        <f t="shared" ref="H36:S36" si="52">H22*24</f>
        <v>4364213.514</v>
      </c>
      <c r="I36" s="78">
        <f t="shared" si="52"/>
        <v>4973740.541</v>
      </c>
      <c r="J36" s="78">
        <f t="shared" si="52"/>
        <v>4764063.243</v>
      </c>
      <c r="K36" s="78">
        <f t="shared" si="52"/>
        <v>4612900.541</v>
      </c>
      <c r="L36" s="78">
        <f t="shared" si="52"/>
        <v>3310950.811</v>
      </c>
      <c r="M36" s="78">
        <f t="shared" si="52"/>
        <v>2023629.73</v>
      </c>
      <c r="N36" s="78">
        <f t="shared" si="52"/>
        <v>8357834.595</v>
      </c>
      <c r="O36" s="78">
        <f t="shared" si="52"/>
        <v>2974491.892</v>
      </c>
      <c r="P36" s="78">
        <f t="shared" si="52"/>
        <v>4617776.757</v>
      </c>
      <c r="Q36" s="78">
        <f t="shared" si="52"/>
        <v>3471865.946</v>
      </c>
      <c r="R36" s="78">
        <f t="shared" si="52"/>
        <v>9235553.514</v>
      </c>
      <c r="S36" s="78">
        <f t="shared" si="52"/>
        <v>5807573.514</v>
      </c>
    </row>
    <row r="37">
      <c r="F37" s="57" t="s">
        <v>89</v>
      </c>
      <c r="G37" s="7" t="s">
        <v>77</v>
      </c>
      <c r="H37" s="78">
        <f t="shared" ref="H37:S37" si="53">H23*40</f>
        <v>5165007.643</v>
      </c>
      <c r="I37" s="78">
        <f t="shared" si="53"/>
        <v>5886377.425</v>
      </c>
      <c r="J37" s="78">
        <f t="shared" si="53"/>
        <v>5638226.22</v>
      </c>
      <c r="K37" s="78">
        <f t="shared" si="53"/>
        <v>5459326.514</v>
      </c>
      <c r="L37" s="78">
        <f t="shared" si="53"/>
        <v>3918480.658</v>
      </c>
      <c r="M37" s="78">
        <f t="shared" si="53"/>
        <v>2394947.678</v>
      </c>
      <c r="N37" s="78">
        <f t="shared" si="53"/>
        <v>9891422.457</v>
      </c>
      <c r="O37" s="78">
        <f t="shared" si="53"/>
        <v>3520284.539</v>
      </c>
      <c r="P37" s="78">
        <f t="shared" si="53"/>
        <v>5465097.472</v>
      </c>
      <c r="Q37" s="78">
        <f t="shared" si="53"/>
        <v>4108922.281</v>
      </c>
      <c r="R37" s="78">
        <f t="shared" si="53"/>
        <v>10930194.94</v>
      </c>
      <c r="S37" s="78">
        <f t="shared" si="53"/>
        <v>6873211.287</v>
      </c>
    </row>
    <row r="38">
      <c r="F38" s="57" t="s">
        <v>90</v>
      </c>
      <c r="G38" s="7" t="s">
        <v>78</v>
      </c>
      <c r="H38" s="78">
        <f t="shared" ref="H38:S38" si="54">H24*24</f>
        <v>1060254.125</v>
      </c>
      <c r="I38" s="78">
        <f t="shared" si="54"/>
        <v>1208334.31</v>
      </c>
      <c r="J38" s="78">
        <f t="shared" si="54"/>
        <v>1157394.726</v>
      </c>
      <c r="K38" s="78">
        <f t="shared" si="54"/>
        <v>1120670.84</v>
      </c>
      <c r="L38" s="78">
        <f t="shared" si="54"/>
        <v>804371.5652</v>
      </c>
      <c r="M38" s="78">
        <f t="shared" si="54"/>
        <v>491626.2143</v>
      </c>
      <c r="N38" s="78">
        <f t="shared" si="54"/>
        <v>2030475.497</v>
      </c>
      <c r="O38" s="78">
        <f t="shared" si="54"/>
        <v>722631.303</v>
      </c>
      <c r="P38" s="78">
        <f t="shared" si="54"/>
        <v>1121855.482</v>
      </c>
      <c r="Q38" s="78">
        <f t="shared" si="54"/>
        <v>843464.734</v>
      </c>
      <c r="R38" s="78">
        <f t="shared" si="54"/>
        <v>2243710.964</v>
      </c>
      <c r="S38" s="78">
        <f t="shared" si="54"/>
        <v>1410908.003</v>
      </c>
    </row>
    <row r="39">
      <c r="F39" s="57" t="s">
        <v>91</v>
      </c>
      <c r="G39" s="7" t="s">
        <v>79</v>
      </c>
      <c r="H39" s="78">
        <f t="shared" ref="H39:S39" si="55">H25*12</f>
        <v>530127.0625</v>
      </c>
      <c r="I39" s="78">
        <f t="shared" si="55"/>
        <v>604167.155</v>
      </c>
      <c r="J39" s="78">
        <f t="shared" si="55"/>
        <v>578697.3631</v>
      </c>
      <c r="K39" s="78">
        <f t="shared" si="55"/>
        <v>560335.4202</v>
      </c>
      <c r="L39" s="78">
        <f t="shared" si="55"/>
        <v>402185.7826</v>
      </c>
      <c r="M39" s="78">
        <f t="shared" si="55"/>
        <v>245813.1072</v>
      </c>
      <c r="N39" s="78">
        <f t="shared" si="55"/>
        <v>1015237.749</v>
      </c>
      <c r="O39" s="78">
        <f t="shared" si="55"/>
        <v>361315.6515</v>
      </c>
      <c r="P39" s="78">
        <f t="shared" si="55"/>
        <v>560927.7409</v>
      </c>
      <c r="Q39" s="78">
        <f t="shared" si="55"/>
        <v>421732.367</v>
      </c>
      <c r="R39" s="78">
        <f t="shared" si="55"/>
        <v>1121855.482</v>
      </c>
      <c r="S39" s="78">
        <f t="shared" si="55"/>
        <v>705454.0015</v>
      </c>
    </row>
    <row r="40">
      <c r="F40" s="57" t="s">
        <v>92</v>
      </c>
      <c r="G40" s="7" t="s">
        <v>83</v>
      </c>
      <c r="H40" s="78">
        <f t="shared" ref="H40:S40" si="56">H26*60</f>
        <v>5015977.778</v>
      </c>
      <c r="I40" s="78">
        <f t="shared" si="56"/>
        <v>5716533.333</v>
      </c>
      <c r="J40" s="78">
        <f t="shared" si="56"/>
        <v>5475542.222</v>
      </c>
      <c r="K40" s="78">
        <f t="shared" si="56"/>
        <v>5301804.444</v>
      </c>
      <c r="L40" s="78">
        <f t="shared" si="56"/>
        <v>3805417.778</v>
      </c>
      <c r="M40" s="78">
        <f t="shared" si="56"/>
        <v>2325844.444</v>
      </c>
      <c r="N40" s="78">
        <f t="shared" si="56"/>
        <v>9606017.778</v>
      </c>
      <c r="O40" s="78">
        <f t="shared" si="56"/>
        <v>3418711.111</v>
      </c>
      <c r="P40" s="78">
        <f t="shared" si="56"/>
        <v>5307408.889</v>
      </c>
      <c r="Q40" s="78">
        <f t="shared" si="56"/>
        <v>3990364.444</v>
      </c>
      <c r="R40" s="78">
        <f t="shared" si="56"/>
        <v>10614817.78</v>
      </c>
      <c r="S40" s="78">
        <f t="shared" si="56"/>
        <v>6674893.333</v>
      </c>
    </row>
    <row r="41">
      <c r="F41" s="57" t="s">
        <v>93</v>
      </c>
      <c r="G41" s="7" t="s">
        <v>85</v>
      </c>
      <c r="H41" s="78">
        <f t="shared" ref="H41:S41" si="57">H27*60</f>
        <v>2684699.16</v>
      </c>
      <c r="I41" s="78">
        <f t="shared" si="57"/>
        <v>3059657.143</v>
      </c>
      <c r="J41" s="78">
        <f t="shared" si="57"/>
        <v>2930671.597</v>
      </c>
      <c r="K41" s="78">
        <f t="shared" si="57"/>
        <v>2837682.017</v>
      </c>
      <c r="L41" s="78">
        <f t="shared" si="57"/>
        <v>2036771.765</v>
      </c>
      <c r="M41" s="78">
        <f t="shared" si="57"/>
        <v>1244860.504</v>
      </c>
      <c r="N41" s="78">
        <f t="shared" si="57"/>
        <v>5141423.866</v>
      </c>
      <c r="O41" s="78">
        <f t="shared" si="57"/>
        <v>1829794.958</v>
      </c>
      <c r="P41" s="78">
        <f t="shared" si="57"/>
        <v>2840681.681</v>
      </c>
      <c r="Q41" s="78">
        <f t="shared" si="57"/>
        <v>2135760.672</v>
      </c>
      <c r="R41" s="78">
        <f t="shared" si="57"/>
        <v>5681363.361</v>
      </c>
      <c r="S41" s="78">
        <f t="shared" si="57"/>
        <v>3572599.664</v>
      </c>
    </row>
    <row r="42">
      <c r="F42" s="57" t="s">
        <v>94</v>
      </c>
      <c r="G42" s="7" t="s">
        <v>87</v>
      </c>
      <c r="H42" s="78">
        <f t="shared" ref="H42:S42" si="58">H28*50</f>
        <v>3696324.93</v>
      </c>
      <c r="I42" s="78">
        <f t="shared" si="58"/>
        <v>4212571.429</v>
      </c>
      <c r="J42" s="78">
        <f t="shared" si="58"/>
        <v>4034982.633</v>
      </c>
      <c r="K42" s="78">
        <f t="shared" si="58"/>
        <v>3906953.501</v>
      </c>
      <c r="L42" s="78">
        <f t="shared" si="58"/>
        <v>2804250.98</v>
      </c>
      <c r="M42" s="78">
        <f t="shared" si="58"/>
        <v>1713938.375</v>
      </c>
      <c r="N42" s="78">
        <f t="shared" si="58"/>
        <v>7078771.989</v>
      </c>
      <c r="O42" s="78">
        <f t="shared" si="58"/>
        <v>2519282.913</v>
      </c>
      <c r="P42" s="78">
        <f t="shared" si="58"/>
        <v>3911083.473</v>
      </c>
      <c r="Q42" s="78">
        <f t="shared" si="58"/>
        <v>2940540.056</v>
      </c>
      <c r="R42" s="78">
        <f t="shared" si="58"/>
        <v>7822166.947</v>
      </c>
      <c r="S42" s="78">
        <f t="shared" si="58"/>
        <v>4918796.639</v>
      </c>
    </row>
    <row r="43">
      <c r="G43" s="54"/>
      <c r="H43" s="83"/>
    </row>
    <row r="44">
      <c r="G44" s="54" t="s">
        <v>96</v>
      </c>
      <c r="H44" s="83"/>
    </row>
    <row r="45">
      <c r="G45" s="7"/>
      <c r="H45" s="69">
        <v>1.0</v>
      </c>
      <c r="I45" s="27">
        <v>2.0</v>
      </c>
      <c r="J45" s="27">
        <v>3.0</v>
      </c>
      <c r="K45" s="27">
        <v>4.0</v>
      </c>
      <c r="L45" s="27">
        <v>5.0</v>
      </c>
      <c r="M45" s="27">
        <v>6.0</v>
      </c>
      <c r="N45" s="27">
        <v>7.0</v>
      </c>
      <c r="O45" s="27">
        <v>8.0</v>
      </c>
      <c r="P45" s="27">
        <v>9.0</v>
      </c>
      <c r="Q45" s="27">
        <v>10.0</v>
      </c>
      <c r="R45" s="27">
        <v>11.0</v>
      </c>
      <c r="S45" s="27">
        <v>12.0</v>
      </c>
    </row>
    <row r="46">
      <c r="F46" s="57" t="s">
        <v>82</v>
      </c>
      <c r="G46" s="7" t="s">
        <v>68</v>
      </c>
      <c r="H46" s="78">
        <f t="shared" ref="H46:S46" si="59">H33*50</f>
        <v>156015362.3</v>
      </c>
      <c r="I46" s="78">
        <f t="shared" si="59"/>
        <v>177805217.4</v>
      </c>
      <c r="J46" s="78">
        <f t="shared" si="59"/>
        <v>170309507.2</v>
      </c>
      <c r="K46" s="78">
        <f t="shared" si="59"/>
        <v>164905623.2</v>
      </c>
      <c r="L46" s="78">
        <f t="shared" si="59"/>
        <v>118362492.8</v>
      </c>
      <c r="M46" s="78">
        <f t="shared" si="59"/>
        <v>72342318.84</v>
      </c>
      <c r="N46" s="78">
        <f t="shared" si="59"/>
        <v>298782492.8</v>
      </c>
      <c r="O46" s="78">
        <f t="shared" si="59"/>
        <v>106334492.8</v>
      </c>
      <c r="P46" s="78">
        <f t="shared" si="59"/>
        <v>165079942</v>
      </c>
      <c r="Q46" s="78">
        <f t="shared" si="59"/>
        <v>124115014.5</v>
      </c>
      <c r="R46" s="78">
        <f t="shared" si="59"/>
        <v>330159884.1</v>
      </c>
      <c r="S46" s="78">
        <f t="shared" si="59"/>
        <v>207613739.1</v>
      </c>
    </row>
    <row r="47">
      <c r="F47" s="57" t="s">
        <v>84</v>
      </c>
      <c r="G47" s="7" t="s">
        <v>70</v>
      </c>
      <c r="H47" s="79">
        <f t="shared" ref="H47:S47" si="60">H34*100</f>
        <v>121345281.8</v>
      </c>
      <c r="I47" s="79">
        <f t="shared" si="60"/>
        <v>138292946.9</v>
      </c>
      <c r="J47" s="79">
        <f t="shared" si="60"/>
        <v>132462950.1</v>
      </c>
      <c r="K47" s="79">
        <f t="shared" si="60"/>
        <v>128259929.1</v>
      </c>
      <c r="L47" s="79">
        <f t="shared" si="60"/>
        <v>92059716.59</v>
      </c>
      <c r="M47" s="79">
        <f t="shared" si="60"/>
        <v>56266247.99</v>
      </c>
      <c r="N47" s="79">
        <f t="shared" si="60"/>
        <v>232386383.3</v>
      </c>
      <c r="O47" s="79">
        <f t="shared" si="60"/>
        <v>82704605.48</v>
      </c>
      <c r="P47" s="79">
        <f t="shared" si="60"/>
        <v>128395510.5</v>
      </c>
      <c r="Q47" s="79">
        <f t="shared" si="60"/>
        <v>96533900.16</v>
      </c>
      <c r="R47" s="79">
        <f t="shared" si="60"/>
        <v>256791020.9</v>
      </c>
      <c r="S47" s="79">
        <f t="shared" si="60"/>
        <v>161477352.7</v>
      </c>
    </row>
    <row r="48">
      <c r="F48" s="57" t="s">
        <v>86</v>
      </c>
      <c r="G48" s="7" t="s">
        <v>71</v>
      </c>
      <c r="H48" s="79">
        <f t="shared" ref="H48:S48" si="61">H35*20</f>
        <v>52194230.3</v>
      </c>
      <c r="I48" s="79">
        <f t="shared" si="61"/>
        <v>59483927.27</v>
      </c>
      <c r="J48" s="79">
        <f t="shared" si="61"/>
        <v>56976271.52</v>
      </c>
      <c r="K48" s="79">
        <f t="shared" si="61"/>
        <v>55168426.67</v>
      </c>
      <c r="L48" s="79">
        <f t="shared" si="61"/>
        <v>39597633.94</v>
      </c>
      <c r="M48" s="79">
        <f t="shared" si="61"/>
        <v>24201793.94</v>
      </c>
      <c r="N48" s="79">
        <f t="shared" si="61"/>
        <v>99956324.85</v>
      </c>
      <c r="O48" s="79">
        <f t="shared" si="61"/>
        <v>35573721.21</v>
      </c>
      <c r="P48" s="79">
        <f t="shared" si="61"/>
        <v>55226744.24</v>
      </c>
      <c r="Q48" s="79">
        <f t="shared" si="61"/>
        <v>41522113.94</v>
      </c>
      <c r="R48" s="79">
        <f t="shared" si="61"/>
        <v>110453488.5</v>
      </c>
      <c r="S48" s="79">
        <f t="shared" si="61"/>
        <v>69456232.73</v>
      </c>
    </row>
    <row r="49">
      <c r="F49" s="57" t="s">
        <v>88</v>
      </c>
      <c r="G49" s="7" t="s">
        <v>73</v>
      </c>
      <c r="H49" s="79">
        <f t="shared" ref="H49:S49" si="62">H36*24</f>
        <v>104741124.3</v>
      </c>
      <c r="I49" s="79">
        <f t="shared" si="62"/>
        <v>119369773</v>
      </c>
      <c r="J49" s="79">
        <f t="shared" si="62"/>
        <v>114337517.8</v>
      </c>
      <c r="K49" s="79">
        <f t="shared" si="62"/>
        <v>110709613</v>
      </c>
      <c r="L49" s="79">
        <f t="shared" si="62"/>
        <v>79462819.46</v>
      </c>
      <c r="M49" s="79">
        <f t="shared" si="62"/>
        <v>48567113.51</v>
      </c>
      <c r="N49" s="79">
        <f t="shared" si="62"/>
        <v>200588030.3</v>
      </c>
      <c r="O49" s="79">
        <f t="shared" si="62"/>
        <v>71387805.41</v>
      </c>
      <c r="P49" s="79">
        <f t="shared" si="62"/>
        <v>110826642.2</v>
      </c>
      <c r="Q49" s="79">
        <f t="shared" si="62"/>
        <v>83324782.7</v>
      </c>
      <c r="R49" s="79">
        <f t="shared" si="62"/>
        <v>221653284.3</v>
      </c>
      <c r="S49" s="79">
        <f t="shared" si="62"/>
        <v>139381764.3</v>
      </c>
    </row>
    <row r="50">
      <c r="F50" s="57" t="s">
        <v>89</v>
      </c>
      <c r="G50" s="7" t="s">
        <v>77</v>
      </c>
      <c r="H50" s="79">
        <f t="shared" ref="H50:S50" si="63">H37*15</f>
        <v>77475114.64</v>
      </c>
      <c r="I50" s="79">
        <f t="shared" si="63"/>
        <v>88295661.38</v>
      </c>
      <c r="J50" s="79">
        <f t="shared" si="63"/>
        <v>84573393.3</v>
      </c>
      <c r="K50" s="79">
        <f t="shared" si="63"/>
        <v>81889897.71</v>
      </c>
      <c r="L50" s="79">
        <f t="shared" si="63"/>
        <v>58777209.88</v>
      </c>
      <c r="M50" s="79">
        <f t="shared" si="63"/>
        <v>35924215.17</v>
      </c>
      <c r="N50" s="79">
        <f t="shared" si="63"/>
        <v>148371336.9</v>
      </c>
      <c r="O50" s="79">
        <f t="shared" si="63"/>
        <v>52804268.08</v>
      </c>
      <c r="P50" s="79">
        <f t="shared" si="63"/>
        <v>81976462.08</v>
      </c>
      <c r="Q50" s="79">
        <f t="shared" si="63"/>
        <v>61633834.22</v>
      </c>
      <c r="R50" s="79">
        <f t="shared" si="63"/>
        <v>163952924.2</v>
      </c>
      <c r="S50" s="79">
        <f t="shared" si="63"/>
        <v>103098169.3</v>
      </c>
    </row>
    <row r="51">
      <c r="F51" s="57" t="s">
        <v>90</v>
      </c>
      <c r="G51" s="7" t="s">
        <v>78</v>
      </c>
      <c r="H51" s="79">
        <f t="shared" ref="H51:S51" si="64">H38*50</f>
        <v>53012706.25</v>
      </c>
      <c r="I51" s="79">
        <f t="shared" si="64"/>
        <v>60416715.5</v>
      </c>
      <c r="J51" s="79">
        <f t="shared" si="64"/>
        <v>57869736.31</v>
      </c>
      <c r="K51" s="79">
        <f t="shared" si="64"/>
        <v>56033542.02</v>
      </c>
      <c r="L51" s="79">
        <f t="shared" si="64"/>
        <v>40218578.26</v>
      </c>
      <c r="M51" s="79">
        <f t="shared" si="64"/>
        <v>24581310.72</v>
      </c>
      <c r="N51" s="79">
        <f t="shared" si="64"/>
        <v>101523774.9</v>
      </c>
      <c r="O51" s="79">
        <f t="shared" si="64"/>
        <v>36131565.15</v>
      </c>
      <c r="P51" s="79">
        <f t="shared" si="64"/>
        <v>56092774.09</v>
      </c>
      <c r="Q51" s="79">
        <f t="shared" si="64"/>
        <v>42173236.7</v>
      </c>
      <c r="R51" s="79">
        <f t="shared" si="64"/>
        <v>112185548.2</v>
      </c>
      <c r="S51" s="79">
        <f t="shared" si="64"/>
        <v>70545400.15</v>
      </c>
    </row>
    <row r="52">
      <c r="F52" s="57" t="s">
        <v>91</v>
      </c>
      <c r="G52" s="7" t="s">
        <v>79</v>
      </c>
      <c r="H52" s="79">
        <f t="shared" ref="H52:S52" si="65">H39*100</f>
        <v>53012706.25</v>
      </c>
      <c r="I52" s="79">
        <f t="shared" si="65"/>
        <v>60416715.5</v>
      </c>
      <c r="J52" s="79">
        <f t="shared" si="65"/>
        <v>57869736.31</v>
      </c>
      <c r="K52" s="79">
        <f t="shared" si="65"/>
        <v>56033542.02</v>
      </c>
      <c r="L52" s="79">
        <f t="shared" si="65"/>
        <v>40218578.26</v>
      </c>
      <c r="M52" s="79">
        <f t="shared" si="65"/>
        <v>24581310.72</v>
      </c>
      <c r="N52" s="79">
        <f t="shared" si="65"/>
        <v>101523774.9</v>
      </c>
      <c r="O52" s="79">
        <f t="shared" si="65"/>
        <v>36131565.15</v>
      </c>
      <c r="P52" s="79">
        <f t="shared" si="65"/>
        <v>56092774.09</v>
      </c>
      <c r="Q52" s="79">
        <f t="shared" si="65"/>
        <v>42173236.7</v>
      </c>
      <c r="R52" s="79">
        <f t="shared" si="65"/>
        <v>112185548.2</v>
      </c>
      <c r="S52" s="79">
        <f t="shared" si="65"/>
        <v>70545400.15</v>
      </c>
    </row>
    <row r="53">
      <c r="F53" s="57" t="s">
        <v>92</v>
      </c>
      <c r="G53" s="7" t="s">
        <v>83</v>
      </c>
      <c r="H53" s="79">
        <f t="shared" ref="H53:S53" si="66">H40*15</f>
        <v>75239666.67</v>
      </c>
      <c r="I53" s="79">
        <f t="shared" si="66"/>
        <v>85748000</v>
      </c>
      <c r="J53" s="79">
        <f t="shared" si="66"/>
        <v>82133133.33</v>
      </c>
      <c r="K53" s="79">
        <f t="shared" si="66"/>
        <v>79527066.67</v>
      </c>
      <c r="L53" s="79">
        <f t="shared" si="66"/>
        <v>57081266.67</v>
      </c>
      <c r="M53" s="79">
        <f t="shared" si="66"/>
        <v>34887666.67</v>
      </c>
      <c r="N53" s="79">
        <f t="shared" si="66"/>
        <v>144090266.7</v>
      </c>
      <c r="O53" s="79">
        <f t="shared" si="66"/>
        <v>51280666.67</v>
      </c>
      <c r="P53" s="79">
        <f t="shared" si="66"/>
        <v>79611133.33</v>
      </c>
      <c r="Q53" s="79">
        <f t="shared" si="66"/>
        <v>59855466.67</v>
      </c>
      <c r="R53" s="79">
        <f t="shared" si="66"/>
        <v>159222266.7</v>
      </c>
      <c r="S53" s="79">
        <f t="shared" si="66"/>
        <v>100123400</v>
      </c>
    </row>
    <row r="54">
      <c r="F54" s="57" t="s">
        <v>93</v>
      </c>
      <c r="G54" s="7" t="s">
        <v>85</v>
      </c>
      <c r="H54" s="79">
        <f t="shared" ref="H54:S54" si="67">H41*20</f>
        <v>53693983.19</v>
      </c>
      <c r="I54" s="79">
        <f t="shared" si="67"/>
        <v>61193142.86</v>
      </c>
      <c r="J54" s="79">
        <f t="shared" si="67"/>
        <v>58613431.93</v>
      </c>
      <c r="K54" s="79">
        <f t="shared" si="67"/>
        <v>56753640.34</v>
      </c>
      <c r="L54" s="79">
        <f t="shared" si="67"/>
        <v>40735435.29</v>
      </c>
      <c r="M54" s="79">
        <f t="shared" si="67"/>
        <v>24897210.08</v>
      </c>
      <c r="N54" s="79">
        <f t="shared" si="67"/>
        <v>102828477.3</v>
      </c>
      <c r="O54" s="79">
        <f t="shared" si="67"/>
        <v>36595899.16</v>
      </c>
      <c r="P54" s="79">
        <f t="shared" si="67"/>
        <v>56813633.61</v>
      </c>
      <c r="Q54" s="79">
        <f t="shared" si="67"/>
        <v>42715213.45</v>
      </c>
      <c r="R54" s="79">
        <f t="shared" si="67"/>
        <v>113627267.2</v>
      </c>
      <c r="S54" s="79">
        <f t="shared" si="67"/>
        <v>71451993.28</v>
      </c>
    </row>
    <row r="55">
      <c r="F55" s="57" t="s">
        <v>94</v>
      </c>
      <c r="G55" s="7" t="s">
        <v>87</v>
      </c>
      <c r="H55" s="79">
        <f t="shared" ref="H55:S55" si="68">H42*24</f>
        <v>88711798.32</v>
      </c>
      <c r="I55" s="79">
        <f t="shared" si="68"/>
        <v>101101714.3</v>
      </c>
      <c r="J55" s="79">
        <f t="shared" si="68"/>
        <v>96839583.19</v>
      </c>
      <c r="K55" s="79">
        <f t="shared" si="68"/>
        <v>93766884.03</v>
      </c>
      <c r="L55" s="79">
        <f t="shared" si="68"/>
        <v>67302023.53</v>
      </c>
      <c r="M55" s="79">
        <f t="shared" si="68"/>
        <v>41134521.01</v>
      </c>
      <c r="N55" s="79">
        <f t="shared" si="68"/>
        <v>169890527.7</v>
      </c>
      <c r="O55" s="79">
        <f t="shared" si="68"/>
        <v>60462789.92</v>
      </c>
      <c r="P55" s="79">
        <f t="shared" si="68"/>
        <v>93866003.36</v>
      </c>
      <c r="Q55" s="79">
        <f t="shared" si="68"/>
        <v>70572961.34</v>
      </c>
      <c r="R55" s="79">
        <f t="shared" si="68"/>
        <v>187732006.7</v>
      </c>
      <c r="S55" s="79">
        <f t="shared" si="68"/>
        <v>118051119.3</v>
      </c>
    </row>
    <row r="57">
      <c r="F57" s="57" t="s">
        <v>97</v>
      </c>
      <c r="G57" s="54" t="s">
        <v>98</v>
      </c>
    </row>
    <row r="58">
      <c r="G58" s="7"/>
      <c r="H58" s="69">
        <v>1.0</v>
      </c>
      <c r="I58" s="27">
        <v>2.0</v>
      </c>
      <c r="J58" s="27">
        <v>3.0</v>
      </c>
      <c r="K58" s="27">
        <v>4.0</v>
      </c>
      <c r="L58" s="27">
        <v>5.0</v>
      </c>
      <c r="M58" s="27">
        <v>6.0</v>
      </c>
      <c r="N58" s="27">
        <v>7.0</v>
      </c>
      <c r="O58" s="27">
        <v>8.0</v>
      </c>
      <c r="P58" s="27">
        <v>9.0</v>
      </c>
      <c r="Q58" s="27">
        <v>10.0</v>
      </c>
      <c r="R58" s="27">
        <v>11.0</v>
      </c>
      <c r="S58" s="27">
        <v>12.0</v>
      </c>
    </row>
    <row r="59">
      <c r="F59" s="57" t="s">
        <v>82</v>
      </c>
      <c r="G59" s="7" t="s">
        <v>68</v>
      </c>
      <c r="H59" s="84">
        <f t="shared" ref="H59:S59" si="69">H46*0.016</f>
        <v>2496245.797</v>
      </c>
      <c r="I59" s="84">
        <f t="shared" si="69"/>
        <v>2844883.478</v>
      </c>
      <c r="J59" s="84">
        <f t="shared" si="69"/>
        <v>2724952.116</v>
      </c>
      <c r="K59" s="84">
        <f t="shared" si="69"/>
        <v>2638489.971</v>
      </c>
      <c r="L59" s="84">
        <f t="shared" si="69"/>
        <v>1893799.884</v>
      </c>
      <c r="M59" s="84">
        <f t="shared" si="69"/>
        <v>1157477.101</v>
      </c>
      <c r="N59" s="84">
        <f t="shared" si="69"/>
        <v>4780519.884</v>
      </c>
      <c r="O59" s="84">
        <f t="shared" si="69"/>
        <v>1701351.884</v>
      </c>
      <c r="P59" s="84">
        <f t="shared" si="69"/>
        <v>2641279.072</v>
      </c>
      <c r="Q59" s="84">
        <f t="shared" si="69"/>
        <v>1985840.232</v>
      </c>
      <c r="R59" s="84">
        <f t="shared" si="69"/>
        <v>5282558.145</v>
      </c>
      <c r="S59" s="84">
        <f t="shared" si="69"/>
        <v>3321819.826</v>
      </c>
      <c r="U59" s="85">
        <f>SUM(H59:S62)</f>
        <v>93167409.79</v>
      </c>
    </row>
    <row r="60">
      <c r="F60" s="57" t="s">
        <v>84</v>
      </c>
      <c r="G60" s="7" t="s">
        <v>70</v>
      </c>
      <c r="H60" s="84">
        <f t="shared" ref="H60:S60" si="70">H47*0.016</f>
        <v>1941524.509</v>
      </c>
      <c r="I60" s="84">
        <f t="shared" si="70"/>
        <v>2212687.15</v>
      </c>
      <c r="J60" s="84">
        <f t="shared" si="70"/>
        <v>2119407.201</v>
      </c>
      <c r="K60" s="84">
        <f t="shared" si="70"/>
        <v>2052158.866</v>
      </c>
      <c r="L60" s="84">
        <f t="shared" si="70"/>
        <v>1472955.465</v>
      </c>
      <c r="M60" s="84">
        <f t="shared" si="70"/>
        <v>900259.9678</v>
      </c>
      <c r="N60" s="84">
        <f t="shared" si="70"/>
        <v>3718182.132</v>
      </c>
      <c r="O60" s="84">
        <f t="shared" si="70"/>
        <v>1323273.688</v>
      </c>
      <c r="P60" s="84">
        <f t="shared" si="70"/>
        <v>2054328.167</v>
      </c>
      <c r="Q60" s="84">
        <f t="shared" si="70"/>
        <v>1544542.403</v>
      </c>
      <c r="R60" s="84">
        <f t="shared" si="70"/>
        <v>4108656.335</v>
      </c>
      <c r="S60" s="84">
        <f t="shared" si="70"/>
        <v>2583637.643</v>
      </c>
    </row>
    <row r="61">
      <c r="F61" s="57" t="s">
        <v>86</v>
      </c>
      <c r="G61" s="7" t="s">
        <v>71</v>
      </c>
      <c r="H61" s="84">
        <f t="shared" ref="H61:S61" si="71">H48*0.016</f>
        <v>835107.6848</v>
      </c>
      <c r="I61" s="84">
        <f t="shared" si="71"/>
        <v>951742.8364</v>
      </c>
      <c r="J61" s="84">
        <f t="shared" si="71"/>
        <v>911620.3442</v>
      </c>
      <c r="K61" s="84">
        <f t="shared" si="71"/>
        <v>882694.8267</v>
      </c>
      <c r="L61" s="84">
        <f t="shared" si="71"/>
        <v>633562.143</v>
      </c>
      <c r="M61" s="84">
        <f t="shared" si="71"/>
        <v>387228.703</v>
      </c>
      <c r="N61" s="84">
        <f t="shared" si="71"/>
        <v>1599301.198</v>
      </c>
      <c r="O61" s="84">
        <f t="shared" si="71"/>
        <v>569179.5394</v>
      </c>
      <c r="P61" s="84">
        <f t="shared" si="71"/>
        <v>883627.9079</v>
      </c>
      <c r="Q61" s="84">
        <f t="shared" si="71"/>
        <v>664353.823</v>
      </c>
      <c r="R61" s="84">
        <f t="shared" si="71"/>
        <v>1767255.816</v>
      </c>
      <c r="S61" s="84">
        <f t="shared" si="71"/>
        <v>1111299.724</v>
      </c>
    </row>
    <row r="62">
      <c r="F62" s="57" t="s">
        <v>88</v>
      </c>
      <c r="G62" s="7" t="s">
        <v>73</v>
      </c>
      <c r="H62" s="84">
        <f t="shared" ref="H62:S62" si="72">H49*0.016</f>
        <v>1675857.989</v>
      </c>
      <c r="I62" s="84">
        <f t="shared" si="72"/>
        <v>1909916.368</v>
      </c>
      <c r="J62" s="84">
        <f t="shared" si="72"/>
        <v>1829400.285</v>
      </c>
      <c r="K62" s="84">
        <f t="shared" si="72"/>
        <v>1771353.808</v>
      </c>
      <c r="L62" s="84">
        <f t="shared" si="72"/>
        <v>1271405.111</v>
      </c>
      <c r="M62" s="84">
        <f t="shared" si="72"/>
        <v>777073.8162</v>
      </c>
      <c r="N62" s="84">
        <f t="shared" si="72"/>
        <v>3209408.484</v>
      </c>
      <c r="O62" s="84">
        <f t="shared" si="72"/>
        <v>1142204.886</v>
      </c>
      <c r="P62" s="84">
        <f t="shared" si="72"/>
        <v>1773226.275</v>
      </c>
      <c r="Q62" s="84">
        <f t="shared" si="72"/>
        <v>1333196.523</v>
      </c>
      <c r="R62" s="84">
        <f t="shared" si="72"/>
        <v>3546452.549</v>
      </c>
      <c r="S62" s="84">
        <f t="shared" si="72"/>
        <v>2230108.229</v>
      </c>
    </row>
    <row r="63">
      <c r="F63" s="57" t="s">
        <v>89</v>
      </c>
      <c r="G63" s="7" t="s">
        <v>77</v>
      </c>
      <c r="H63" s="84">
        <f t="shared" ref="H63:S63" si="73">H50*0.0025</f>
        <v>193687.7866</v>
      </c>
      <c r="I63" s="84">
        <f t="shared" si="73"/>
        <v>220739.1534</v>
      </c>
      <c r="J63" s="84">
        <f t="shared" si="73"/>
        <v>211433.4832</v>
      </c>
      <c r="K63" s="84">
        <f t="shared" si="73"/>
        <v>204724.7443</v>
      </c>
      <c r="L63" s="84">
        <f t="shared" si="73"/>
        <v>146943.0247</v>
      </c>
      <c r="M63" s="84">
        <f t="shared" si="73"/>
        <v>89810.53792</v>
      </c>
      <c r="N63" s="84">
        <f t="shared" si="73"/>
        <v>370928.3422</v>
      </c>
      <c r="O63" s="84">
        <f t="shared" si="73"/>
        <v>132010.6702</v>
      </c>
      <c r="P63" s="84">
        <f t="shared" si="73"/>
        <v>204941.1552</v>
      </c>
      <c r="Q63" s="84">
        <f t="shared" si="73"/>
        <v>154084.5855</v>
      </c>
      <c r="R63" s="84">
        <f t="shared" si="73"/>
        <v>409882.3104</v>
      </c>
      <c r="S63" s="84">
        <f t="shared" si="73"/>
        <v>257745.4233</v>
      </c>
    </row>
    <row r="64">
      <c r="F64" s="57" t="s">
        <v>90</v>
      </c>
      <c r="G64" s="7" t="s">
        <v>78</v>
      </c>
      <c r="H64" s="86">
        <f t="shared" ref="H64:S64" si="74">H46*0.0025</f>
        <v>390038.4058</v>
      </c>
      <c r="I64" s="86">
        <f t="shared" si="74"/>
        <v>444513.0435</v>
      </c>
      <c r="J64" s="86">
        <f t="shared" si="74"/>
        <v>425773.7681</v>
      </c>
      <c r="K64" s="86">
        <f t="shared" si="74"/>
        <v>412264.058</v>
      </c>
      <c r="L64" s="86">
        <f t="shared" si="74"/>
        <v>295906.2319</v>
      </c>
      <c r="M64" s="86">
        <f t="shared" si="74"/>
        <v>180855.7971</v>
      </c>
      <c r="N64" s="86">
        <f t="shared" si="74"/>
        <v>746956.2319</v>
      </c>
      <c r="O64" s="86">
        <f t="shared" si="74"/>
        <v>265836.2319</v>
      </c>
      <c r="P64" s="86">
        <f t="shared" si="74"/>
        <v>412699.8551</v>
      </c>
      <c r="Q64" s="86">
        <f t="shared" si="74"/>
        <v>310287.5362</v>
      </c>
      <c r="R64" s="86">
        <f t="shared" si="74"/>
        <v>825399.7101</v>
      </c>
      <c r="S64" s="86">
        <f t="shared" si="74"/>
        <v>519034.3478</v>
      </c>
    </row>
    <row r="65">
      <c r="F65" s="57" t="s">
        <v>91</v>
      </c>
      <c r="G65" s="7" t="s">
        <v>79</v>
      </c>
      <c r="H65" s="84">
        <f t="shared" ref="H65:S65" si="75">H47*0.0025</f>
        <v>303363.2045</v>
      </c>
      <c r="I65" s="84">
        <f t="shared" si="75"/>
        <v>345732.3671</v>
      </c>
      <c r="J65" s="84">
        <f t="shared" si="75"/>
        <v>331157.3752</v>
      </c>
      <c r="K65" s="84">
        <f t="shared" si="75"/>
        <v>320649.8229</v>
      </c>
      <c r="L65" s="84">
        <f t="shared" si="75"/>
        <v>230149.2915</v>
      </c>
      <c r="M65" s="84">
        <f t="shared" si="75"/>
        <v>140665.62</v>
      </c>
      <c r="N65" s="84">
        <f t="shared" si="75"/>
        <v>580965.9581</v>
      </c>
      <c r="O65" s="84">
        <f t="shared" si="75"/>
        <v>206761.5137</v>
      </c>
      <c r="P65" s="84">
        <f t="shared" si="75"/>
        <v>320988.7762</v>
      </c>
      <c r="Q65" s="84">
        <f t="shared" si="75"/>
        <v>241334.7504</v>
      </c>
      <c r="R65" s="84">
        <f t="shared" si="75"/>
        <v>641977.5523</v>
      </c>
      <c r="S65" s="84">
        <f t="shared" si="75"/>
        <v>403693.3816</v>
      </c>
    </row>
    <row r="66">
      <c r="F66" s="57" t="s">
        <v>92</v>
      </c>
      <c r="G66" s="7" t="s">
        <v>83</v>
      </c>
      <c r="H66" s="84">
        <f t="shared" ref="H66:S66" si="76">H48*0.001</f>
        <v>52194.2303</v>
      </c>
      <c r="I66" s="84">
        <f t="shared" si="76"/>
        <v>59483.92727</v>
      </c>
      <c r="J66" s="84">
        <f t="shared" si="76"/>
        <v>56976.27152</v>
      </c>
      <c r="K66" s="84">
        <f t="shared" si="76"/>
        <v>55168.42667</v>
      </c>
      <c r="L66" s="84">
        <f t="shared" si="76"/>
        <v>39597.63394</v>
      </c>
      <c r="M66" s="84">
        <f t="shared" si="76"/>
        <v>24201.79394</v>
      </c>
      <c r="N66" s="84">
        <f t="shared" si="76"/>
        <v>99956.32485</v>
      </c>
      <c r="O66" s="84">
        <f t="shared" si="76"/>
        <v>35573.72121</v>
      </c>
      <c r="P66" s="84">
        <f t="shared" si="76"/>
        <v>55226.74424</v>
      </c>
      <c r="Q66" s="84">
        <f t="shared" si="76"/>
        <v>41522.11394</v>
      </c>
      <c r="R66" s="84">
        <f t="shared" si="76"/>
        <v>110453.4885</v>
      </c>
      <c r="S66" s="84">
        <f t="shared" si="76"/>
        <v>69456.23273</v>
      </c>
    </row>
    <row r="67">
      <c r="F67" s="57" t="s">
        <v>93</v>
      </c>
      <c r="G67" s="7" t="s">
        <v>85</v>
      </c>
      <c r="H67" s="84">
        <f t="shared" ref="H67:S67" si="77">H54*0.001</f>
        <v>53693.98319</v>
      </c>
      <c r="I67" s="84">
        <f t="shared" si="77"/>
        <v>61193.14286</v>
      </c>
      <c r="J67" s="84">
        <f t="shared" si="77"/>
        <v>58613.43193</v>
      </c>
      <c r="K67" s="84">
        <f t="shared" si="77"/>
        <v>56753.64034</v>
      </c>
      <c r="L67" s="84">
        <f t="shared" si="77"/>
        <v>40735.43529</v>
      </c>
      <c r="M67" s="84">
        <f t="shared" si="77"/>
        <v>24897.21008</v>
      </c>
      <c r="N67" s="84">
        <f t="shared" si="77"/>
        <v>102828.4773</v>
      </c>
      <c r="O67" s="84">
        <f t="shared" si="77"/>
        <v>36595.89916</v>
      </c>
      <c r="P67" s="84">
        <f t="shared" si="77"/>
        <v>56813.63361</v>
      </c>
      <c r="Q67" s="84">
        <f t="shared" si="77"/>
        <v>42715.21345</v>
      </c>
      <c r="R67" s="84">
        <f t="shared" si="77"/>
        <v>113627.2672</v>
      </c>
      <c r="S67" s="84">
        <f t="shared" si="77"/>
        <v>71451.99328</v>
      </c>
    </row>
    <row r="68">
      <c r="F68" s="57" t="s">
        <v>94</v>
      </c>
      <c r="G68" s="7" t="s">
        <v>87</v>
      </c>
      <c r="H68" s="84">
        <f t="shared" ref="H68:S68" si="78">H55*0.001</f>
        <v>88711.79832</v>
      </c>
      <c r="I68" s="84">
        <f t="shared" si="78"/>
        <v>101101.7143</v>
      </c>
      <c r="J68" s="84">
        <f t="shared" si="78"/>
        <v>96839.58319</v>
      </c>
      <c r="K68" s="84">
        <f t="shared" si="78"/>
        <v>93766.88403</v>
      </c>
      <c r="L68" s="84">
        <f t="shared" si="78"/>
        <v>67302.02353</v>
      </c>
      <c r="M68" s="84">
        <f t="shared" si="78"/>
        <v>41134.52101</v>
      </c>
      <c r="N68" s="84">
        <f t="shared" si="78"/>
        <v>169890.5277</v>
      </c>
      <c r="O68" s="84">
        <f t="shared" si="78"/>
        <v>60462.78992</v>
      </c>
      <c r="P68" s="84">
        <f t="shared" si="78"/>
        <v>93866.00336</v>
      </c>
      <c r="Q68" s="84">
        <f t="shared" si="78"/>
        <v>70572.96134</v>
      </c>
      <c r="R68" s="84">
        <f t="shared" si="78"/>
        <v>187732.0067</v>
      </c>
      <c r="S68" s="84">
        <f t="shared" si="78"/>
        <v>118051.1193</v>
      </c>
    </row>
    <row r="69">
      <c r="G69" s="87" t="s">
        <v>80</v>
      </c>
      <c r="H69" s="88">
        <f t="shared" ref="H69:S69" si="79">SUM(H58:H68)</f>
        <v>8030426.389</v>
      </c>
      <c r="I69" s="88">
        <f t="shared" si="79"/>
        <v>9151995.18</v>
      </c>
      <c r="J69" s="88">
        <f t="shared" si="79"/>
        <v>8766176.86</v>
      </c>
      <c r="K69" s="88">
        <f t="shared" si="79"/>
        <v>8488029.048</v>
      </c>
      <c r="L69" s="88">
        <f t="shared" si="79"/>
        <v>6092361.245</v>
      </c>
      <c r="M69" s="88">
        <f t="shared" si="79"/>
        <v>3723611.069</v>
      </c>
      <c r="N69" s="88">
        <f t="shared" si="79"/>
        <v>15378944.56</v>
      </c>
      <c r="O69" s="88">
        <f t="shared" si="79"/>
        <v>5473258.824</v>
      </c>
      <c r="P69" s="88">
        <f t="shared" si="79"/>
        <v>8497006.59</v>
      </c>
      <c r="Q69" s="88">
        <f t="shared" si="79"/>
        <v>6388460.142</v>
      </c>
      <c r="R69" s="88">
        <f t="shared" si="79"/>
        <v>16994006.18</v>
      </c>
      <c r="S69" s="88">
        <f t="shared" si="79"/>
        <v>10686309.92</v>
      </c>
    </row>
    <row r="70"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</row>
    <row r="73">
      <c r="H73" s="85"/>
    </row>
    <row r="74" ht="15.0" customHeight="1"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ht="15.0" customHeight="1"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</row>
    <row r="76" ht="15.0" customHeight="1">
      <c r="H76" s="85"/>
    </row>
    <row r="79" ht="15.0" customHeight="1"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ht="15.0" customHeight="1"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</row>
    <row r="82" ht="15.0" customHeight="1">
      <c r="H82" s="85"/>
    </row>
    <row r="83" ht="15.0" customHeight="1"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ht="15.0" customHeight="1"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</row>
    <row r="85" ht="15.0" customHeight="1">
      <c r="H85" s="85"/>
    </row>
  </sheetData>
  <mergeCells count="1">
    <mergeCell ref="G1:L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3" width="20.5"/>
    <col customWidth="1" min="5" max="5" width="14.5"/>
    <col customWidth="1" min="6" max="6" width="23.5"/>
    <col customWidth="1" min="7" max="7" width="22.63"/>
    <col customWidth="1" min="8" max="8" width="13.88"/>
  </cols>
  <sheetData>
    <row r="1">
      <c r="A1" s="75"/>
    </row>
    <row r="2">
      <c r="A2" s="89" t="s">
        <v>99</v>
      </c>
      <c r="B2" s="7"/>
      <c r="C2" s="90"/>
      <c r="D2" s="32"/>
      <c r="E2" s="32"/>
      <c r="F2" s="32"/>
      <c r="G2" s="14"/>
    </row>
    <row r="3">
      <c r="A3" s="91"/>
      <c r="B3" s="27" t="s">
        <v>100</v>
      </c>
      <c r="C3" s="27" t="s">
        <v>101</v>
      </c>
      <c r="D3" s="27" t="s">
        <v>102</v>
      </c>
      <c r="E3" s="27" t="s">
        <v>103</v>
      </c>
      <c r="F3" s="27" t="s">
        <v>3</v>
      </c>
      <c r="G3" s="27" t="s">
        <v>104</v>
      </c>
    </row>
    <row r="4">
      <c r="A4" s="92"/>
      <c r="B4" s="28" t="s">
        <v>105</v>
      </c>
      <c r="C4" s="28">
        <v>2.0</v>
      </c>
      <c r="D4" s="28">
        <v>3.0</v>
      </c>
      <c r="E4" s="28">
        <v>26.0</v>
      </c>
      <c r="F4" s="28">
        <v>48000.0</v>
      </c>
      <c r="G4" s="84">
        <f>F4*C4*D4*E4</f>
        <v>7488000</v>
      </c>
    </row>
    <row r="5">
      <c r="A5" s="89" t="s">
        <v>106</v>
      </c>
      <c r="B5" s="7"/>
      <c r="C5" s="90"/>
      <c r="D5" s="32"/>
      <c r="E5" s="32"/>
      <c r="F5" s="32"/>
      <c r="G5" s="14"/>
    </row>
    <row r="6">
      <c r="A6" s="91"/>
      <c r="B6" s="27" t="s">
        <v>100</v>
      </c>
      <c r="C6" s="27" t="s">
        <v>101</v>
      </c>
      <c r="D6" s="27" t="s">
        <v>102</v>
      </c>
      <c r="E6" s="27" t="s">
        <v>103</v>
      </c>
      <c r="F6" s="27" t="s">
        <v>107</v>
      </c>
      <c r="G6" s="27" t="s">
        <v>108</v>
      </c>
    </row>
    <row r="7">
      <c r="A7" s="92"/>
      <c r="B7" s="28" t="s">
        <v>105</v>
      </c>
      <c r="C7" s="28">
        <v>2.0</v>
      </c>
      <c r="D7" s="28">
        <v>3.0</v>
      </c>
      <c r="E7" s="28">
        <v>26.0</v>
      </c>
      <c r="F7" s="28">
        <v>41800.0</v>
      </c>
      <c r="G7" s="84">
        <f>F7*C7*D7*E7</f>
        <v>6520800</v>
      </c>
    </row>
    <row r="8">
      <c r="A8" s="22" t="s">
        <v>109</v>
      </c>
      <c r="B8" s="7"/>
      <c r="C8" s="90"/>
      <c r="D8" s="32"/>
      <c r="E8" s="32"/>
      <c r="F8" s="32"/>
      <c r="G8" s="14"/>
    </row>
    <row r="9">
      <c r="A9" s="93" t="s">
        <v>110</v>
      </c>
      <c r="B9" s="7"/>
      <c r="C9" s="7"/>
      <c r="D9" s="7"/>
      <c r="E9" s="7"/>
      <c r="F9" s="7"/>
      <c r="G9" s="7"/>
    </row>
    <row r="10">
      <c r="A10" s="91"/>
      <c r="B10" s="27" t="s">
        <v>100</v>
      </c>
      <c r="C10" s="27" t="s">
        <v>101</v>
      </c>
      <c r="D10" s="27" t="s">
        <v>102</v>
      </c>
      <c r="E10" s="27" t="s">
        <v>103</v>
      </c>
      <c r="F10" s="27" t="s">
        <v>3</v>
      </c>
      <c r="G10" s="27" t="s">
        <v>108</v>
      </c>
    </row>
    <row r="11">
      <c r="A11" s="92"/>
      <c r="B11" s="28" t="s">
        <v>105</v>
      </c>
      <c r="C11" s="28">
        <v>2.0</v>
      </c>
      <c r="D11" s="28">
        <v>3.0</v>
      </c>
      <c r="E11" s="28">
        <v>26.0</v>
      </c>
      <c r="F11" s="28">
        <v>37150.0</v>
      </c>
      <c r="G11" s="84">
        <f>F11*C11*D11*E11</f>
        <v>5795400</v>
      </c>
    </row>
    <row r="12">
      <c r="A12" s="93" t="s">
        <v>56</v>
      </c>
      <c r="B12" s="7"/>
      <c r="C12" s="90"/>
      <c r="D12" s="32"/>
      <c r="E12" s="32"/>
      <c r="F12" s="32"/>
      <c r="G12" s="14"/>
    </row>
    <row r="13">
      <c r="A13" s="91"/>
      <c r="B13" s="27" t="s">
        <v>100</v>
      </c>
      <c r="C13" s="27" t="s">
        <v>101</v>
      </c>
      <c r="D13" s="27" t="s">
        <v>102</v>
      </c>
      <c r="E13" s="27" t="s">
        <v>103</v>
      </c>
      <c r="F13" s="27" t="s">
        <v>107</v>
      </c>
      <c r="G13" s="27" t="s">
        <v>108</v>
      </c>
    </row>
    <row r="14">
      <c r="A14" s="92"/>
      <c r="B14" s="28" t="s">
        <v>105</v>
      </c>
      <c r="C14" s="28">
        <v>2.0</v>
      </c>
      <c r="D14" s="28">
        <v>3.0</v>
      </c>
      <c r="E14" s="28">
        <v>26.0</v>
      </c>
      <c r="F14" s="28">
        <v>2880.0</v>
      </c>
      <c r="G14" s="84">
        <f>F14*C14*D14*E14</f>
        <v>449280</v>
      </c>
    </row>
    <row r="15">
      <c r="A15" s="22" t="s">
        <v>111</v>
      </c>
      <c r="B15" s="7"/>
      <c r="C15" s="90"/>
      <c r="D15" s="32"/>
      <c r="E15" s="32"/>
      <c r="F15" s="32"/>
      <c r="G15" s="14"/>
    </row>
    <row r="16">
      <c r="A16" s="93" t="s">
        <v>110</v>
      </c>
      <c r="B16" s="7"/>
      <c r="C16" s="90"/>
      <c r="D16" s="32"/>
      <c r="E16" s="32"/>
      <c r="F16" s="32"/>
      <c r="G16" s="14"/>
    </row>
    <row r="17">
      <c r="A17" s="91"/>
      <c r="B17" s="27" t="s">
        <v>100</v>
      </c>
      <c r="C17" s="27" t="s">
        <v>101</v>
      </c>
      <c r="D17" s="27" t="s">
        <v>102</v>
      </c>
      <c r="E17" s="27" t="s">
        <v>103</v>
      </c>
      <c r="F17" s="27" t="s">
        <v>107</v>
      </c>
      <c r="G17" s="27" t="s">
        <v>108</v>
      </c>
      <c r="H17" s="27" t="s">
        <v>112</v>
      </c>
    </row>
    <row r="18">
      <c r="A18" s="92"/>
      <c r="B18" s="28" t="s">
        <v>113</v>
      </c>
      <c r="C18" s="28">
        <v>2.0</v>
      </c>
      <c r="D18" s="28">
        <v>3.0</v>
      </c>
      <c r="E18" s="28">
        <v>26.0</v>
      </c>
      <c r="F18" s="28">
        <v>2400000.0</v>
      </c>
      <c r="G18" s="84">
        <f>F18*C18*D18*E18</f>
        <v>374400000</v>
      </c>
      <c r="H18" s="7">
        <f>G18*0.016</f>
        <v>5990400</v>
      </c>
    </row>
    <row r="19">
      <c r="A19" s="93" t="s">
        <v>114</v>
      </c>
      <c r="B19" s="7"/>
      <c r="C19" s="90"/>
      <c r="D19" s="32"/>
      <c r="E19" s="32"/>
      <c r="F19" s="32"/>
      <c r="G19" s="14"/>
    </row>
    <row r="20">
      <c r="A20" s="91"/>
      <c r="B20" s="27" t="s">
        <v>100</v>
      </c>
      <c r="C20" s="27" t="s">
        <v>101</v>
      </c>
      <c r="D20" s="27" t="s">
        <v>102</v>
      </c>
      <c r="E20" s="27" t="s">
        <v>103</v>
      </c>
      <c r="F20" s="27" t="s">
        <v>107</v>
      </c>
      <c r="G20" s="27" t="s">
        <v>108</v>
      </c>
    </row>
    <row r="21">
      <c r="A21" s="92"/>
      <c r="B21" s="28" t="s">
        <v>113</v>
      </c>
      <c r="C21" s="28">
        <v>2.0</v>
      </c>
      <c r="D21" s="28">
        <v>3.0</v>
      </c>
      <c r="E21" s="28">
        <v>26.0</v>
      </c>
      <c r="F21" s="28">
        <v>1200000.0</v>
      </c>
      <c r="G21" s="84">
        <f>F21*C21*D21*E21</f>
        <v>187200000</v>
      </c>
      <c r="H21" s="80">
        <f>G21*0.0025</f>
        <v>468000</v>
      </c>
    </row>
    <row r="22">
      <c r="A22" s="93" t="s">
        <v>115</v>
      </c>
      <c r="B22" s="7"/>
      <c r="C22" s="90"/>
      <c r="D22" s="32"/>
      <c r="E22" s="32"/>
      <c r="F22" s="32"/>
      <c r="G22" s="14"/>
    </row>
    <row r="23">
      <c r="A23" s="91"/>
      <c r="B23" s="27" t="s">
        <v>116</v>
      </c>
      <c r="C23" s="27" t="s">
        <v>117</v>
      </c>
      <c r="D23" s="27" t="s">
        <v>102</v>
      </c>
      <c r="E23" s="27" t="s">
        <v>103</v>
      </c>
      <c r="F23" s="27" t="s">
        <v>107</v>
      </c>
      <c r="G23" s="27" t="s">
        <v>104</v>
      </c>
      <c r="H23" s="27" t="s">
        <v>112</v>
      </c>
    </row>
    <row r="24">
      <c r="A24" s="92"/>
      <c r="B24" s="28" t="s">
        <v>118</v>
      </c>
      <c r="C24" s="28">
        <v>2.0</v>
      </c>
      <c r="D24" s="28">
        <v>3.0</v>
      </c>
      <c r="E24" s="28">
        <v>26.0</v>
      </c>
      <c r="F24" s="28">
        <v>1300000.0</v>
      </c>
      <c r="G24" s="84">
        <f>F24*C24*D24*E24</f>
        <v>202800000</v>
      </c>
      <c r="H24" s="7">
        <f>G24*0.001</f>
        <v>202800</v>
      </c>
    </row>
    <row r="25">
      <c r="A25" s="89" t="s">
        <v>119</v>
      </c>
      <c r="B25" s="7"/>
      <c r="C25" s="90"/>
      <c r="D25" s="32"/>
      <c r="E25" s="32"/>
      <c r="F25" s="32"/>
      <c r="G25" s="14"/>
    </row>
    <row r="26">
      <c r="A26" s="91"/>
      <c r="B26" s="27" t="s">
        <v>100</v>
      </c>
      <c r="C26" s="27" t="s">
        <v>120</v>
      </c>
      <c r="D26" s="27" t="s">
        <v>102</v>
      </c>
      <c r="E26" s="27" t="s">
        <v>103</v>
      </c>
      <c r="F26" s="27" t="s">
        <v>107</v>
      </c>
      <c r="G26" s="27" t="s">
        <v>108</v>
      </c>
    </row>
    <row r="27">
      <c r="A27" s="92"/>
      <c r="B27" s="28" t="s">
        <v>121</v>
      </c>
      <c r="C27" s="28">
        <v>710.0</v>
      </c>
      <c r="D27" s="28">
        <v>1.0</v>
      </c>
      <c r="E27" s="28">
        <v>26.0</v>
      </c>
      <c r="F27" s="28">
        <v>50.0</v>
      </c>
      <c r="G27" s="84">
        <f>C27*D27*E27*F27</f>
        <v>923000</v>
      </c>
    </row>
  </sheetData>
  <mergeCells count="17">
    <mergeCell ref="C12:G12"/>
    <mergeCell ref="C15:G15"/>
    <mergeCell ref="A16:A18"/>
    <mergeCell ref="C16:G16"/>
    <mergeCell ref="A19:A21"/>
    <mergeCell ref="C19:G19"/>
    <mergeCell ref="A22:A24"/>
    <mergeCell ref="C22:G22"/>
    <mergeCell ref="A25:A27"/>
    <mergeCell ref="C25:G25"/>
    <mergeCell ref="A2:A4"/>
    <mergeCell ref="C2:G2"/>
    <mergeCell ref="A5:A7"/>
    <mergeCell ref="C5:G5"/>
    <mergeCell ref="C8:G8"/>
    <mergeCell ref="A9:A11"/>
    <mergeCell ref="A12:A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7.38"/>
    <col customWidth="1" min="3" max="3" width="7.88"/>
    <col customWidth="1" min="4" max="4" width="13.38"/>
    <col customWidth="1" min="5" max="9" width="12.13"/>
    <col customWidth="1" min="10" max="10" width="11.13"/>
    <col customWidth="1" min="11" max="16" width="12.13"/>
    <col customWidth="1" min="17" max="26" width="10.63"/>
  </cols>
  <sheetData>
    <row r="1">
      <c r="A1" s="80"/>
      <c r="B1" s="80" t="s">
        <v>122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>
      <c r="A2" s="75" t="s">
        <v>97</v>
      </c>
      <c r="B2" s="75" t="s">
        <v>123</v>
      </c>
      <c r="C2" s="94" t="s">
        <v>124</v>
      </c>
      <c r="D2" s="95" t="s">
        <v>125</v>
      </c>
      <c r="E2" s="96">
        <v>45627.0</v>
      </c>
      <c r="F2" s="96">
        <v>45658.0</v>
      </c>
      <c r="G2" s="96">
        <v>45689.0</v>
      </c>
      <c r="H2" s="96">
        <v>45717.0</v>
      </c>
      <c r="I2" s="96">
        <v>45748.0</v>
      </c>
      <c r="J2" s="96">
        <v>45778.0</v>
      </c>
      <c r="K2" s="96">
        <v>45809.0</v>
      </c>
      <c r="L2" s="96">
        <v>45839.0</v>
      </c>
      <c r="M2" s="96">
        <v>45870.0</v>
      </c>
      <c r="N2" s="96">
        <v>45901.0</v>
      </c>
      <c r="O2" s="96">
        <v>45931.0</v>
      </c>
      <c r="P2" s="96">
        <v>45962.0</v>
      </c>
    </row>
    <row r="3">
      <c r="A3" s="80" t="s">
        <v>67</v>
      </c>
      <c r="B3" s="80" t="s">
        <v>60</v>
      </c>
      <c r="C3" s="97" t="s">
        <v>82</v>
      </c>
      <c r="D3" s="7" t="s">
        <v>68</v>
      </c>
      <c r="E3" s="98">
        <v>312030.7246</v>
      </c>
      <c r="F3" s="64">
        <v>355610.4348</v>
      </c>
      <c r="G3" s="64">
        <v>340619.0145</v>
      </c>
      <c r="H3" s="64">
        <v>329811.2464</v>
      </c>
      <c r="I3" s="64">
        <v>236724.9855</v>
      </c>
      <c r="J3" s="64">
        <v>144684.6377</v>
      </c>
      <c r="K3" s="64">
        <v>597564.9855</v>
      </c>
      <c r="L3" s="64">
        <v>212668.9855</v>
      </c>
      <c r="M3" s="64">
        <v>330159.8841</v>
      </c>
      <c r="N3" s="64">
        <v>248230.029</v>
      </c>
      <c r="O3" s="64">
        <v>660319.7681</v>
      </c>
      <c r="P3" s="64">
        <v>415227.4783</v>
      </c>
    </row>
    <row r="4">
      <c r="A4" s="80" t="s">
        <v>67</v>
      </c>
      <c r="B4" s="80" t="s">
        <v>60</v>
      </c>
      <c r="C4" s="97" t="s">
        <v>84</v>
      </c>
      <c r="D4" s="7" t="s">
        <v>70</v>
      </c>
      <c r="E4" s="98">
        <v>242690.5636</v>
      </c>
      <c r="F4" s="64">
        <v>276585.8937</v>
      </c>
      <c r="G4" s="64">
        <v>264925.9002</v>
      </c>
      <c r="H4" s="64">
        <v>256519.8583</v>
      </c>
      <c r="I4" s="64">
        <v>184119.4332</v>
      </c>
      <c r="J4" s="64">
        <v>112532.496</v>
      </c>
      <c r="K4" s="64">
        <v>464772.7665</v>
      </c>
      <c r="L4" s="64">
        <v>165409.211</v>
      </c>
      <c r="M4" s="64">
        <v>256791.0209</v>
      </c>
      <c r="N4" s="64">
        <v>193067.8003</v>
      </c>
      <c r="O4" s="64">
        <v>513582.0419</v>
      </c>
      <c r="P4" s="64">
        <v>322954.7053</v>
      </c>
    </row>
    <row r="5">
      <c r="A5" s="80" t="s">
        <v>67</v>
      </c>
      <c r="B5" s="80" t="s">
        <v>60</v>
      </c>
      <c r="C5" s="97" t="s">
        <v>86</v>
      </c>
      <c r="D5" s="7" t="s">
        <v>71</v>
      </c>
      <c r="E5" s="98">
        <v>108737.9798</v>
      </c>
      <c r="F5" s="64">
        <v>123924.8485</v>
      </c>
      <c r="G5" s="64">
        <v>118700.5657</v>
      </c>
      <c r="H5" s="64">
        <v>114934.2222</v>
      </c>
      <c r="I5" s="64">
        <v>82495.07071</v>
      </c>
      <c r="J5" s="64">
        <v>50420.40404</v>
      </c>
      <c r="K5" s="64">
        <v>208242.3434</v>
      </c>
      <c r="L5" s="64">
        <v>74111.91919</v>
      </c>
      <c r="M5" s="64">
        <v>115055.7172</v>
      </c>
      <c r="N5" s="64">
        <v>86504.40404</v>
      </c>
      <c r="O5" s="64">
        <v>230111.4343</v>
      </c>
      <c r="P5" s="64">
        <v>144700.4848</v>
      </c>
    </row>
    <row r="6">
      <c r="A6" s="80" t="s">
        <v>67</v>
      </c>
      <c r="B6" s="80" t="s">
        <v>60</v>
      </c>
      <c r="C6" s="97" t="s">
        <v>88</v>
      </c>
      <c r="D6" s="7" t="s">
        <v>73</v>
      </c>
      <c r="E6" s="98">
        <v>181842.2297</v>
      </c>
      <c r="F6" s="64">
        <v>207239.1892</v>
      </c>
      <c r="G6" s="64">
        <v>198502.6351</v>
      </c>
      <c r="H6" s="64">
        <v>192204.1892</v>
      </c>
      <c r="I6" s="64">
        <v>137956.2838</v>
      </c>
      <c r="J6" s="64">
        <v>84317.90541</v>
      </c>
      <c r="K6" s="64">
        <v>348243.1081</v>
      </c>
      <c r="L6" s="64">
        <v>123937.1622</v>
      </c>
      <c r="M6" s="64">
        <v>192407.3649</v>
      </c>
      <c r="N6" s="64">
        <v>144661.0811</v>
      </c>
      <c r="O6" s="64">
        <v>384814.7297</v>
      </c>
      <c r="P6" s="64">
        <v>241982.2297</v>
      </c>
    </row>
    <row r="7">
      <c r="A7" s="80" t="s">
        <v>67</v>
      </c>
      <c r="B7" s="80" t="s">
        <v>126</v>
      </c>
      <c r="C7" s="97" t="s">
        <v>89</v>
      </c>
      <c r="D7" s="7" t="s">
        <v>77</v>
      </c>
      <c r="E7" s="98">
        <v>129125.1911</v>
      </c>
      <c r="F7" s="64">
        <v>147159.4356</v>
      </c>
      <c r="G7" s="64">
        <v>140955.6555</v>
      </c>
      <c r="H7" s="64">
        <v>136483.1628</v>
      </c>
      <c r="I7" s="64">
        <v>97962.01646</v>
      </c>
      <c r="J7" s="64">
        <v>59873.69195</v>
      </c>
      <c r="K7" s="64">
        <v>247285.5614</v>
      </c>
      <c r="L7" s="64">
        <v>88007.11346</v>
      </c>
      <c r="M7" s="64">
        <v>136627.4368</v>
      </c>
      <c r="N7" s="64">
        <v>102723.057</v>
      </c>
      <c r="O7" s="64">
        <v>273254.8736</v>
      </c>
      <c r="P7" s="64">
        <v>171830.2822</v>
      </c>
    </row>
    <row r="8">
      <c r="A8" s="80" t="s">
        <v>67</v>
      </c>
      <c r="B8" s="80" t="s">
        <v>126</v>
      </c>
      <c r="C8" s="97" t="s">
        <v>90</v>
      </c>
      <c r="D8" s="7" t="s">
        <v>78</v>
      </c>
      <c r="E8" s="98">
        <v>44177.2552</v>
      </c>
      <c r="F8" s="64">
        <v>50347.26291</v>
      </c>
      <c r="G8" s="64">
        <v>48224.78026</v>
      </c>
      <c r="H8" s="64">
        <v>46694.61835</v>
      </c>
      <c r="I8" s="64">
        <v>33515.48188</v>
      </c>
      <c r="J8" s="64">
        <v>20484.4256</v>
      </c>
      <c r="K8" s="64">
        <v>84603.14572</v>
      </c>
      <c r="L8" s="64">
        <v>30109.63763</v>
      </c>
      <c r="M8" s="64">
        <v>46743.97841</v>
      </c>
      <c r="N8" s="64">
        <v>35144.36392</v>
      </c>
      <c r="O8" s="64">
        <v>93487.95682</v>
      </c>
      <c r="P8" s="64">
        <v>58787.83346</v>
      </c>
    </row>
    <row r="9">
      <c r="A9" s="80" t="s">
        <v>67</v>
      </c>
      <c r="B9" s="80" t="s">
        <v>126</v>
      </c>
      <c r="C9" s="97" t="s">
        <v>91</v>
      </c>
      <c r="D9" s="7" t="s">
        <v>79</v>
      </c>
      <c r="E9" s="98">
        <v>44177.2552</v>
      </c>
      <c r="F9" s="64">
        <v>50347.26291</v>
      </c>
      <c r="G9" s="64">
        <v>48224.78026</v>
      </c>
      <c r="H9" s="64">
        <v>46694.61835</v>
      </c>
      <c r="I9" s="64">
        <v>33515.48188</v>
      </c>
      <c r="J9" s="64">
        <v>20484.4256</v>
      </c>
      <c r="K9" s="64">
        <v>84603.14572</v>
      </c>
      <c r="L9" s="64">
        <v>30109.63763</v>
      </c>
      <c r="M9" s="64">
        <v>46743.97841</v>
      </c>
      <c r="N9" s="64">
        <v>35144.36392</v>
      </c>
      <c r="O9" s="64">
        <v>93487.95682</v>
      </c>
      <c r="P9" s="64">
        <v>58787.83346</v>
      </c>
    </row>
    <row r="10">
      <c r="A10" s="80" t="s">
        <v>67</v>
      </c>
      <c r="B10" s="80" t="s">
        <v>127</v>
      </c>
      <c r="C10" s="97" t="s">
        <v>92</v>
      </c>
      <c r="D10" s="7" t="s">
        <v>83</v>
      </c>
      <c r="E10" s="98">
        <v>83599.62963</v>
      </c>
      <c r="F10" s="64">
        <v>95275.55556</v>
      </c>
      <c r="G10" s="64">
        <v>91259.03704</v>
      </c>
      <c r="H10" s="64">
        <v>88363.40741</v>
      </c>
      <c r="I10" s="64">
        <v>63423.62963</v>
      </c>
      <c r="J10" s="64">
        <v>38764.07407</v>
      </c>
      <c r="K10" s="64">
        <v>160100.2963</v>
      </c>
      <c r="L10" s="64">
        <v>56978.51852</v>
      </c>
      <c r="M10" s="64">
        <v>88456.81481</v>
      </c>
      <c r="N10" s="64">
        <v>66506.07407</v>
      </c>
      <c r="O10" s="64">
        <v>176913.6296</v>
      </c>
      <c r="P10" s="64">
        <v>111248.2222</v>
      </c>
    </row>
    <row r="11">
      <c r="A11" s="80" t="s">
        <v>67</v>
      </c>
      <c r="B11" s="80" t="s">
        <v>127</v>
      </c>
      <c r="C11" s="97" t="s">
        <v>93</v>
      </c>
      <c r="D11" s="7" t="s">
        <v>85</v>
      </c>
      <c r="E11" s="98">
        <v>44744.98599</v>
      </c>
      <c r="F11" s="64">
        <v>50994.28571</v>
      </c>
      <c r="G11" s="64">
        <v>48844.52661</v>
      </c>
      <c r="H11" s="64">
        <v>47294.70028</v>
      </c>
      <c r="I11" s="64">
        <v>33946.19608</v>
      </c>
      <c r="J11" s="64">
        <v>20747.67507</v>
      </c>
      <c r="K11" s="64">
        <v>85690.39776</v>
      </c>
      <c r="L11" s="64">
        <v>30496.58263</v>
      </c>
      <c r="M11" s="64">
        <v>47344.69468</v>
      </c>
      <c r="N11" s="64">
        <v>35596.0112</v>
      </c>
      <c r="O11" s="64">
        <v>94689.38936</v>
      </c>
      <c r="P11" s="64">
        <v>59543.32773</v>
      </c>
    </row>
    <row r="12">
      <c r="A12" s="80" t="s">
        <v>67</v>
      </c>
      <c r="B12" s="80" t="s">
        <v>127</v>
      </c>
      <c r="C12" s="97" t="s">
        <v>94</v>
      </c>
      <c r="D12" s="7" t="s">
        <v>87</v>
      </c>
      <c r="E12" s="98">
        <v>73926.4986</v>
      </c>
      <c r="F12" s="64">
        <v>84251.42857</v>
      </c>
      <c r="G12" s="64">
        <v>80699.65266</v>
      </c>
      <c r="H12" s="64">
        <v>78139.07003</v>
      </c>
      <c r="I12" s="64">
        <v>56085.01961</v>
      </c>
      <c r="J12" s="64">
        <v>34278.76751</v>
      </c>
      <c r="K12" s="64">
        <v>141575.4398</v>
      </c>
      <c r="L12" s="64">
        <v>50385.65826</v>
      </c>
      <c r="M12" s="64">
        <v>78221.66947</v>
      </c>
      <c r="N12" s="64">
        <v>58810.80112</v>
      </c>
      <c r="O12" s="64">
        <v>156443.3389</v>
      </c>
      <c r="P12" s="64">
        <v>98375.93277</v>
      </c>
    </row>
    <row r="13">
      <c r="A13" s="80" t="s">
        <v>128</v>
      </c>
      <c r="B13" s="80" t="s">
        <v>60</v>
      </c>
      <c r="C13" s="97" t="s">
        <v>82</v>
      </c>
      <c r="D13" s="7" t="s">
        <v>68</v>
      </c>
      <c r="E13" s="64">
        <v>3120307.246</v>
      </c>
      <c r="F13" s="64">
        <v>3556104.348</v>
      </c>
      <c r="G13" s="64">
        <v>3406190.145</v>
      </c>
      <c r="H13" s="64">
        <v>3298112.464</v>
      </c>
      <c r="I13" s="64">
        <v>2367249.855</v>
      </c>
      <c r="J13" s="64">
        <v>1446846.377</v>
      </c>
      <c r="K13" s="64">
        <v>5975649.855</v>
      </c>
      <c r="L13" s="64">
        <v>2126689.855</v>
      </c>
      <c r="M13" s="64">
        <v>3301598.841</v>
      </c>
      <c r="N13" s="64">
        <v>2482300.29</v>
      </c>
      <c r="O13" s="64">
        <v>6603197.681</v>
      </c>
      <c r="P13" s="64">
        <v>4152274.783</v>
      </c>
    </row>
    <row r="14">
      <c r="A14" s="80" t="s">
        <v>128</v>
      </c>
      <c r="B14" s="80" t="s">
        <v>60</v>
      </c>
      <c r="C14" s="97" t="s">
        <v>84</v>
      </c>
      <c r="D14" s="7" t="s">
        <v>70</v>
      </c>
      <c r="E14" s="99">
        <v>1213452.818</v>
      </c>
      <c r="F14" s="99">
        <v>1382929.469</v>
      </c>
      <c r="G14" s="99">
        <v>1324629.501</v>
      </c>
      <c r="H14" s="99">
        <v>1282599.291</v>
      </c>
      <c r="I14" s="99">
        <v>920597.1659</v>
      </c>
      <c r="J14" s="99">
        <v>562662.4799</v>
      </c>
      <c r="K14" s="99">
        <v>2323863.833</v>
      </c>
      <c r="L14" s="99">
        <v>827046.0548</v>
      </c>
      <c r="M14" s="99">
        <v>1283955.105</v>
      </c>
      <c r="N14" s="99">
        <v>965339.0016</v>
      </c>
      <c r="O14" s="99">
        <v>2567910.209</v>
      </c>
      <c r="P14" s="99">
        <v>1614773.527</v>
      </c>
    </row>
    <row r="15">
      <c r="A15" s="80" t="s">
        <v>128</v>
      </c>
      <c r="B15" s="80" t="s">
        <v>60</v>
      </c>
      <c r="C15" s="97" t="s">
        <v>86</v>
      </c>
      <c r="D15" s="7" t="s">
        <v>71</v>
      </c>
      <c r="E15" s="98">
        <v>2609711.515</v>
      </c>
      <c r="F15" s="98">
        <v>2974196.364</v>
      </c>
      <c r="G15" s="98">
        <v>2848813.576</v>
      </c>
      <c r="H15" s="98">
        <v>2758421.333</v>
      </c>
      <c r="I15" s="98">
        <v>1979881.697</v>
      </c>
      <c r="J15" s="98">
        <v>1210089.697</v>
      </c>
      <c r="K15" s="98">
        <v>4997816.242</v>
      </c>
      <c r="L15" s="98">
        <v>1778686.061</v>
      </c>
      <c r="M15" s="98">
        <v>2761337.212</v>
      </c>
      <c r="N15" s="98">
        <v>2076105.697</v>
      </c>
      <c r="O15" s="98">
        <v>5522674.424</v>
      </c>
      <c r="P15" s="98">
        <v>3472811.636</v>
      </c>
    </row>
    <row r="16">
      <c r="A16" s="80" t="s">
        <v>128</v>
      </c>
      <c r="B16" s="80" t="s">
        <v>60</v>
      </c>
      <c r="C16" s="97" t="s">
        <v>88</v>
      </c>
      <c r="D16" s="7" t="s">
        <v>73</v>
      </c>
      <c r="E16" s="98">
        <v>4364213.514</v>
      </c>
      <c r="F16" s="98">
        <v>4973740.541</v>
      </c>
      <c r="G16" s="98">
        <v>4764063.243</v>
      </c>
      <c r="H16" s="98">
        <v>4612900.541</v>
      </c>
      <c r="I16" s="98">
        <v>3310950.811</v>
      </c>
      <c r="J16" s="98">
        <v>2023629.73</v>
      </c>
      <c r="K16" s="98">
        <v>8357834.595</v>
      </c>
      <c r="L16" s="98">
        <v>2974491.892</v>
      </c>
      <c r="M16" s="98">
        <v>4617776.757</v>
      </c>
      <c r="N16" s="98">
        <v>3471865.946</v>
      </c>
      <c r="O16" s="98">
        <v>9235553.514</v>
      </c>
      <c r="P16" s="98">
        <v>5807573.514</v>
      </c>
    </row>
    <row r="17">
      <c r="A17" s="80" t="s">
        <v>128</v>
      </c>
      <c r="B17" s="80" t="s">
        <v>126</v>
      </c>
      <c r="C17" s="97" t="s">
        <v>89</v>
      </c>
      <c r="D17" s="7" t="s">
        <v>77</v>
      </c>
      <c r="E17" s="98">
        <v>5165007.643</v>
      </c>
      <c r="F17" s="98">
        <v>5886377.425</v>
      </c>
      <c r="G17" s="98">
        <v>5638226.22</v>
      </c>
      <c r="H17" s="98">
        <v>5459326.514</v>
      </c>
      <c r="I17" s="98">
        <v>3918480.658</v>
      </c>
      <c r="J17" s="98">
        <v>2394947.678</v>
      </c>
      <c r="K17" s="98">
        <v>9891422.457</v>
      </c>
      <c r="L17" s="98">
        <v>3520284.539</v>
      </c>
      <c r="M17" s="98">
        <v>5465097.472</v>
      </c>
      <c r="N17" s="98">
        <v>4108922.281</v>
      </c>
      <c r="O17" s="98">
        <v>1.093019494E7</v>
      </c>
      <c r="P17" s="98">
        <v>6873211.287</v>
      </c>
    </row>
    <row r="18">
      <c r="A18" s="80" t="s">
        <v>128</v>
      </c>
      <c r="B18" s="80" t="s">
        <v>126</v>
      </c>
      <c r="C18" s="97" t="s">
        <v>90</v>
      </c>
      <c r="D18" s="7" t="s">
        <v>78</v>
      </c>
      <c r="E18" s="98">
        <v>1060254.125</v>
      </c>
      <c r="F18" s="98">
        <v>1208334.31</v>
      </c>
      <c r="G18" s="98">
        <v>1157394.726</v>
      </c>
      <c r="H18" s="98">
        <v>1120670.84</v>
      </c>
      <c r="I18" s="98">
        <v>804371.5652</v>
      </c>
      <c r="J18" s="98">
        <v>491626.2143</v>
      </c>
      <c r="K18" s="98">
        <v>2030475.497</v>
      </c>
      <c r="L18" s="98">
        <v>722631.303</v>
      </c>
      <c r="M18" s="98">
        <v>1121855.482</v>
      </c>
      <c r="N18" s="98">
        <v>843464.734</v>
      </c>
      <c r="O18" s="98">
        <v>2243710.964</v>
      </c>
      <c r="P18" s="98">
        <v>1410908.003</v>
      </c>
    </row>
    <row r="19">
      <c r="A19" s="80" t="s">
        <v>128</v>
      </c>
      <c r="B19" s="80" t="s">
        <v>126</v>
      </c>
      <c r="C19" s="97" t="s">
        <v>91</v>
      </c>
      <c r="D19" s="7" t="s">
        <v>79</v>
      </c>
      <c r="E19" s="98">
        <v>530127.0625</v>
      </c>
      <c r="F19" s="98">
        <v>604167.155</v>
      </c>
      <c r="G19" s="98">
        <v>578697.3631</v>
      </c>
      <c r="H19" s="98">
        <v>560335.4202</v>
      </c>
      <c r="I19" s="98">
        <v>402185.7826</v>
      </c>
      <c r="J19" s="98">
        <v>245813.1072</v>
      </c>
      <c r="K19" s="98">
        <v>1015237.749</v>
      </c>
      <c r="L19" s="98">
        <v>361315.6515</v>
      </c>
      <c r="M19" s="98">
        <v>560927.7409</v>
      </c>
      <c r="N19" s="98">
        <v>421732.367</v>
      </c>
      <c r="O19" s="98">
        <v>1121855.482</v>
      </c>
      <c r="P19" s="98">
        <v>705454.0015</v>
      </c>
    </row>
    <row r="20">
      <c r="A20" s="80" t="s">
        <v>128</v>
      </c>
      <c r="B20" s="80" t="s">
        <v>127</v>
      </c>
      <c r="C20" s="97" t="s">
        <v>92</v>
      </c>
      <c r="D20" s="7" t="s">
        <v>83</v>
      </c>
      <c r="E20" s="98">
        <v>5015977.778</v>
      </c>
      <c r="F20" s="98">
        <v>5716533.333</v>
      </c>
      <c r="G20" s="98">
        <v>5475542.222</v>
      </c>
      <c r="H20" s="98">
        <v>5301804.444</v>
      </c>
      <c r="I20" s="98">
        <v>3805417.778</v>
      </c>
      <c r="J20" s="98">
        <v>2325844.444</v>
      </c>
      <c r="K20" s="98">
        <v>9606017.778</v>
      </c>
      <c r="L20" s="98">
        <v>3418711.111</v>
      </c>
      <c r="M20" s="98">
        <v>5307408.889</v>
      </c>
      <c r="N20" s="98">
        <v>3990364.444</v>
      </c>
      <c r="O20" s="98">
        <v>1.061481778E7</v>
      </c>
      <c r="P20" s="98">
        <v>6674893.333</v>
      </c>
    </row>
    <row r="21" ht="15.75" customHeight="1">
      <c r="A21" s="80" t="s">
        <v>128</v>
      </c>
      <c r="B21" s="80" t="s">
        <v>127</v>
      </c>
      <c r="C21" s="97" t="s">
        <v>93</v>
      </c>
      <c r="D21" s="7" t="s">
        <v>85</v>
      </c>
      <c r="E21" s="98">
        <v>2684699.16</v>
      </c>
      <c r="F21" s="98">
        <v>3059657.143</v>
      </c>
      <c r="G21" s="98">
        <v>2930671.597</v>
      </c>
      <c r="H21" s="98">
        <v>2837682.017</v>
      </c>
      <c r="I21" s="98">
        <v>2036771.765</v>
      </c>
      <c r="J21" s="98">
        <v>1244860.504</v>
      </c>
      <c r="K21" s="98">
        <v>5141423.866</v>
      </c>
      <c r="L21" s="98">
        <v>1829794.958</v>
      </c>
      <c r="M21" s="98">
        <v>2840681.681</v>
      </c>
      <c r="N21" s="98">
        <v>2135760.672</v>
      </c>
      <c r="O21" s="98">
        <v>5681363.361</v>
      </c>
      <c r="P21" s="98">
        <v>3572599.664</v>
      </c>
    </row>
    <row r="22" ht="15.75" customHeight="1">
      <c r="A22" s="80" t="s">
        <v>128</v>
      </c>
      <c r="B22" s="80" t="s">
        <v>127</v>
      </c>
      <c r="C22" s="97" t="s">
        <v>94</v>
      </c>
      <c r="D22" s="7" t="s">
        <v>87</v>
      </c>
      <c r="E22" s="98">
        <v>3696324.93</v>
      </c>
      <c r="F22" s="98">
        <v>4212571.429</v>
      </c>
      <c r="G22" s="98">
        <v>4034982.633</v>
      </c>
      <c r="H22" s="98">
        <v>3906953.501</v>
      </c>
      <c r="I22" s="98">
        <v>2804250.98</v>
      </c>
      <c r="J22" s="98">
        <v>1713938.375</v>
      </c>
      <c r="K22" s="98">
        <v>7078771.989</v>
      </c>
      <c r="L22" s="98">
        <v>2519282.913</v>
      </c>
      <c r="M22" s="98">
        <v>3911083.473</v>
      </c>
      <c r="N22" s="98">
        <v>2940540.056</v>
      </c>
      <c r="O22" s="98">
        <v>7822166.947</v>
      </c>
      <c r="P22" s="98">
        <v>4918796.639</v>
      </c>
    </row>
    <row r="23" ht="15.75" customHeight="1">
      <c r="A23" s="80" t="s">
        <v>118</v>
      </c>
      <c r="B23" s="80" t="s">
        <v>60</v>
      </c>
      <c r="C23" s="97" t="s">
        <v>82</v>
      </c>
      <c r="D23" s="7" t="s">
        <v>68</v>
      </c>
      <c r="E23" s="98">
        <v>1.560153623E8</v>
      </c>
      <c r="F23" s="98">
        <v>1.778052174E8</v>
      </c>
      <c r="G23" s="98">
        <v>1.703095072E8</v>
      </c>
      <c r="H23" s="98">
        <v>1.649056232E8</v>
      </c>
      <c r="I23" s="98">
        <v>1.183624928E8</v>
      </c>
      <c r="J23" s="98">
        <v>7.234231884E7</v>
      </c>
      <c r="K23" s="98">
        <v>2.987824928E8</v>
      </c>
      <c r="L23" s="98">
        <v>1.063344928E8</v>
      </c>
      <c r="M23" s="98">
        <v>1.65079942E8</v>
      </c>
      <c r="N23" s="98">
        <v>1.241150145E8</v>
      </c>
      <c r="O23" s="98">
        <v>3.301598841E8</v>
      </c>
      <c r="P23" s="98">
        <v>2.076137391E8</v>
      </c>
    </row>
    <row r="24" ht="15.75" customHeight="1">
      <c r="A24" s="80" t="s">
        <v>118</v>
      </c>
      <c r="B24" s="80" t="s">
        <v>60</v>
      </c>
      <c r="C24" s="97" t="s">
        <v>84</v>
      </c>
      <c r="D24" s="7" t="s">
        <v>70</v>
      </c>
      <c r="E24" s="64">
        <v>1.213452818E8</v>
      </c>
      <c r="F24" s="64">
        <v>1.382929469E8</v>
      </c>
      <c r="G24" s="64">
        <v>1.324629501E8</v>
      </c>
      <c r="H24" s="64">
        <v>1.282599291E8</v>
      </c>
      <c r="I24" s="64">
        <v>9.205971659E7</v>
      </c>
      <c r="J24" s="64">
        <v>5.626624799E7</v>
      </c>
      <c r="K24" s="64">
        <v>2.323863833E8</v>
      </c>
      <c r="L24" s="64">
        <v>8.270460548E7</v>
      </c>
      <c r="M24" s="64">
        <v>1.283955105E8</v>
      </c>
      <c r="N24" s="64">
        <v>9.653390016E7</v>
      </c>
      <c r="O24" s="64">
        <v>2.567910209E8</v>
      </c>
      <c r="P24" s="64">
        <v>1.614773527E8</v>
      </c>
    </row>
    <row r="25" ht="15.75" customHeight="1">
      <c r="A25" s="80" t="s">
        <v>118</v>
      </c>
      <c r="B25" s="80" t="s">
        <v>60</v>
      </c>
      <c r="C25" s="97" t="s">
        <v>86</v>
      </c>
      <c r="D25" s="7" t="s">
        <v>71</v>
      </c>
      <c r="E25" s="64">
        <v>5.21942303E7</v>
      </c>
      <c r="F25" s="64">
        <v>5.948392727E7</v>
      </c>
      <c r="G25" s="64">
        <v>5.697627152E7</v>
      </c>
      <c r="H25" s="64">
        <v>5.516842667E7</v>
      </c>
      <c r="I25" s="64">
        <v>3.959763394E7</v>
      </c>
      <c r="J25" s="64">
        <v>2.420179394E7</v>
      </c>
      <c r="K25" s="64">
        <v>9.995632485E7</v>
      </c>
      <c r="L25" s="64">
        <v>3.557372121E7</v>
      </c>
      <c r="M25" s="64">
        <v>5.522674424E7</v>
      </c>
      <c r="N25" s="64">
        <v>4.152211394E7</v>
      </c>
      <c r="O25" s="64">
        <v>1.104534885E8</v>
      </c>
      <c r="P25" s="64">
        <v>6.945623273E7</v>
      </c>
    </row>
    <row r="26" ht="15.75" customHeight="1">
      <c r="A26" s="80" t="s">
        <v>118</v>
      </c>
      <c r="B26" s="80" t="s">
        <v>60</v>
      </c>
      <c r="C26" s="97" t="s">
        <v>88</v>
      </c>
      <c r="D26" s="7" t="s">
        <v>73</v>
      </c>
      <c r="E26" s="64">
        <v>1.047411243E8</v>
      </c>
      <c r="F26" s="64">
        <v>1.19369773E8</v>
      </c>
      <c r="G26" s="64">
        <v>1.143375178E8</v>
      </c>
      <c r="H26" s="64">
        <v>1.10709613E8</v>
      </c>
      <c r="I26" s="64">
        <v>7.946281946E7</v>
      </c>
      <c r="J26" s="64">
        <v>4.856711351E7</v>
      </c>
      <c r="K26" s="64">
        <v>2.005880303E8</v>
      </c>
      <c r="L26" s="64">
        <v>7.138780541E7</v>
      </c>
      <c r="M26" s="64">
        <v>1.108266422E8</v>
      </c>
      <c r="N26" s="64">
        <v>8.33247827E7</v>
      </c>
      <c r="O26" s="64">
        <v>2.216532843E8</v>
      </c>
      <c r="P26" s="64">
        <v>1.393817643E8</v>
      </c>
    </row>
    <row r="27" ht="15.75" customHeight="1">
      <c r="A27" s="80" t="s">
        <v>118</v>
      </c>
      <c r="B27" s="80" t="s">
        <v>126</v>
      </c>
      <c r="C27" s="97" t="s">
        <v>89</v>
      </c>
      <c r="D27" s="7" t="s">
        <v>77</v>
      </c>
      <c r="E27" s="64">
        <v>7.747511464E7</v>
      </c>
      <c r="F27" s="64">
        <v>8.829566138E7</v>
      </c>
      <c r="G27" s="64">
        <v>8.45733933E7</v>
      </c>
      <c r="H27" s="64">
        <v>8.188989771E7</v>
      </c>
      <c r="I27" s="64">
        <v>5.877720988E7</v>
      </c>
      <c r="J27" s="64">
        <v>3.592421517E7</v>
      </c>
      <c r="K27" s="64">
        <v>1.483713369E8</v>
      </c>
      <c r="L27" s="64">
        <v>5.280426808E7</v>
      </c>
      <c r="M27" s="64">
        <v>8.197646208E7</v>
      </c>
      <c r="N27" s="64">
        <v>6.163383422E7</v>
      </c>
      <c r="O27" s="64">
        <v>1.639529242E8</v>
      </c>
      <c r="P27" s="64">
        <v>1.030981693E8</v>
      </c>
    </row>
    <row r="28" ht="15.75" customHeight="1">
      <c r="A28" s="80" t="s">
        <v>118</v>
      </c>
      <c r="B28" s="80" t="s">
        <v>126</v>
      </c>
      <c r="C28" s="97" t="s">
        <v>90</v>
      </c>
      <c r="D28" s="7" t="s">
        <v>78</v>
      </c>
      <c r="E28" s="64">
        <v>5.301270625E7</v>
      </c>
      <c r="F28" s="64">
        <v>6.04167155E7</v>
      </c>
      <c r="G28" s="64">
        <v>5.786973631E7</v>
      </c>
      <c r="H28" s="64">
        <v>5.603354202E7</v>
      </c>
      <c r="I28" s="64">
        <v>4.021857826E7</v>
      </c>
      <c r="J28" s="64">
        <v>2.458131072E7</v>
      </c>
      <c r="K28" s="64">
        <v>1.015237749E8</v>
      </c>
      <c r="L28" s="64">
        <v>3.613156515E7</v>
      </c>
      <c r="M28" s="64">
        <v>5.609277409E7</v>
      </c>
      <c r="N28" s="64">
        <v>4.21732367E7</v>
      </c>
      <c r="O28" s="64">
        <v>1.121855482E8</v>
      </c>
      <c r="P28" s="64">
        <v>7.054540015E7</v>
      </c>
    </row>
    <row r="29" ht="15.75" customHeight="1">
      <c r="A29" s="80" t="s">
        <v>118</v>
      </c>
      <c r="B29" s="80" t="s">
        <v>126</v>
      </c>
      <c r="C29" s="97" t="s">
        <v>91</v>
      </c>
      <c r="D29" s="7" t="s">
        <v>79</v>
      </c>
      <c r="E29" s="64">
        <v>5.301270625E7</v>
      </c>
      <c r="F29" s="64">
        <v>6.04167155E7</v>
      </c>
      <c r="G29" s="64">
        <v>5.786973631E7</v>
      </c>
      <c r="H29" s="64">
        <v>5.603354202E7</v>
      </c>
      <c r="I29" s="64">
        <v>4.021857826E7</v>
      </c>
      <c r="J29" s="64">
        <v>2.458131072E7</v>
      </c>
      <c r="K29" s="64">
        <v>1.015237749E8</v>
      </c>
      <c r="L29" s="64">
        <v>3.613156515E7</v>
      </c>
      <c r="M29" s="64">
        <v>5.609277409E7</v>
      </c>
      <c r="N29" s="64">
        <v>4.21732367E7</v>
      </c>
      <c r="O29" s="64">
        <v>1.121855482E8</v>
      </c>
      <c r="P29" s="64">
        <v>7.054540015E7</v>
      </c>
    </row>
    <row r="30" ht="15.75" customHeight="1">
      <c r="A30" s="80" t="s">
        <v>118</v>
      </c>
      <c r="B30" s="80" t="s">
        <v>127</v>
      </c>
      <c r="C30" s="97" t="s">
        <v>92</v>
      </c>
      <c r="D30" s="7" t="s">
        <v>83</v>
      </c>
      <c r="E30" s="64">
        <v>7.523966667E7</v>
      </c>
      <c r="F30" s="64">
        <v>8.5748E7</v>
      </c>
      <c r="G30" s="64">
        <v>8.213313333E7</v>
      </c>
      <c r="H30" s="64">
        <v>7.952706667E7</v>
      </c>
      <c r="I30" s="64">
        <v>5.708126667E7</v>
      </c>
      <c r="J30" s="64">
        <v>3.488766667E7</v>
      </c>
      <c r="K30" s="64">
        <v>1.440902667E8</v>
      </c>
      <c r="L30" s="64">
        <v>5.128066667E7</v>
      </c>
      <c r="M30" s="64">
        <v>7.961113333E7</v>
      </c>
      <c r="N30" s="64">
        <v>5.985546667E7</v>
      </c>
      <c r="O30" s="64">
        <v>1.592222667E8</v>
      </c>
      <c r="P30" s="64">
        <v>1.001234E8</v>
      </c>
    </row>
    <row r="31" ht="15.75" customHeight="1">
      <c r="A31" s="80" t="s">
        <v>118</v>
      </c>
      <c r="B31" s="80" t="s">
        <v>127</v>
      </c>
      <c r="C31" s="97" t="s">
        <v>93</v>
      </c>
      <c r="D31" s="7" t="s">
        <v>85</v>
      </c>
      <c r="E31" s="64">
        <v>5.369398319E7</v>
      </c>
      <c r="F31" s="64">
        <v>6.119314286E7</v>
      </c>
      <c r="G31" s="64">
        <v>5.861343193E7</v>
      </c>
      <c r="H31" s="64">
        <v>5.675364034E7</v>
      </c>
      <c r="I31" s="64">
        <v>4.073543529E7</v>
      </c>
      <c r="J31" s="64">
        <v>2.489721008E7</v>
      </c>
      <c r="K31" s="64">
        <v>1.028284773E8</v>
      </c>
      <c r="L31" s="64">
        <v>3.659589916E7</v>
      </c>
      <c r="M31" s="64">
        <v>5.681363361E7</v>
      </c>
      <c r="N31" s="64">
        <v>4.271521345E7</v>
      </c>
      <c r="O31" s="64">
        <v>1.136272672E8</v>
      </c>
      <c r="P31" s="64">
        <v>7.145199328E7</v>
      </c>
    </row>
    <row r="32" ht="15.75" customHeight="1">
      <c r="A32" s="80" t="s">
        <v>118</v>
      </c>
      <c r="B32" s="80" t="s">
        <v>127</v>
      </c>
      <c r="C32" s="97" t="s">
        <v>94</v>
      </c>
      <c r="D32" s="7" t="s">
        <v>87</v>
      </c>
      <c r="E32" s="64">
        <v>8.871179832E7</v>
      </c>
      <c r="F32" s="64">
        <v>1.011017143E8</v>
      </c>
      <c r="G32" s="64">
        <v>9.683958319E7</v>
      </c>
      <c r="H32" s="64">
        <v>9.376688403E7</v>
      </c>
      <c r="I32" s="64">
        <v>6.730202353E7</v>
      </c>
      <c r="J32" s="64">
        <v>4.113452101E7</v>
      </c>
      <c r="K32" s="64">
        <v>1.698905277E8</v>
      </c>
      <c r="L32" s="64">
        <v>6.046278992E7</v>
      </c>
      <c r="M32" s="64">
        <v>9.386600336E7</v>
      </c>
      <c r="N32" s="64">
        <v>7.057296134E7</v>
      </c>
      <c r="O32" s="64">
        <v>1.877320067E8</v>
      </c>
      <c r="P32" s="64">
        <v>1.180511193E8</v>
      </c>
    </row>
    <row r="33" ht="15.75" customHeight="1">
      <c r="A33" s="80" t="s">
        <v>129</v>
      </c>
      <c r="B33" s="80" t="s">
        <v>60</v>
      </c>
      <c r="C33" s="97" t="s">
        <v>82</v>
      </c>
      <c r="D33" s="7" t="s">
        <v>68</v>
      </c>
      <c r="E33" s="64">
        <v>2496245.797</v>
      </c>
      <c r="F33" s="64">
        <v>2844883.478</v>
      </c>
      <c r="G33" s="64">
        <v>2724952.116</v>
      </c>
      <c r="H33" s="64">
        <v>2638489.971</v>
      </c>
      <c r="I33" s="64">
        <v>1893799.884</v>
      </c>
      <c r="J33" s="64">
        <v>1157477.101</v>
      </c>
      <c r="K33" s="64">
        <v>4780519.884</v>
      </c>
      <c r="L33" s="64">
        <v>1701351.884</v>
      </c>
      <c r="M33" s="64">
        <v>2641279.072</v>
      </c>
      <c r="N33" s="64">
        <v>1985840.232</v>
      </c>
      <c r="O33" s="64">
        <v>5282558.145</v>
      </c>
      <c r="P33" s="64">
        <v>3321819.826</v>
      </c>
    </row>
    <row r="34" ht="15.75" customHeight="1">
      <c r="A34" s="80" t="s">
        <v>129</v>
      </c>
      <c r="B34" s="80" t="s">
        <v>60</v>
      </c>
      <c r="C34" s="97" t="s">
        <v>84</v>
      </c>
      <c r="D34" s="7" t="s">
        <v>70</v>
      </c>
      <c r="E34" s="64">
        <v>1941524.509</v>
      </c>
      <c r="F34" s="64">
        <v>2212687.15</v>
      </c>
      <c r="G34" s="64">
        <v>2119407.201</v>
      </c>
      <c r="H34" s="64">
        <v>2052158.866</v>
      </c>
      <c r="I34" s="64">
        <v>1472955.465</v>
      </c>
      <c r="J34" s="64">
        <v>900259.9678</v>
      </c>
      <c r="K34" s="64">
        <v>3718182.132</v>
      </c>
      <c r="L34" s="64">
        <v>1323273.688</v>
      </c>
      <c r="M34" s="64">
        <v>2054328.167</v>
      </c>
      <c r="N34" s="64">
        <v>1544542.403</v>
      </c>
      <c r="O34" s="64">
        <v>4108656.335</v>
      </c>
      <c r="P34" s="64">
        <v>2583637.643</v>
      </c>
    </row>
    <row r="35" ht="15.75" customHeight="1">
      <c r="A35" s="80" t="s">
        <v>129</v>
      </c>
      <c r="B35" s="80" t="s">
        <v>60</v>
      </c>
      <c r="C35" s="97" t="s">
        <v>86</v>
      </c>
      <c r="D35" s="7" t="s">
        <v>71</v>
      </c>
      <c r="E35" s="64">
        <v>835107.6848</v>
      </c>
      <c r="F35" s="64">
        <v>951742.8364</v>
      </c>
      <c r="G35" s="64">
        <v>911620.3442</v>
      </c>
      <c r="H35" s="64">
        <v>882694.8267</v>
      </c>
      <c r="I35" s="64">
        <v>633562.143</v>
      </c>
      <c r="J35" s="64">
        <v>387228.703</v>
      </c>
      <c r="K35" s="64">
        <v>1599301.198</v>
      </c>
      <c r="L35" s="64">
        <v>569179.5394</v>
      </c>
      <c r="M35" s="64">
        <v>883627.9079</v>
      </c>
      <c r="N35" s="64">
        <v>664353.823</v>
      </c>
      <c r="O35" s="64">
        <v>1767255.816</v>
      </c>
      <c r="P35" s="64">
        <v>1111299.724</v>
      </c>
    </row>
    <row r="36" ht="15.75" customHeight="1">
      <c r="A36" s="80" t="s">
        <v>129</v>
      </c>
      <c r="B36" s="80" t="s">
        <v>60</v>
      </c>
      <c r="C36" s="97" t="s">
        <v>88</v>
      </c>
      <c r="D36" s="7" t="s">
        <v>73</v>
      </c>
      <c r="E36" s="64">
        <v>1675857.989</v>
      </c>
      <c r="F36" s="64">
        <v>1909916.368</v>
      </c>
      <c r="G36" s="64">
        <v>1829400.285</v>
      </c>
      <c r="H36" s="64">
        <v>1771353.808</v>
      </c>
      <c r="I36" s="64">
        <v>1271405.111</v>
      </c>
      <c r="J36" s="64">
        <v>777073.8162</v>
      </c>
      <c r="K36" s="64">
        <v>3209408.484</v>
      </c>
      <c r="L36" s="64">
        <v>1142204.886</v>
      </c>
      <c r="M36" s="64">
        <v>1773226.275</v>
      </c>
      <c r="N36" s="64">
        <v>1333196.523</v>
      </c>
      <c r="O36" s="64">
        <v>3546452.549</v>
      </c>
      <c r="P36" s="64">
        <v>2230108.229</v>
      </c>
    </row>
    <row r="37" ht="15.75" customHeight="1">
      <c r="A37" s="80" t="s">
        <v>129</v>
      </c>
      <c r="B37" s="80" t="s">
        <v>126</v>
      </c>
      <c r="C37" s="97" t="s">
        <v>89</v>
      </c>
      <c r="D37" s="7" t="s">
        <v>77</v>
      </c>
      <c r="E37" s="64">
        <v>193687.7866</v>
      </c>
      <c r="F37" s="64">
        <v>220739.1534</v>
      </c>
      <c r="G37" s="64">
        <v>211433.4832</v>
      </c>
      <c r="H37" s="64">
        <v>204724.7443</v>
      </c>
      <c r="I37" s="64">
        <v>146943.0247</v>
      </c>
      <c r="J37" s="64">
        <v>89810.53792</v>
      </c>
      <c r="K37" s="64">
        <v>370928.3422</v>
      </c>
      <c r="L37" s="64">
        <v>132010.6702</v>
      </c>
      <c r="M37" s="64">
        <v>204941.1552</v>
      </c>
      <c r="N37" s="64">
        <v>154084.5855</v>
      </c>
      <c r="O37" s="64">
        <v>409882.3104</v>
      </c>
      <c r="P37" s="64">
        <v>257745.4233</v>
      </c>
    </row>
    <row r="38" ht="15.75" customHeight="1">
      <c r="A38" s="80" t="s">
        <v>129</v>
      </c>
      <c r="B38" s="80" t="s">
        <v>126</v>
      </c>
      <c r="C38" s="97" t="s">
        <v>90</v>
      </c>
      <c r="D38" s="7" t="s">
        <v>78</v>
      </c>
      <c r="E38" s="100">
        <v>390038.4058</v>
      </c>
      <c r="F38" s="100">
        <v>444513.0435</v>
      </c>
      <c r="G38" s="100">
        <v>425773.7681</v>
      </c>
      <c r="H38" s="100">
        <v>412264.058</v>
      </c>
      <c r="I38" s="100">
        <v>295906.2319</v>
      </c>
      <c r="J38" s="100">
        <v>180855.7971</v>
      </c>
      <c r="K38" s="100">
        <v>746956.2319</v>
      </c>
      <c r="L38" s="100">
        <v>265836.2319</v>
      </c>
      <c r="M38" s="100">
        <v>412699.8551</v>
      </c>
      <c r="N38" s="100">
        <v>310287.5362</v>
      </c>
      <c r="O38" s="100">
        <v>825399.7101</v>
      </c>
      <c r="P38" s="100">
        <v>519034.3478</v>
      </c>
    </row>
    <row r="39" ht="15.75" customHeight="1">
      <c r="A39" s="80" t="s">
        <v>129</v>
      </c>
      <c r="B39" s="80" t="s">
        <v>126</v>
      </c>
      <c r="C39" s="97" t="s">
        <v>91</v>
      </c>
      <c r="D39" s="7" t="s">
        <v>79</v>
      </c>
      <c r="E39" s="64">
        <v>303363.2045</v>
      </c>
      <c r="F39" s="64">
        <v>345732.3671</v>
      </c>
      <c r="G39" s="64">
        <v>331157.3752</v>
      </c>
      <c r="H39" s="64">
        <v>320649.8229</v>
      </c>
      <c r="I39" s="64">
        <v>230149.2915</v>
      </c>
      <c r="J39" s="64">
        <v>140665.62</v>
      </c>
      <c r="K39" s="64">
        <v>580965.9581</v>
      </c>
      <c r="L39" s="64">
        <v>206761.5137</v>
      </c>
      <c r="M39" s="64">
        <v>320988.7762</v>
      </c>
      <c r="N39" s="64">
        <v>241334.7504</v>
      </c>
      <c r="O39" s="64">
        <v>641977.5523</v>
      </c>
      <c r="P39" s="64">
        <v>403693.3816</v>
      </c>
    </row>
    <row r="40" ht="15.75" customHeight="1">
      <c r="A40" s="80" t="s">
        <v>129</v>
      </c>
      <c r="B40" s="80" t="s">
        <v>127</v>
      </c>
      <c r="C40" s="97" t="s">
        <v>92</v>
      </c>
      <c r="D40" s="7" t="s">
        <v>83</v>
      </c>
      <c r="E40" s="64">
        <v>52194.2303</v>
      </c>
      <c r="F40" s="64">
        <v>59483.92727</v>
      </c>
      <c r="G40" s="64">
        <v>56976.27152</v>
      </c>
      <c r="H40" s="64">
        <v>55168.42667</v>
      </c>
      <c r="I40" s="64">
        <v>39597.63394</v>
      </c>
      <c r="J40" s="64">
        <v>24201.79394</v>
      </c>
      <c r="K40" s="64">
        <v>99956.32485</v>
      </c>
      <c r="L40" s="64">
        <v>35573.72121</v>
      </c>
      <c r="M40" s="64">
        <v>55226.74424</v>
      </c>
      <c r="N40" s="64">
        <v>41522.11394</v>
      </c>
      <c r="O40" s="64">
        <v>110453.4885</v>
      </c>
      <c r="P40" s="64">
        <v>69456.23273</v>
      </c>
    </row>
    <row r="41" ht="15.75" customHeight="1">
      <c r="A41" s="80" t="s">
        <v>129</v>
      </c>
      <c r="B41" s="80" t="s">
        <v>127</v>
      </c>
      <c r="C41" s="97" t="s">
        <v>93</v>
      </c>
      <c r="D41" s="7" t="s">
        <v>85</v>
      </c>
      <c r="E41" s="64">
        <v>53693.98319</v>
      </c>
      <c r="F41" s="64">
        <v>61193.14286</v>
      </c>
      <c r="G41" s="64">
        <v>58613.43193</v>
      </c>
      <c r="H41" s="64">
        <v>56753.64034</v>
      </c>
      <c r="I41" s="64">
        <v>40735.43529</v>
      </c>
      <c r="J41" s="64">
        <v>24897.21008</v>
      </c>
      <c r="K41" s="64">
        <v>102828.4773</v>
      </c>
      <c r="L41" s="64">
        <v>36595.89916</v>
      </c>
      <c r="M41" s="64">
        <v>56813.63361</v>
      </c>
      <c r="N41" s="64">
        <v>42715.21345</v>
      </c>
      <c r="O41" s="64">
        <v>113627.2672</v>
      </c>
      <c r="P41" s="64">
        <v>71451.99328</v>
      </c>
    </row>
    <row r="42" ht="15.75" customHeight="1">
      <c r="A42" s="80" t="s">
        <v>129</v>
      </c>
      <c r="B42" s="80" t="s">
        <v>127</v>
      </c>
      <c r="C42" s="97" t="s">
        <v>94</v>
      </c>
      <c r="D42" s="7" t="s">
        <v>87</v>
      </c>
      <c r="E42" s="64">
        <v>88711.79832</v>
      </c>
      <c r="F42" s="64">
        <v>101101.7143</v>
      </c>
      <c r="G42" s="64">
        <v>96839.58319</v>
      </c>
      <c r="H42" s="64">
        <v>93766.88403</v>
      </c>
      <c r="I42" s="64">
        <v>67302.02353</v>
      </c>
      <c r="J42" s="64">
        <v>41134.52101</v>
      </c>
      <c r="K42" s="64">
        <v>169890.5277</v>
      </c>
      <c r="L42" s="64">
        <v>60462.78992</v>
      </c>
      <c r="M42" s="64">
        <v>93866.00336</v>
      </c>
      <c r="N42" s="64">
        <v>70572.96134</v>
      </c>
      <c r="O42" s="64">
        <v>187732.0067</v>
      </c>
      <c r="P42" s="64">
        <v>118051.1193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13.75"/>
    <col customWidth="1" min="3" max="3" width="13.5"/>
    <col customWidth="1" min="4" max="5" width="13.63"/>
    <col customWidth="1" min="6" max="6" width="13.5"/>
    <col customWidth="1" min="7" max="7" width="13.88"/>
    <col customWidth="1" min="8" max="8" width="13.63"/>
    <col customWidth="1" min="9" max="9" width="13.0"/>
    <col customWidth="1" min="10" max="10" width="13.88"/>
    <col customWidth="1" min="11" max="11" width="13.75"/>
    <col customWidth="1" min="12" max="12" width="13.38"/>
    <col customWidth="1" min="13" max="13" width="13.88"/>
    <col customWidth="1" min="14" max="26" width="10.63"/>
  </cols>
  <sheetData>
    <row r="1">
      <c r="A1" s="80"/>
    </row>
    <row r="3"/>
    <row r="4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9">
      <c r="A9" s="104" t="s">
        <v>131</v>
      </c>
      <c r="B9" s="15" t="s">
        <v>132</v>
      </c>
      <c r="C9" s="15" t="s">
        <v>133</v>
      </c>
      <c r="D9" s="15" t="s">
        <v>134</v>
      </c>
      <c r="E9" s="15" t="s">
        <v>135</v>
      </c>
      <c r="F9" s="15" t="s">
        <v>136</v>
      </c>
      <c r="G9" s="15" t="s">
        <v>137</v>
      </c>
      <c r="H9" s="15" t="s">
        <v>138</v>
      </c>
      <c r="I9" s="15" t="s">
        <v>139</v>
      </c>
      <c r="J9" s="15" t="s">
        <v>140</v>
      </c>
      <c r="K9" s="15" t="s">
        <v>141</v>
      </c>
      <c r="L9" s="15" t="s">
        <v>142</v>
      </c>
      <c r="M9" s="15" t="s">
        <v>143</v>
      </c>
    </row>
    <row r="10">
      <c r="A10" s="15" t="s">
        <v>144</v>
      </c>
      <c r="B10" s="84">
        <v>0.0</v>
      </c>
      <c r="C10" s="64">
        <f t="shared" ref="C10:M10" si="1">B13</f>
        <v>-582425.3885</v>
      </c>
      <c r="D10" s="64">
        <f t="shared" si="1"/>
        <v>-2286418.569</v>
      </c>
      <c r="E10" s="64">
        <f t="shared" si="1"/>
        <v>-3604592.429</v>
      </c>
      <c r="F10" s="64">
        <f t="shared" si="1"/>
        <v>-4644617.477</v>
      </c>
      <c r="G10" s="64">
        <f t="shared" si="1"/>
        <v>-3288973.72</v>
      </c>
      <c r="H10" s="64">
        <f t="shared" si="1"/>
        <v>435421.2115</v>
      </c>
      <c r="I10" s="64">
        <f t="shared" si="1"/>
        <v>-7495516.349</v>
      </c>
      <c r="J10" s="64">
        <f t="shared" si="1"/>
        <v>-5520767.172</v>
      </c>
      <c r="K10" s="64">
        <f t="shared" si="1"/>
        <v>-6569764.762</v>
      </c>
      <c r="L10" s="64">
        <f t="shared" si="1"/>
        <v>-5510214.904</v>
      </c>
      <c r="M10" s="64">
        <f t="shared" si="1"/>
        <v>-15056210.08</v>
      </c>
    </row>
    <row r="11">
      <c r="A11" s="15" t="s">
        <v>145</v>
      </c>
      <c r="B11" s="84">
        <v>7448000.0</v>
      </c>
      <c r="C11" s="84">
        <v>7448000.0</v>
      </c>
      <c r="D11" s="84">
        <v>7448000.0</v>
      </c>
      <c r="E11" s="84">
        <v>7448000.0</v>
      </c>
      <c r="F11" s="84">
        <v>7448000.0</v>
      </c>
      <c r="G11" s="84">
        <v>7448000.0</v>
      </c>
      <c r="H11" s="84">
        <v>7448000.0</v>
      </c>
      <c r="I11" s="84">
        <v>7448000.0</v>
      </c>
      <c r="J11" s="84">
        <v>7448000.0</v>
      </c>
      <c r="K11" s="84">
        <v>7448000.0</v>
      </c>
      <c r="L11" s="84">
        <v>7448000.0</v>
      </c>
      <c r="M11" s="84">
        <v>7448000.0</v>
      </c>
    </row>
    <row r="12">
      <c r="A12" s="24" t="s">
        <v>146</v>
      </c>
      <c r="B12" s="64">
        <v>8030425.38851</v>
      </c>
      <c r="C12" s="64">
        <v>9151993.18083</v>
      </c>
      <c r="D12" s="64">
        <v>8766173.85934</v>
      </c>
      <c r="E12" s="64">
        <v>8488025.04794</v>
      </c>
      <c r="F12" s="64">
        <v>6092356.243860001</v>
      </c>
      <c r="G12" s="64">
        <v>3723605.06805</v>
      </c>
      <c r="H12" s="64">
        <v>1.537893756005E7</v>
      </c>
      <c r="I12" s="64">
        <v>5473250.82349</v>
      </c>
      <c r="J12" s="64">
        <v>8496997.589610001</v>
      </c>
      <c r="K12" s="64">
        <v>6388450.14183</v>
      </c>
      <c r="L12" s="64">
        <v>1.69939951802E7</v>
      </c>
      <c r="M12" s="64">
        <v>1.068629792001E7</v>
      </c>
    </row>
    <row r="13">
      <c r="A13" s="15" t="s">
        <v>147</v>
      </c>
      <c r="B13" s="64">
        <f t="shared" ref="B13:M13" si="2">B10+B11-B12</f>
        <v>-582425.3885</v>
      </c>
      <c r="C13" s="64">
        <f t="shared" si="2"/>
        <v>-2286418.569</v>
      </c>
      <c r="D13" s="64">
        <f t="shared" si="2"/>
        <v>-3604592.429</v>
      </c>
      <c r="E13" s="64">
        <f t="shared" si="2"/>
        <v>-4644617.477</v>
      </c>
      <c r="F13" s="64">
        <f t="shared" si="2"/>
        <v>-3288973.72</v>
      </c>
      <c r="G13" s="64">
        <f t="shared" si="2"/>
        <v>435421.2115</v>
      </c>
      <c r="H13" s="64">
        <f t="shared" si="2"/>
        <v>-7495516.349</v>
      </c>
      <c r="I13" s="64">
        <f t="shared" si="2"/>
        <v>-5520767.172</v>
      </c>
      <c r="J13" s="64">
        <f t="shared" si="2"/>
        <v>-6569764.762</v>
      </c>
      <c r="K13" s="64">
        <f t="shared" si="2"/>
        <v>-5510214.904</v>
      </c>
      <c r="L13" s="64">
        <f t="shared" si="2"/>
        <v>-15056210.08</v>
      </c>
      <c r="M13" s="64">
        <f t="shared" si="2"/>
        <v>-18294508</v>
      </c>
    </row>
    <row r="15">
      <c r="A15" s="104" t="s">
        <v>148</v>
      </c>
      <c r="B15" s="15" t="s">
        <v>132</v>
      </c>
      <c r="C15" s="15" t="s">
        <v>133</v>
      </c>
      <c r="D15" s="15" t="s">
        <v>134</v>
      </c>
      <c r="E15" s="15" t="s">
        <v>135</v>
      </c>
      <c r="F15" s="15" t="s">
        <v>136</v>
      </c>
      <c r="G15" s="15" t="s">
        <v>137</v>
      </c>
      <c r="H15" s="15" t="s">
        <v>138</v>
      </c>
      <c r="I15" s="15" t="s">
        <v>139</v>
      </c>
      <c r="J15" s="15" t="s">
        <v>140</v>
      </c>
      <c r="K15" s="15" t="s">
        <v>141</v>
      </c>
      <c r="L15" s="15" t="s">
        <v>142</v>
      </c>
      <c r="M15" s="15" t="s">
        <v>143</v>
      </c>
    </row>
    <row r="16">
      <c r="A16" s="15" t="s">
        <v>144</v>
      </c>
      <c r="B16" s="64">
        <v>0.0</v>
      </c>
      <c r="C16" s="64">
        <f t="shared" ref="C16:M16" si="3">B19</f>
        <v>-1509625.389</v>
      </c>
      <c r="D16" s="64">
        <f t="shared" si="3"/>
        <v>-4140818.569</v>
      </c>
      <c r="E16" s="64">
        <f t="shared" si="3"/>
        <v>-6386192.429</v>
      </c>
      <c r="F16" s="64">
        <f t="shared" si="3"/>
        <v>-8353417.477</v>
      </c>
      <c r="G16" s="64">
        <f t="shared" si="3"/>
        <v>-7924973.72</v>
      </c>
      <c r="H16" s="64">
        <f t="shared" si="3"/>
        <v>-5127778.789</v>
      </c>
      <c r="I16" s="64">
        <f t="shared" si="3"/>
        <v>-13985916.35</v>
      </c>
      <c r="J16" s="64">
        <f t="shared" si="3"/>
        <v>-12938367.17</v>
      </c>
      <c r="K16" s="64">
        <f t="shared" si="3"/>
        <v>-14914564.76</v>
      </c>
      <c r="L16" s="64">
        <f t="shared" si="3"/>
        <v>-14782214.9</v>
      </c>
      <c r="M16" s="64">
        <f t="shared" si="3"/>
        <v>-25255410.08</v>
      </c>
    </row>
    <row r="17">
      <c r="A17" s="15" t="s">
        <v>145</v>
      </c>
      <c r="B17" s="64">
        <f t="shared" ref="B17:M17" si="4">41800*2*3*26</f>
        <v>6520800</v>
      </c>
      <c r="C17" s="64">
        <f t="shared" si="4"/>
        <v>6520800</v>
      </c>
      <c r="D17" s="64">
        <f t="shared" si="4"/>
        <v>6520800</v>
      </c>
      <c r="E17" s="64">
        <f t="shared" si="4"/>
        <v>6520800</v>
      </c>
      <c r="F17" s="64">
        <f t="shared" si="4"/>
        <v>6520800</v>
      </c>
      <c r="G17" s="64">
        <f t="shared" si="4"/>
        <v>6520800</v>
      </c>
      <c r="H17" s="64">
        <f t="shared" si="4"/>
        <v>6520800</v>
      </c>
      <c r="I17" s="64">
        <f t="shared" si="4"/>
        <v>6520800</v>
      </c>
      <c r="J17" s="64">
        <f t="shared" si="4"/>
        <v>6520800</v>
      </c>
      <c r="K17" s="64">
        <f t="shared" si="4"/>
        <v>6520800</v>
      </c>
      <c r="L17" s="64">
        <f t="shared" si="4"/>
        <v>6520800</v>
      </c>
      <c r="M17" s="64">
        <f t="shared" si="4"/>
        <v>6520800</v>
      </c>
    </row>
    <row r="18">
      <c r="A18" s="15" t="s">
        <v>122</v>
      </c>
      <c r="B18" s="64">
        <v>8030425.38851</v>
      </c>
      <c r="C18" s="64">
        <v>9151993.18083</v>
      </c>
      <c r="D18" s="64">
        <v>8766173.85934</v>
      </c>
      <c r="E18" s="64">
        <v>8488025.04794</v>
      </c>
      <c r="F18" s="64">
        <v>6092356.243860001</v>
      </c>
      <c r="G18" s="64">
        <v>3723605.06805</v>
      </c>
      <c r="H18" s="64">
        <v>1.537893756005E7</v>
      </c>
      <c r="I18" s="64">
        <v>5473250.82349</v>
      </c>
      <c r="J18" s="64">
        <v>8496997.589610001</v>
      </c>
      <c r="K18" s="64">
        <v>6388450.14183</v>
      </c>
      <c r="L18" s="64">
        <v>1.69939951802E7</v>
      </c>
      <c r="M18" s="64">
        <v>1.068629792001E7</v>
      </c>
    </row>
    <row r="19">
      <c r="A19" s="15" t="s">
        <v>147</v>
      </c>
      <c r="B19" s="64">
        <f t="shared" ref="B19:M19" si="5">B16+B17-B18</f>
        <v>-1509625.389</v>
      </c>
      <c r="C19" s="64">
        <f t="shared" si="5"/>
        <v>-4140818.569</v>
      </c>
      <c r="D19" s="64">
        <f t="shared" si="5"/>
        <v>-6386192.429</v>
      </c>
      <c r="E19" s="64">
        <f t="shared" si="5"/>
        <v>-8353417.477</v>
      </c>
      <c r="F19" s="64">
        <f t="shared" si="5"/>
        <v>-7924973.72</v>
      </c>
      <c r="G19" s="64">
        <f t="shared" si="5"/>
        <v>-5127778.789</v>
      </c>
      <c r="H19" s="64">
        <f t="shared" si="5"/>
        <v>-13985916.35</v>
      </c>
      <c r="I19" s="64">
        <f t="shared" si="5"/>
        <v>-12938367.17</v>
      </c>
      <c r="J19" s="64">
        <f t="shared" si="5"/>
        <v>-14914564.76</v>
      </c>
      <c r="K19" s="64">
        <f t="shared" si="5"/>
        <v>-14782214.9</v>
      </c>
      <c r="L19" s="64">
        <f t="shared" si="5"/>
        <v>-25255410.08</v>
      </c>
      <c r="M19" s="64">
        <f t="shared" si="5"/>
        <v>-29420908</v>
      </c>
    </row>
    <row r="21" ht="15.75" customHeight="1">
      <c r="A21" s="104" t="s">
        <v>149</v>
      </c>
      <c r="B21" s="15" t="s">
        <v>132</v>
      </c>
      <c r="C21" s="15" t="s">
        <v>133</v>
      </c>
      <c r="D21" s="15" t="s">
        <v>134</v>
      </c>
      <c r="E21" s="15" t="s">
        <v>135</v>
      </c>
      <c r="F21" s="15" t="s">
        <v>136</v>
      </c>
      <c r="G21" s="15" t="s">
        <v>137</v>
      </c>
      <c r="H21" s="15" t="s">
        <v>138</v>
      </c>
      <c r="I21" s="15" t="s">
        <v>139</v>
      </c>
      <c r="J21" s="15" t="s">
        <v>140</v>
      </c>
      <c r="K21" s="15" t="s">
        <v>141</v>
      </c>
      <c r="L21" s="15" t="s">
        <v>142</v>
      </c>
      <c r="M21" s="15" t="s">
        <v>143</v>
      </c>
    </row>
    <row r="22" ht="15.75" customHeight="1">
      <c r="A22" s="15" t="s">
        <v>144</v>
      </c>
      <c r="B22" s="20">
        <v>0.0</v>
      </c>
      <c r="C22" s="64">
        <f t="shared" ref="C22:M22" si="6">B25</f>
        <v>-1153335.98</v>
      </c>
      <c r="D22" s="64">
        <f t="shared" si="6"/>
        <v>-3277165.812</v>
      </c>
      <c r="E22" s="64">
        <f t="shared" si="6"/>
        <v>-5067145.759</v>
      </c>
      <c r="F22" s="64">
        <f t="shared" si="6"/>
        <v>-6616443.23</v>
      </c>
      <c r="G22" s="64">
        <f t="shared" si="6"/>
        <v>-6092765.834</v>
      </c>
      <c r="H22" s="64">
        <f t="shared" si="6"/>
        <v>-3519405.423</v>
      </c>
      <c r="I22" s="64">
        <f t="shared" si="6"/>
        <v>-11031417.12</v>
      </c>
      <c r="J22" s="64">
        <f t="shared" si="6"/>
        <v>-9972027.118</v>
      </c>
      <c r="K22" s="64">
        <f t="shared" si="6"/>
        <v>-11529088.54</v>
      </c>
      <c r="L22" s="64">
        <f t="shared" si="6"/>
        <v>-11261621.52</v>
      </c>
      <c r="M22" s="64">
        <f t="shared" si="6"/>
        <v>-20171144.37</v>
      </c>
    </row>
    <row r="23" ht="15.75" customHeight="1">
      <c r="A23" s="15" t="s">
        <v>145</v>
      </c>
      <c r="B23" s="64">
        <f t="shared" ref="B23:M23" si="7">37150*2*3*26</f>
        <v>5795400</v>
      </c>
      <c r="C23" s="64">
        <f t="shared" si="7"/>
        <v>5795400</v>
      </c>
      <c r="D23" s="64">
        <f t="shared" si="7"/>
        <v>5795400</v>
      </c>
      <c r="E23" s="64">
        <f t="shared" si="7"/>
        <v>5795400</v>
      </c>
      <c r="F23" s="64">
        <f t="shared" si="7"/>
        <v>5795400</v>
      </c>
      <c r="G23" s="64">
        <f t="shared" si="7"/>
        <v>5795400</v>
      </c>
      <c r="H23" s="64">
        <f t="shared" si="7"/>
        <v>5795400</v>
      </c>
      <c r="I23" s="64">
        <f t="shared" si="7"/>
        <v>5795400</v>
      </c>
      <c r="J23" s="64">
        <f t="shared" si="7"/>
        <v>5795400</v>
      </c>
      <c r="K23" s="64">
        <f t="shared" si="7"/>
        <v>5795400</v>
      </c>
      <c r="L23" s="64">
        <f t="shared" si="7"/>
        <v>5795400</v>
      </c>
      <c r="M23" s="64">
        <f t="shared" si="7"/>
        <v>5795400</v>
      </c>
    </row>
    <row r="24" ht="15.75" customHeight="1">
      <c r="A24" s="15" t="s">
        <v>122</v>
      </c>
      <c r="B24" s="64">
        <v>6948735.979995806</v>
      </c>
      <c r="C24" s="64">
        <v>7919229.831950527</v>
      </c>
      <c r="D24" s="64">
        <v>7585379.946878104</v>
      </c>
      <c r="E24" s="64">
        <v>7344697.4715933325</v>
      </c>
      <c r="F24" s="64">
        <v>5271722.603818048</v>
      </c>
      <c r="G24" s="64">
        <v>3222039.588489676</v>
      </c>
      <c r="H24" s="64">
        <v>1.3307411698003141E7</v>
      </c>
      <c r="I24" s="64">
        <v>4736009.997539041</v>
      </c>
      <c r="J24" s="64">
        <v>7352461.422408971</v>
      </c>
      <c r="K24" s="64">
        <v>5527932.980734093</v>
      </c>
      <c r="L24" s="64">
        <v>1.4704922844817942E7</v>
      </c>
      <c r="M24" s="64">
        <v>9246865.421424588</v>
      </c>
    </row>
    <row r="25" ht="15.75" customHeight="1">
      <c r="A25" s="15" t="s">
        <v>147</v>
      </c>
      <c r="B25" s="64">
        <f t="shared" ref="B25:M25" si="8">B22+B23-B24</f>
        <v>-1153335.98</v>
      </c>
      <c r="C25" s="64">
        <f t="shared" si="8"/>
        <v>-3277165.812</v>
      </c>
      <c r="D25" s="64">
        <f t="shared" si="8"/>
        <v>-5067145.759</v>
      </c>
      <c r="E25" s="64">
        <f t="shared" si="8"/>
        <v>-6616443.23</v>
      </c>
      <c r="F25" s="64">
        <f t="shared" si="8"/>
        <v>-6092765.834</v>
      </c>
      <c r="G25" s="64">
        <f t="shared" si="8"/>
        <v>-3519405.423</v>
      </c>
      <c r="H25" s="64">
        <f t="shared" si="8"/>
        <v>-11031417.12</v>
      </c>
      <c r="I25" s="64">
        <f t="shared" si="8"/>
        <v>-9972027.118</v>
      </c>
      <c r="J25" s="64">
        <f t="shared" si="8"/>
        <v>-11529088.54</v>
      </c>
      <c r="K25" s="64">
        <f t="shared" si="8"/>
        <v>-11261621.52</v>
      </c>
      <c r="L25" s="64">
        <f t="shared" si="8"/>
        <v>-20171144.37</v>
      </c>
      <c r="M25" s="64">
        <f t="shared" si="8"/>
        <v>-23622609.79</v>
      </c>
    </row>
    <row r="26" ht="15.75" customHeight="1"/>
    <row r="27" ht="15.75" customHeight="1">
      <c r="A27" s="104" t="s">
        <v>150</v>
      </c>
      <c r="B27" s="15" t="s">
        <v>132</v>
      </c>
      <c r="C27" s="15" t="s">
        <v>133</v>
      </c>
      <c r="D27" s="15" t="s">
        <v>134</v>
      </c>
      <c r="E27" s="15" t="s">
        <v>135</v>
      </c>
      <c r="F27" s="15" t="s">
        <v>136</v>
      </c>
      <c r="G27" s="15" t="s">
        <v>137</v>
      </c>
      <c r="H27" s="15" t="s">
        <v>138</v>
      </c>
      <c r="I27" s="15" t="s">
        <v>139</v>
      </c>
      <c r="J27" s="15" t="s">
        <v>140</v>
      </c>
      <c r="K27" s="15" t="s">
        <v>141</v>
      </c>
      <c r="L27" s="15" t="s">
        <v>142</v>
      </c>
      <c r="M27" s="15" t="s">
        <v>143</v>
      </c>
    </row>
    <row r="28" ht="15.75" customHeight="1">
      <c r="A28" s="15" t="s">
        <v>144</v>
      </c>
      <c r="B28" s="20">
        <v>0.0</v>
      </c>
      <c r="C28" s="64">
        <f t="shared" ref="C28:M28" si="9">B31</f>
        <v>-437809.3969</v>
      </c>
      <c r="D28" s="64">
        <f t="shared" si="9"/>
        <v>-999513.961</v>
      </c>
      <c r="E28" s="64">
        <f t="shared" si="9"/>
        <v>-1518598.588</v>
      </c>
      <c r="F28" s="64">
        <f t="shared" si="9"/>
        <v>-2006957.213</v>
      </c>
      <c r="G28" s="64">
        <f t="shared" si="9"/>
        <v>-2230675.761</v>
      </c>
      <c r="H28" s="64">
        <f t="shared" si="9"/>
        <v>-2192727.716</v>
      </c>
      <c r="I28" s="64">
        <f t="shared" si="9"/>
        <v>-3442298.248</v>
      </c>
      <c r="J28" s="64">
        <f t="shared" si="9"/>
        <v>-3597626.664</v>
      </c>
      <c r="K28" s="64">
        <f t="shared" si="9"/>
        <v>-4086976.45</v>
      </c>
      <c r="L28" s="64">
        <f t="shared" si="9"/>
        <v>-4343403.322</v>
      </c>
      <c r="M28" s="64">
        <f t="shared" si="9"/>
        <v>-5771382.895</v>
      </c>
    </row>
    <row r="29" ht="15.75" customHeight="1">
      <c r="A29" s="15" t="s">
        <v>145</v>
      </c>
      <c r="B29" s="64">
        <f t="shared" ref="B29:M29" si="10">2880*2*3*26</f>
        <v>449280</v>
      </c>
      <c r="C29" s="64">
        <f t="shared" si="10"/>
        <v>449280</v>
      </c>
      <c r="D29" s="64">
        <f t="shared" si="10"/>
        <v>449280</v>
      </c>
      <c r="E29" s="64">
        <f t="shared" si="10"/>
        <v>449280</v>
      </c>
      <c r="F29" s="64">
        <f t="shared" si="10"/>
        <v>449280</v>
      </c>
      <c r="G29" s="64">
        <f t="shared" si="10"/>
        <v>449280</v>
      </c>
      <c r="H29" s="64">
        <f t="shared" si="10"/>
        <v>449280</v>
      </c>
      <c r="I29" s="64">
        <f t="shared" si="10"/>
        <v>449280</v>
      </c>
      <c r="J29" s="64">
        <f t="shared" si="10"/>
        <v>449280</v>
      </c>
      <c r="K29" s="64">
        <f t="shared" si="10"/>
        <v>449280</v>
      </c>
      <c r="L29" s="64">
        <f t="shared" si="10"/>
        <v>449280</v>
      </c>
      <c r="M29" s="64">
        <f t="shared" si="10"/>
        <v>449280</v>
      </c>
    </row>
    <row r="30" ht="15.75" customHeight="1">
      <c r="A30" s="15" t="s">
        <v>122</v>
      </c>
      <c r="B30" s="64">
        <v>887089.3969020781</v>
      </c>
      <c r="C30" s="64">
        <v>1010984.5640671728</v>
      </c>
      <c r="D30" s="64">
        <v>968364.6265623801</v>
      </c>
      <c r="E30" s="64">
        <v>937638.6251054367</v>
      </c>
      <c r="F30" s="64">
        <v>672998.5480407944</v>
      </c>
      <c r="G30" s="64">
        <v>411331.95498811436</v>
      </c>
      <c r="H30" s="64">
        <v>1698850.5321677786</v>
      </c>
      <c r="I30" s="64">
        <v>604608.4157656621</v>
      </c>
      <c r="J30" s="64">
        <v>938629.7864427574</v>
      </c>
      <c r="K30" s="64">
        <v>705706.8721723794</v>
      </c>
      <c r="L30" s="64">
        <v>1877259.5728855147</v>
      </c>
      <c r="M30" s="64">
        <v>1180473.1527490222</v>
      </c>
    </row>
    <row r="31" ht="15.75" customHeight="1">
      <c r="A31" s="15" t="s">
        <v>147</v>
      </c>
      <c r="B31" s="64">
        <f t="shared" ref="B31:M31" si="11">B28+B29-B30</f>
        <v>-437809.3969</v>
      </c>
      <c r="C31" s="64">
        <f t="shared" si="11"/>
        <v>-999513.961</v>
      </c>
      <c r="D31" s="64">
        <f t="shared" si="11"/>
        <v>-1518598.588</v>
      </c>
      <c r="E31" s="64">
        <f t="shared" si="11"/>
        <v>-2006957.213</v>
      </c>
      <c r="F31" s="64">
        <f t="shared" si="11"/>
        <v>-2230675.761</v>
      </c>
      <c r="G31" s="64">
        <f t="shared" si="11"/>
        <v>-2192727.716</v>
      </c>
      <c r="H31" s="64">
        <f t="shared" si="11"/>
        <v>-3442298.248</v>
      </c>
      <c r="I31" s="64">
        <f t="shared" si="11"/>
        <v>-3597626.664</v>
      </c>
      <c r="J31" s="64">
        <f t="shared" si="11"/>
        <v>-4086976.45</v>
      </c>
      <c r="K31" s="64">
        <f t="shared" si="11"/>
        <v>-4343403.322</v>
      </c>
      <c r="L31" s="64">
        <f t="shared" si="11"/>
        <v>-5771382.895</v>
      </c>
      <c r="M31" s="64">
        <f t="shared" si="11"/>
        <v>-6502576.048</v>
      </c>
    </row>
    <row r="32" ht="15.75" customHeight="1"/>
    <row r="33" ht="15.75" customHeight="1">
      <c r="A33" s="104" t="s">
        <v>151</v>
      </c>
      <c r="B33" s="15" t="s">
        <v>132</v>
      </c>
      <c r="C33" s="15" t="s">
        <v>133</v>
      </c>
      <c r="D33" s="15" t="s">
        <v>134</v>
      </c>
      <c r="E33" s="15" t="s">
        <v>135</v>
      </c>
      <c r="F33" s="15" t="s">
        <v>136</v>
      </c>
      <c r="G33" s="15" t="s">
        <v>137</v>
      </c>
      <c r="H33" s="15" t="s">
        <v>138</v>
      </c>
      <c r="I33" s="15" t="s">
        <v>139</v>
      </c>
      <c r="J33" s="15" t="s">
        <v>140</v>
      </c>
      <c r="K33" s="15" t="s">
        <v>141</v>
      </c>
      <c r="L33" s="15" t="s">
        <v>142</v>
      </c>
      <c r="M33" s="15" t="s">
        <v>143</v>
      </c>
    </row>
    <row r="34" ht="15.75" customHeight="1">
      <c r="A34" s="15" t="s">
        <v>144</v>
      </c>
      <c r="B34" s="20">
        <v>0.0</v>
      </c>
      <c r="C34" s="64">
        <f t="shared" ref="C34:M34" si="12">B37</f>
        <v>-958335.98</v>
      </c>
      <c r="D34" s="64">
        <f t="shared" si="12"/>
        <v>-2887165.812</v>
      </c>
      <c r="E34" s="64">
        <f t="shared" si="12"/>
        <v>-4482145.759</v>
      </c>
      <c r="F34" s="64">
        <f t="shared" si="12"/>
        <v>-5836443.23</v>
      </c>
      <c r="G34" s="64">
        <f t="shared" si="12"/>
        <v>-5117765.834</v>
      </c>
      <c r="H34" s="64">
        <f t="shared" si="12"/>
        <v>-2349405.423</v>
      </c>
      <c r="I34" s="64">
        <f t="shared" si="12"/>
        <v>-9666417.121</v>
      </c>
      <c r="J34" s="64">
        <f t="shared" si="12"/>
        <v>-8412027.118</v>
      </c>
      <c r="K34" s="64">
        <f t="shared" si="12"/>
        <v>-9774088.541</v>
      </c>
      <c r="L34" s="64">
        <f t="shared" si="12"/>
        <v>-9311621.521</v>
      </c>
      <c r="M34" s="64">
        <f t="shared" si="12"/>
        <v>-18026144.37</v>
      </c>
    </row>
    <row r="35" ht="15.75" customHeight="1">
      <c r="A35" s="15" t="s">
        <v>145</v>
      </c>
      <c r="B35" s="64">
        <v>5990400.0</v>
      </c>
      <c r="C35" s="64">
        <v>5990400.0</v>
      </c>
      <c r="D35" s="64">
        <v>5990400.0</v>
      </c>
      <c r="E35" s="64">
        <v>5990400.0</v>
      </c>
      <c r="F35" s="64">
        <v>5990400.0</v>
      </c>
      <c r="G35" s="64">
        <v>5990400.0</v>
      </c>
      <c r="H35" s="64">
        <v>5990400.0</v>
      </c>
      <c r="I35" s="64">
        <v>5990400.0</v>
      </c>
      <c r="J35" s="64">
        <v>5990400.0</v>
      </c>
      <c r="K35" s="64">
        <v>5990400.0</v>
      </c>
      <c r="L35" s="64">
        <v>5990400.0</v>
      </c>
      <c r="M35" s="64">
        <v>5990400.0</v>
      </c>
    </row>
    <row r="36" ht="15.75" customHeight="1">
      <c r="A36" s="15" t="s">
        <v>122</v>
      </c>
      <c r="B36" s="64">
        <v>6948735.979995806</v>
      </c>
      <c r="C36" s="64">
        <v>7919229.831950527</v>
      </c>
      <c r="D36" s="64">
        <v>7585379.946878104</v>
      </c>
      <c r="E36" s="64">
        <v>7344697.4715933325</v>
      </c>
      <c r="F36" s="64">
        <v>5271722.603818048</v>
      </c>
      <c r="G36" s="64">
        <v>3222039.588489676</v>
      </c>
      <c r="H36" s="64">
        <v>1.3307411698003141E7</v>
      </c>
      <c r="I36" s="64">
        <v>4736009.997539041</v>
      </c>
      <c r="J36" s="64">
        <v>7352461.422408971</v>
      </c>
      <c r="K36" s="64">
        <v>5527932.980734093</v>
      </c>
      <c r="L36" s="64">
        <v>1.4704922844817942E7</v>
      </c>
      <c r="M36" s="64">
        <v>9246865.421424588</v>
      </c>
    </row>
    <row r="37" ht="15.75" customHeight="1">
      <c r="A37" s="15" t="s">
        <v>147</v>
      </c>
      <c r="B37" s="64">
        <f t="shared" ref="B37:M37" si="13">B34+B35-B36</f>
        <v>-958335.98</v>
      </c>
      <c r="C37" s="64">
        <f t="shared" si="13"/>
        <v>-2887165.812</v>
      </c>
      <c r="D37" s="64">
        <f t="shared" si="13"/>
        <v>-4482145.759</v>
      </c>
      <c r="E37" s="64">
        <f t="shared" si="13"/>
        <v>-5836443.23</v>
      </c>
      <c r="F37" s="64">
        <f t="shared" si="13"/>
        <v>-5117765.834</v>
      </c>
      <c r="G37" s="64">
        <f t="shared" si="13"/>
        <v>-2349405.423</v>
      </c>
      <c r="H37" s="64">
        <f t="shared" si="13"/>
        <v>-9666417.121</v>
      </c>
      <c r="I37" s="64">
        <f t="shared" si="13"/>
        <v>-8412027.118</v>
      </c>
      <c r="J37" s="64">
        <f t="shared" si="13"/>
        <v>-9774088.541</v>
      </c>
      <c r="K37" s="64">
        <f t="shared" si="13"/>
        <v>-9311621.521</v>
      </c>
      <c r="L37" s="64">
        <f t="shared" si="13"/>
        <v>-18026144.37</v>
      </c>
      <c r="M37" s="64">
        <f t="shared" si="13"/>
        <v>-21282609.79</v>
      </c>
    </row>
    <row r="38" ht="15.75" customHeight="1"/>
    <row r="39" ht="15.75" customHeight="1">
      <c r="A39" s="104" t="s">
        <v>152</v>
      </c>
      <c r="B39" s="15" t="s">
        <v>132</v>
      </c>
      <c r="C39" s="15" t="s">
        <v>133</v>
      </c>
      <c r="D39" s="15" t="s">
        <v>134</v>
      </c>
      <c r="E39" s="15" t="s">
        <v>135</v>
      </c>
      <c r="F39" s="15" t="s">
        <v>136</v>
      </c>
      <c r="G39" s="15" t="s">
        <v>137</v>
      </c>
      <c r="H39" s="15" t="s">
        <v>138</v>
      </c>
      <c r="I39" s="15" t="s">
        <v>139</v>
      </c>
      <c r="J39" s="15" t="s">
        <v>140</v>
      </c>
      <c r="K39" s="15" t="s">
        <v>141</v>
      </c>
      <c r="L39" s="15" t="s">
        <v>142</v>
      </c>
      <c r="M39" s="15" t="s">
        <v>143</v>
      </c>
    </row>
    <row r="40" ht="15.75" customHeight="1">
      <c r="A40" s="15" t="s">
        <v>144</v>
      </c>
      <c r="B40" s="20">
        <v>0.0</v>
      </c>
      <c r="C40" s="64">
        <f t="shared" ref="C40:M40" si="14">B43</f>
        <v>-419089.3969</v>
      </c>
      <c r="D40" s="64">
        <f t="shared" si="14"/>
        <v>-962073.961</v>
      </c>
      <c r="E40" s="64">
        <f t="shared" si="14"/>
        <v>-1462438.588</v>
      </c>
      <c r="F40" s="64">
        <f t="shared" si="14"/>
        <v>-1932077.213</v>
      </c>
      <c r="G40" s="64">
        <f t="shared" si="14"/>
        <v>-2137075.761</v>
      </c>
      <c r="H40" s="64">
        <f t="shared" si="14"/>
        <v>-2080407.716</v>
      </c>
      <c r="I40" s="64">
        <f t="shared" si="14"/>
        <v>-3311258.248</v>
      </c>
      <c r="J40" s="64">
        <f t="shared" si="14"/>
        <v>-3447866.664</v>
      </c>
      <c r="K40" s="64">
        <f t="shared" si="14"/>
        <v>-3918496.45</v>
      </c>
      <c r="L40" s="64">
        <f t="shared" si="14"/>
        <v>-4156203.322</v>
      </c>
      <c r="M40" s="64">
        <f t="shared" si="14"/>
        <v>-5565462.895</v>
      </c>
    </row>
    <row r="41" ht="15.75" customHeight="1">
      <c r="A41" s="15" t="s">
        <v>145</v>
      </c>
      <c r="B41" s="64">
        <v>468000.0</v>
      </c>
      <c r="C41" s="64">
        <v>468000.0</v>
      </c>
      <c r="D41" s="64">
        <v>468000.0</v>
      </c>
      <c r="E41" s="64">
        <v>468000.0</v>
      </c>
      <c r="F41" s="64">
        <v>468000.0</v>
      </c>
      <c r="G41" s="64">
        <v>468000.0</v>
      </c>
      <c r="H41" s="64">
        <v>468000.0</v>
      </c>
      <c r="I41" s="64">
        <v>468000.0</v>
      </c>
      <c r="J41" s="64">
        <v>468000.0</v>
      </c>
      <c r="K41" s="64">
        <v>468000.0</v>
      </c>
      <c r="L41" s="64">
        <v>468000.0</v>
      </c>
      <c r="M41" s="64">
        <v>468000.0</v>
      </c>
    </row>
    <row r="42" ht="15.75" customHeight="1">
      <c r="A42" s="15" t="s">
        <v>122</v>
      </c>
      <c r="B42" s="64">
        <v>887089.3969020781</v>
      </c>
      <c r="C42" s="64">
        <v>1010984.5640671728</v>
      </c>
      <c r="D42" s="64">
        <v>968364.6265623801</v>
      </c>
      <c r="E42" s="64">
        <v>937638.6251054367</v>
      </c>
      <c r="F42" s="64">
        <v>672998.5480407944</v>
      </c>
      <c r="G42" s="64">
        <v>411331.95498811436</v>
      </c>
      <c r="H42" s="64">
        <v>1698850.5321677786</v>
      </c>
      <c r="I42" s="64">
        <v>604608.4157656621</v>
      </c>
      <c r="J42" s="64">
        <v>938629.7864427574</v>
      </c>
      <c r="K42" s="64">
        <v>705706.8721723794</v>
      </c>
      <c r="L42" s="64">
        <v>1877259.5728855147</v>
      </c>
      <c r="M42" s="64">
        <v>1180473.1527490222</v>
      </c>
    </row>
    <row r="43" ht="15.75" customHeight="1">
      <c r="A43" s="15" t="s">
        <v>147</v>
      </c>
      <c r="B43" s="64">
        <f t="shared" ref="B43:M43" si="15">B40+B41-B42</f>
        <v>-419089.3969</v>
      </c>
      <c r="C43" s="64">
        <f t="shared" si="15"/>
        <v>-962073.961</v>
      </c>
      <c r="D43" s="64">
        <f t="shared" si="15"/>
        <v>-1462438.588</v>
      </c>
      <c r="E43" s="64">
        <f t="shared" si="15"/>
        <v>-1932077.213</v>
      </c>
      <c r="F43" s="64">
        <f t="shared" si="15"/>
        <v>-2137075.761</v>
      </c>
      <c r="G43" s="64">
        <f t="shared" si="15"/>
        <v>-2080407.716</v>
      </c>
      <c r="H43" s="64">
        <f t="shared" si="15"/>
        <v>-3311258.248</v>
      </c>
      <c r="I43" s="64">
        <f t="shared" si="15"/>
        <v>-3447866.664</v>
      </c>
      <c r="J43" s="64">
        <f t="shared" si="15"/>
        <v>-3918496.45</v>
      </c>
      <c r="K43" s="64">
        <f t="shared" si="15"/>
        <v>-4156203.322</v>
      </c>
      <c r="L43" s="64">
        <f t="shared" si="15"/>
        <v>-5565462.895</v>
      </c>
      <c r="M43" s="64">
        <f t="shared" si="15"/>
        <v>-6277936.048</v>
      </c>
    </row>
    <row r="44" ht="15.75" customHeight="1"/>
    <row r="45" ht="15.75" customHeight="1">
      <c r="A45" s="104" t="s">
        <v>153</v>
      </c>
      <c r="B45" s="15" t="s">
        <v>132</v>
      </c>
      <c r="C45" s="15" t="s">
        <v>133</v>
      </c>
      <c r="D45" s="15" t="s">
        <v>134</v>
      </c>
      <c r="E45" s="15" t="s">
        <v>135</v>
      </c>
      <c r="F45" s="15" t="s">
        <v>136</v>
      </c>
      <c r="G45" s="15" t="s">
        <v>137</v>
      </c>
      <c r="H45" s="15" t="s">
        <v>138</v>
      </c>
      <c r="I45" s="15" t="s">
        <v>139</v>
      </c>
      <c r="J45" s="15" t="s">
        <v>140</v>
      </c>
      <c r="K45" s="15" t="s">
        <v>141</v>
      </c>
      <c r="L45" s="15" t="s">
        <v>142</v>
      </c>
      <c r="M45" s="15" t="s">
        <v>143</v>
      </c>
    </row>
    <row r="46" ht="15.75" customHeight="1">
      <c r="A46" s="15" t="s">
        <v>144</v>
      </c>
      <c r="B46" s="20">
        <v>0.0</v>
      </c>
      <c r="C46" s="64">
        <f t="shared" ref="C46:M46" si="16">B49</f>
        <v>8199.988184</v>
      </c>
      <c r="D46" s="64">
        <f t="shared" si="16"/>
        <v>-10778.79623</v>
      </c>
      <c r="E46" s="64">
        <f t="shared" si="16"/>
        <v>-20408.08287</v>
      </c>
      <c r="F46" s="64">
        <f t="shared" si="16"/>
        <v>-23297.03391</v>
      </c>
      <c r="G46" s="64">
        <f t="shared" si="16"/>
        <v>31867.87333</v>
      </c>
      <c r="H46" s="64">
        <f t="shared" si="16"/>
        <v>144434.3483</v>
      </c>
      <c r="I46" s="64">
        <f t="shared" si="16"/>
        <v>-25440.98159</v>
      </c>
      <c r="J46" s="64">
        <f t="shared" si="16"/>
        <v>44726.60812</v>
      </c>
      <c r="K46" s="64">
        <f t="shared" si="16"/>
        <v>41620.2269</v>
      </c>
      <c r="L46" s="64">
        <f t="shared" si="16"/>
        <v>89609.93817</v>
      </c>
      <c r="M46" s="64">
        <f t="shared" si="16"/>
        <v>-119402.8243</v>
      </c>
    </row>
    <row r="47" ht="15.75" customHeight="1">
      <c r="A47" s="15" t="s">
        <v>145</v>
      </c>
      <c r="B47" s="64">
        <v>202800.0</v>
      </c>
      <c r="C47" s="64">
        <v>202800.0</v>
      </c>
      <c r="D47" s="64">
        <v>202800.0</v>
      </c>
      <c r="E47" s="64">
        <v>202800.0</v>
      </c>
      <c r="F47" s="64">
        <v>202800.0</v>
      </c>
      <c r="G47" s="64">
        <v>202800.0</v>
      </c>
      <c r="H47" s="64">
        <v>202800.0</v>
      </c>
      <c r="I47" s="64">
        <v>202800.0</v>
      </c>
      <c r="J47" s="64">
        <v>202800.0</v>
      </c>
      <c r="K47" s="64">
        <v>202800.0</v>
      </c>
      <c r="L47" s="64">
        <v>202800.0</v>
      </c>
      <c r="M47" s="64">
        <v>202800.0</v>
      </c>
    </row>
    <row r="48" ht="15.75" customHeight="1">
      <c r="A48" s="15" t="s">
        <v>122</v>
      </c>
      <c r="B48" s="64">
        <v>194600.01181563537</v>
      </c>
      <c r="C48" s="64">
        <v>221778.7844155844</v>
      </c>
      <c r="D48" s="64">
        <v>212429.28664120194</v>
      </c>
      <c r="E48" s="64">
        <v>205688.95103641454</v>
      </c>
      <c r="F48" s="64">
        <v>147635.09276292336</v>
      </c>
      <c r="G48" s="64">
        <v>90233.52503183091</v>
      </c>
      <c r="H48" s="64">
        <v>372675.3298905017</v>
      </c>
      <c r="I48" s="64">
        <v>132632.41028775147</v>
      </c>
      <c r="J48" s="64">
        <v>205906.38121721416</v>
      </c>
      <c r="K48" s="64">
        <v>154810.28872930992</v>
      </c>
      <c r="L48" s="64">
        <v>411812.7624344283</v>
      </c>
      <c r="M48" s="64">
        <v>258959.34533231476</v>
      </c>
    </row>
    <row r="49" ht="15.75" customHeight="1">
      <c r="A49" s="15" t="s">
        <v>147</v>
      </c>
      <c r="B49" s="64">
        <f t="shared" ref="B49:M49" si="17">B46+B47-B48</f>
        <v>8199.988184</v>
      </c>
      <c r="C49" s="64">
        <f t="shared" si="17"/>
        <v>-10778.79623</v>
      </c>
      <c r="D49" s="64">
        <f t="shared" si="17"/>
        <v>-20408.08287</v>
      </c>
      <c r="E49" s="64">
        <f t="shared" si="17"/>
        <v>-23297.03391</v>
      </c>
      <c r="F49" s="64">
        <f t="shared" si="17"/>
        <v>31867.87333</v>
      </c>
      <c r="G49" s="64">
        <f t="shared" si="17"/>
        <v>144434.3483</v>
      </c>
      <c r="H49" s="64">
        <f t="shared" si="17"/>
        <v>-25440.98159</v>
      </c>
      <c r="I49" s="64">
        <f t="shared" si="17"/>
        <v>44726.60812</v>
      </c>
      <c r="J49" s="64">
        <f t="shared" si="17"/>
        <v>41620.2269</v>
      </c>
      <c r="K49" s="64">
        <f t="shared" si="17"/>
        <v>89609.93817</v>
      </c>
      <c r="L49" s="64">
        <f t="shared" si="17"/>
        <v>-119402.8243</v>
      </c>
      <c r="M49" s="64">
        <f t="shared" si="17"/>
        <v>-175562.1696</v>
      </c>
    </row>
    <row r="50" ht="15.75" customHeight="1"/>
    <row r="51" ht="15.75" customHeight="1">
      <c r="A51" s="104" t="s">
        <v>154</v>
      </c>
      <c r="B51" s="15" t="s">
        <v>132</v>
      </c>
      <c r="C51" s="15" t="s">
        <v>133</v>
      </c>
      <c r="D51" s="15" t="s">
        <v>134</v>
      </c>
      <c r="E51" s="15" t="s">
        <v>135</v>
      </c>
      <c r="F51" s="15" t="s">
        <v>136</v>
      </c>
      <c r="G51" s="15" t="s">
        <v>137</v>
      </c>
      <c r="H51" s="15" t="s">
        <v>138</v>
      </c>
      <c r="I51" s="15" t="s">
        <v>139</v>
      </c>
      <c r="J51" s="15" t="s">
        <v>140</v>
      </c>
      <c r="K51" s="15" t="s">
        <v>141</v>
      </c>
      <c r="L51" s="15" t="s">
        <v>142</v>
      </c>
      <c r="M51" s="15" t="s">
        <v>143</v>
      </c>
    </row>
    <row r="52" ht="15.75" customHeight="1">
      <c r="A52" s="15" t="s">
        <v>144</v>
      </c>
      <c r="B52" s="20">
        <v>0.0</v>
      </c>
      <c r="C52" s="64">
        <f t="shared" ref="C52:M52" si="18">B55</f>
        <v>-342052</v>
      </c>
      <c r="D52" s="64">
        <f t="shared" si="18"/>
        <v>-860788</v>
      </c>
      <c r="E52" s="64">
        <f t="shared" si="18"/>
        <v>-1318745</v>
      </c>
      <c r="F52" s="64">
        <f t="shared" si="18"/>
        <v>-1732884</v>
      </c>
      <c r="G52" s="64">
        <f t="shared" si="18"/>
        <v>-1769628</v>
      </c>
      <c r="H52" s="64">
        <f t="shared" si="18"/>
        <v>-1433217</v>
      </c>
      <c r="I52" s="64">
        <f t="shared" si="18"/>
        <v>-2932898</v>
      </c>
      <c r="J52" s="64">
        <f t="shared" si="18"/>
        <v>-2872112</v>
      </c>
      <c r="K52" s="64">
        <f t="shared" si="18"/>
        <v>-3287665</v>
      </c>
      <c r="L52" s="64">
        <f t="shared" si="18"/>
        <v>-3371053</v>
      </c>
      <c r="M52" s="64">
        <f t="shared" si="18"/>
        <v>-5125158</v>
      </c>
    </row>
    <row r="53" ht="15.75" customHeight="1">
      <c r="A53" s="15" t="s">
        <v>145</v>
      </c>
      <c r="B53" s="105">
        <v>923000.0</v>
      </c>
      <c r="C53" s="105">
        <v>923000.0</v>
      </c>
      <c r="D53" s="105">
        <v>923000.0</v>
      </c>
      <c r="E53" s="105">
        <v>923000.0</v>
      </c>
      <c r="F53" s="105">
        <v>923000.0</v>
      </c>
      <c r="G53" s="105">
        <v>923000.0</v>
      </c>
      <c r="H53" s="105">
        <v>923000.0</v>
      </c>
      <c r="I53" s="105">
        <v>923000.0</v>
      </c>
      <c r="J53" s="105">
        <v>923000.0</v>
      </c>
      <c r="K53" s="105">
        <v>923000.0</v>
      </c>
      <c r="L53" s="105">
        <v>923000.0</v>
      </c>
      <c r="M53" s="105">
        <v>923000.0</v>
      </c>
    </row>
    <row r="54" ht="15.75" customHeight="1">
      <c r="A54" s="15" t="s">
        <v>122</v>
      </c>
      <c r="B54" s="84">
        <v>1265052.0</v>
      </c>
      <c r="C54" s="84">
        <v>1441736.0</v>
      </c>
      <c r="D54" s="84">
        <v>1380957.0</v>
      </c>
      <c r="E54" s="84">
        <v>1337139.0</v>
      </c>
      <c r="F54" s="84">
        <v>959744.0</v>
      </c>
      <c r="G54" s="84">
        <v>586589.0</v>
      </c>
      <c r="H54" s="84">
        <v>2422681.0</v>
      </c>
      <c r="I54" s="84">
        <v>862214.0</v>
      </c>
      <c r="J54" s="84">
        <v>1338553.0</v>
      </c>
      <c r="K54" s="84">
        <v>1006388.0</v>
      </c>
      <c r="L54" s="84">
        <v>2677105.0</v>
      </c>
      <c r="M54" s="84">
        <v>1683438.0</v>
      </c>
    </row>
    <row r="55" ht="15.75" customHeight="1">
      <c r="A55" s="15" t="s">
        <v>147</v>
      </c>
      <c r="B55" s="64">
        <f t="shared" ref="B55:M55" si="19">B53+B52-B54</f>
        <v>-342052</v>
      </c>
      <c r="C55" s="64">
        <f t="shared" si="19"/>
        <v>-860788</v>
      </c>
      <c r="D55" s="64">
        <f t="shared" si="19"/>
        <v>-1318745</v>
      </c>
      <c r="E55" s="64">
        <f t="shared" si="19"/>
        <v>-1732884</v>
      </c>
      <c r="F55" s="64">
        <f t="shared" si="19"/>
        <v>-1769628</v>
      </c>
      <c r="G55" s="64">
        <f t="shared" si="19"/>
        <v>-1433217</v>
      </c>
      <c r="H55" s="64">
        <f t="shared" si="19"/>
        <v>-2932898</v>
      </c>
      <c r="I55" s="64">
        <f t="shared" si="19"/>
        <v>-2872112</v>
      </c>
      <c r="J55" s="64">
        <f t="shared" si="19"/>
        <v>-3287665</v>
      </c>
      <c r="K55" s="64">
        <f t="shared" si="19"/>
        <v>-3371053</v>
      </c>
      <c r="L55" s="64">
        <f t="shared" si="19"/>
        <v>-5125158</v>
      </c>
      <c r="M55" s="64">
        <f t="shared" si="19"/>
        <v>-5885596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13.88"/>
    <col customWidth="1" min="3" max="3" width="13.75"/>
    <col customWidth="1" min="4" max="4" width="13.5"/>
    <col customWidth="1" min="5" max="6" width="13.63"/>
    <col customWidth="1" min="7" max="7" width="13.5"/>
    <col customWidth="1" min="8" max="8" width="13.88"/>
    <col customWidth="1" min="9" max="9" width="13.63"/>
    <col customWidth="1" min="10" max="10" width="13.0"/>
    <col customWidth="1" min="11" max="11" width="13.88"/>
    <col customWidth="1" min="12" max="12" width="13.75"/>
    <col customWidth="1" min="13" max="13" width="13.38"/>
    <col customWidth="1" min="14" max="14" width="13.88"/>
    <col customWidth="1" min="15" max="26" width="10.63"/>
  </cols>
  <sheetData>
    <row r="1">
      <c r="A1" s="80"/>
    </row>
    <row r="3"/>
    <row r="4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9">
      <c r="A9" s="104" t="s">
        <v>131</v>
      </c>
      <c r="B9" s="104" t="s">
        <v>155</v>
      </c>
      <c r="C9" s="24" t="s">
        <v>132</v>
      </c>
      <c r="D9" s="15" t="s">
        <v>133</v>
      </c>
      <c r="E9" s="15" t="s">
        <v>134</v>
      </c>
      <c r="F9" s="15" t="s">
        <v>135</v>
      </c>
      <c r="G9" s="15" t="s">
        <v>136</v>
      </c>
      <c r="H9" s="15" t="s">
        <v>137</v>
      </c>
      <c r="I9" s="15" t="s">
        <v>138</v>
      </c>
      <c r="J9" s="15" t="s">
        <v>139</v>
      </c>
      <c r="K9" s="15" t="s">
        <v>140</v>
      </c>
      <c r="L9" s="15" t="s">
        <v>141</v>
      </c>
      <c r="M9" s="15" t="s">
        <v>142</v>
      </c>
      <c r="N9" s="15" t="s">
        <v>143</v>
      </c>
    </row>
    <row r="10">
      <c r="A10" s="15" t="s">
        <v>144</v>
      </c>
      <c r="B10" s="64">
        <v>0.0</v>
      </c>
      <c r="C10" s="64">
        <f t="shared" ref="C10:N10" si="1">B13</f>
        <v>7448000</v>
      </c>
      <c r="D10" s="64">
        <f t="shared" si="1"/>
        <v>6865574.611</v>
      </c>
      <c r="E10" s="64">
        <f t="shared" si="1"/>
        <v>5161581.431</v>
      </c>
      <c r="F10" s="64">
        <f t="shared" si="1"/>
        <v>3843407.571</v>
      </c>
      <c r="G10" s="64">
        <f t="shared" si="1"/>
        <v>2803382.523</v>
      </c>
      <c r="H10" s="64">
        <f t="shared" si="1"/>
        <v>4159026.28</v>
      </c>
      <c r="I10" s="64">
        <f t="shared" si="1"/>
        <v>7883421.211</v>
      </c>
      <c r="J10" s="64">
        <f t="shared" si="1"/>
        <v>-47516.34858</v>
      </c>
      <c r="K10" s="64">
        <f t="shared" si="1"/>
        <v>1927232.828</v>
      </c>
      <c r="L10" s="64">
        <f t="shared" si="1"/>
        <v>878235.2383</v>
      </c>
      <c r="M10" s="64">
        <f t="shared" si="1"/>
        <v>1937785.096</v>
      </c>
      <c r="N10" s="64">
        <f t="shared" si="1"/>
        <v>-7608210.084</v>
      </c>
    </row>
    <row r="11">
      <c r="A11" s="15" t="s">
        <v>145</v>
      </c>
      <c r="B11" s="64">
        <v>7448000.0</v>
      </c>
      <c r="C11" s="64">
        <v>7448000.0</v>
      </c>
      <c r="D11" s="64">
        <v>7448000.0</v>
      </c>
      <c r="E11" s="64">
        <v>7448000.0</v>
      </c>
      <c r="F11" s="64">
        <v>7448000.0</v>
      </c>
      <c r="G11" s="64">
        <v>7448000.0</v>
      </c>
      <c r="H11" s="64">
        <v>7448000.0</v>
      </c>
      <c r="I11" s="64">
        <v>7448000.0</v>
      </c>
      <c r="J11" s="64">
        <v>7448000.0</v>
      </c>
      <c r="K11" s="64">
        <v>7448000.0</v>
      </c>
      <c r="L11" s="64">
        <v>7448000.0</v>
      </c>
      <c r="M11" s="64">
        <v>7448000.0</v>
      </c>
      <c r="N11" s="64">
        <v>7448000.0</v>
      </c>
    </row>
    <row r="12">
      <c r="A12" s="15" t="s">
        <v>122</v>
      </c>
      <c r="B12" s="64"/>
      <c r="C12" s="64">
        <v>8030425.38851</v>
      </c>
      <c r="D12" s="64">
        <v>9151993.18083</v>
      </c>
      <c r="E12" s="64">
        <v>8766173.85934</v>
      </c>
      <c r="F12" s="64">
        <v>8488025.04794</v>
      </c>
      <c r="G12" s="64">
        <v>6092356.243860001</v>
      </c>
      <c r="H12" s="64">
        <v>3723605.06805</v>
      </c>
      <c r="I12" s="20">
        <v>1.537893756005E7</v>
      </c>
      <c r="J12" s="64">
        <v>5473250.82349</v>
      </c>
      <c r="K12" s="64">
        <v>8496997.589610001</v>
      </c>
      <c r="L12" s="64">
        <v>6388450.14183</v>
      </c>
      <c r="M12" s="64">
        <v>1.69939951802E7</v>
      </c>
      <c r="N12" s="64">
        <v>1.068629792001E7</v>
      </c>
    </row>
    <row r="13">
      <c r="A13" s="15" t="s">
        <v>147</v>
      </c>
      <c r="B13" s="64">
        <f>B11</f>
        <v>7448000</v>
      </c>
      <c r="C13" s="64">
        <f t="shared" ref="C13:N13" si="2">C10+C11-C12</f>
        <v>6865574.611</v>
      </c>
      <c r="D13" s="64">
        <f t="shared" si="2"/>
        <v>5161581.431</v>
      </c>
      <c r="E13" s="64">
        <f t="shared" si="2"/>
        <v>3843407.571</v>
      </c>
      <c r="F13" s="64">
        <f t="shared" si="2"/>
        <v>2803382.523</v>
      </c>
      <c r="G13" s="64">
        <f t="shared" si="2"/>
        <v>4159026.28</v>
      </c>
      <c r="H13" s="64">
        <f t="shared" si="2"/>
        <v>7883421.211</v>
      </c>
      <c r="I13" s="64">
        <f t="shared" si="2"/>
        <v>-47516.34858</v>
      </c>
      <c r="J13" s="64">
        <f t="shared" si="2"/>
        <v>1927232.828</v>
      </c>
      <c r="K13" s="64">
        <f t="shared" si="2"/>
        <v>878235.2383</v>
      </c>
      <c r="L13" s="64">
        <f t="shared" si="2"/>
        <v>1937785.096</v>
      </c>
      <c r="M13" s="64">
        <f t="shared" si="2"/>
        <v>-7608210.084</v>
      </c>
      <c r="N13" s="64">
        <f t="shared" si="2"/>
        <v>-10846508</v>
      </c>
    </row>
    <row r="15">
      <c r="A15" s="104" t="s">
        <v>148</v>
      </c>
      <c r="B15" s="104" t="s">
        <v>155</v>
      </c>
      <c r="C15" s="24" t="s">
        <v>132</v>
      </c>
      <c r="D15" s="15" t="s">
        <v>133</v>
      </c>
      <c r="E15" s="15" t="s">
        <v>134</v>
      </c>
      <c r="F15" s="15" t="s">
        <v>135</v>
      </c>
      <c r="G15" s="15" t="s">
        <v>136</v>
      </c>
      <c r="H15" s="15" t="s">
        <v>137</v>
      </c>
      <c r="I15" s="15" t="s">
        <v>138</v>
      </c>
      <c r="J15" s="15" t="s">
        <v>139</v>
      </c>
      <c r="K15" s="15" t="s">
        <v>140</v>
      </c>
      <c r="L15" s="15" t="s">
        <v>141</v>
      </c>
      <c r="M15" s="15" t="s">
        <v>142</v>
      </c>
      <c r="N15" s="15" t="s">
        <v>143</v>
      </c>
    </row>
    <row r="16">
      <c r="A16" s="15" t="s">
        <v>144</v>
      </c>
      <c r="B16" s="64">
        <v>0.0</v>
      </c>
      <c r="C16" s="64">
        <f t="shared" ref="C16:N16" si="3">B19</f>
        <v>6520800</v>
      </c>
      <c r="D16" s="64">
        <f t="shared" si="3"/>
        <v>5011174.611</v>
      </c>
      <c r="E16" s="64">
        <f t="shared" si="3"/>
        <v>2379981.431</v>
      </c>
      <c r="F16" s="64">
        <f t="shared" si="3"/>
        <v>134607.5713</v>
      </c>
      <c r="G16" s="64">
        <f t="shared" si="3"/>
        <v>-1832617.477</v>
      </c>
      <c r="H16" s="64">
        <f t="shared" si="3"/>
        <v>-1404173.72</v>
      </c>
      <c r="I16" s="64">
        <f t="shared" si="3"/>
        <v>1393021.211</v>
      </c>
      <c r="J16" s="64">
        <f t="shared" si="3"/>
        <v>-7465116.349</v>
      </c>
      <c r="K16" s="64">
        <f t="shared" si="3"/>
        <v>-6417567.172</v>
      </c>
      <c r="L16" s="64">
        <f t="shared" si="3"/>
        <v>-8393764.762</v>
      </c>
      <c r="M16" s="64">
        <f t="shared" si="3"/>
        <v>-8261414.904</v>
      </c>
      <c r="N16" s="64">
        <f t="shared" si="3"/>
        <v>-18734610.08</v>
      </c>
    </row>
    <row r="17">
      <c r="A17" s="15" t="s">
        <v>145</v>
      </c>
      <c r="B17" s="64">
        <f t="shared" ref="B17:N17" si="4">41800*2*3*26</f>
        <v>6520800</v>
      </c>
      <c r="C17" s="64">
        <f t="shared" si="4"/>
        <v>6520800</v>
      </c>
      <c r="D17" s="64">
        <f t="shared" si="4"/>
        <v>6520800</v>
      </c>
      <c r="E17" s="64">
        <f t="shared" si="4"/>
        <v>6520800</v>
      </c>
      <c r="F17" s="64">
        <f t="shared" si="4"/>
        <v>6520800</v>
      </c>
      <c r="G17" s="64">
        <f t="shared" si="4"/>
        <v>6520800</v>
      </c>
      <c r="H17" s="64">
        <f t="shared" si="4"/>
        <v>6520800</v>
      </c>
      <c r="I17" s="64">
        <f t="shared" si="4"/>
        <v>6520800</v>
      </c>
      <c r="J17" s="64">
        <f t="shared" si="4"/>
        <v>6520800</v>
      </c>
      <c r="K17" s="64">
        <f t="shared" si="4"/>
        <v>6520800</v>
      </c>
      <c r="L17" s="64">
        <f t="shared" si="4"/>
        <v>6520800</v>
      </c>
      <c r="M17" s="64">
        <f t="shared" si="4"/>
        <v>6520800</v>
      </c>
      <c r="N17" s="64">
        <f t="shared" si="4"/>
        <v>6520800</v>
      </c>
    </row>
    <row r="18">
      <c r="A18" s="15" t="s">
        <v>122</v>
      </c>
      <c r="B18" s="64"/>
      <c r="C18" s="64">
        <v>8030425.38851</v>
      </c>
      <c r="D18" s="64">
        <v>9151993.18083</v>
      </c>
      <c r="E18" s="64">
        <v>8766173.85934</v>
      </c>
      <c r="F18" s="64">
        <v>8488025.04794</v>
      </c>
      <c r="G18" s="64">
        <v>6092356.243860001</v>
      </c>
      <c r="H18" s="64">
        <v>3723605.06805</v>
      </c>
      <c r="I18" s="64">
        <v>1.537893756005E7</v>
      </c>
      <c r="J18" s="64">
        <v>5473250.82349</v>
      </c>
      <c r="K18" s="64">
        <v>8496997.589610001</v>
      </c>
      <c r="L18" s="64">
        <v>6388450.14183</v>
      </c>
      <c r="M18" s="64">
        <v>1.69939951802E7</v>
      </c>
      <c r="N18" s="64">
        <v>1.068629792001E7</v>
      </c>
    </row>
    <row r="19">
      <c r="A19" s="15" t="s">
        <v>147</v>
      </c>
      <c r="B19" s="64">
        <f>41800*2*3*26</f>
        <v>6520800</v>
      </c>
      <c r="C19" s="64">
        <f t="shared" ref="C19:N19" si="5">C16+C17-C18</f>
        <v>5011174.611</v>
      </c>
      <c r="D19" s="64">
        <f t="shared" si="5"/>
        <v>2379981.431</v>
      </c>
      <c r="E19" s="64">
        <f t="shared" si="5"/>
        <v>134607.5713</v>
      </c>
      <c r="F19" s="64">
        <f t="shared" si="5"/>
        <v>-1832617.477</v>
      </c>
      <c r="G19" s="64">
        <f t="shared" si="5"/>
        <v>-1404173.72</v>
      </c>
      <c r="H19" s="64">
        <f t="shared" si="5"/>
        <v>1393021.211</v>
      </c>
      <c r="I19" s="64">
        <f t="shared" si="5"/>
        <v>-7465116.349</v>
      </c>
      <c r="J19" s="64">
        <f t="shared" si="5"/>
        <v>-6417567.172</v>
      </c>
      <c r="K19" s="64">
        <f t="shared" si="5"/>
        <v>-8393764.762</v>
      </c>
      <c r="L19" s="64">
        <f t="shared" si="5"/>
        <v>-8261414.904</v>
      </c>
      <c r="M19" s="64">
        <f t="shared" si="5"/>
        <v>-18734610.08</v>
      </c>
      <c r="N19" s="64">
        <f t="shared" si="5"/>
        <v>-22900108</v>
      </c>
    </row>
    <row r="21" ht="15.75" customHeight="1">
      <c r="A21" s="104" t="s">
        <v>156</v>
      </c>
      <c r="B21" s="104" t="s">
        <v>155</v>
      </c>
      <c r="C21" s="24" t="s">
        <v>132</v>
      </c>
      <c r="D21" s="15" t="s">
        <v>133</v>
      </c>
      <c r="E21" s="15" t="s">
        <v>134</v>
      </c>
      <c r="F21" s="15" t="s">
        <v>135</v>
      </c>
      <c r="G21" s="15" t="s">
        <v>136</v>
      </c>
      <c r="H21" s="15" t="s">
        <v>137</v>
      </c>
      <c r="I21" s="15" t="s">
        <v>138</v>
      </c>
      <c r="J21" s="15" t="s">
        <v>139</v>
      </c>
      <c r="K21" s="15" t="s">
        <v>140</v>
      </c>
      <c r="L21" s="15" t="s">
        <v>141</v>
      </c>
      <c r="M21" s="15" t="s">
        <v>142</v>
      </c>
      <c r="N21" s="15" t="s">
        <v>143</v>
      </c>
    </row>
    <row r="22" ht="15.75" customHeight="1">
      <c r="A22" s="15" t="s">
        <v>144</v>
      </c>
      <c r="B22" s="64">
        <v>0.0</v>
      </c>
      <c r="C22" s="64">
        <f t="shared" ref="C22:N22" si="6">B25</f>
        <v>5795400</v>
      </c>
      <c r="D22" s="64">
        <f t="shared" si="6"/>
        <v>4642064.02</v>
      </c>
      <c r="E22" s="64">
        <f t="shared" si="6"/>
        <v>2518234.188</v>
      </c>
      <c r="F22" s="64">
        <f t="shared" si="6"/>
        <v>728254.2412</v>
      </c>
      <c r="G22" s="64">
        <f t="shared" si="6"/>
        <v>-821043.2304</v>
      </c>
      <c r="H22" s="64">
        <f t="shared" si="6"/>
        <v>-297365.8342</v>
      </c>
      <c r="I22" s="64">
        <f t="shared" si="6"/>
        <v>2275994.577</v>
      </c>
      <c r="J22" s="64">
        <f t="shared" si="6"/>
        <v>-5236017.121</v>
      </c>
      <c r="K22" s="64">
        <f t="shared" si="6"/>
        <v>-4176627.118</v>
      </c>
      <c r="L22" s="64">
        <f t="shared" si="6"/>
        <v>-5733688.541</v>
      </c>
      <c r="M22" s="64">
        <f t="shared" si="6"/>
        <v>-5466221.521</v>
      </c>
      <c r="N22" s="64">
        <f t="shared" si="6"/>
        <v>-14375744.37</v>
      </c>
    </row>
    <row r="23" ht="15.75" customHeight="1">
      <c r="A23" s="15" t="s">
        <v>145</v>
      </c>
      <c r="B23" s="64">
        <f t="shared" ref="B23:N23" si="7">37150*2*3*26</f>
        <v>5795400</v>
      </c>
      <c r="C23" s="64">
        <f t="shared" si="7"/>
        <v>5795400</v>
      </c>
      <c r="D23" s="64">
        <f t="shared" si="7"/>
        <v>5795400</v>
      </c>
      <c r="E23" s="64">
        <f t="shared" si="7"/>
        <v>5795400</v>
      </c>
      <c r="F23" s="64">
        <f t="shared" si="7"/>
        <v>5795400</v>
      </c>
      <c r="G23" s="64">
        <f t="shared" si="7"/>
        <v>5795400</v>
      </c>
      <c r="H23" s="64">
        <f t="shared" si="7"/>
        <v>5795400</v>
      </c>
      <c r="I23" s="64">
        <f t="shared" si="7"/>
        <v>5795400</v>
      </c>
      <c r="J23" s="64">
        <f t="shared" si="7"/>
        <v>5795400</v>
      </c>
      <c r="K23" s="64">
        <f t="shared" si="7"/>
        <v>5795400</v>
      </c>
      <c r="L23" s="64">
        <f t="shared" si="7"/>
        <v>5795400</v>
      </c>
      <c r="M23" s="64">
        <f t="shared" si="7"/>
        <v>5795400</v>
      </c>
      <c r="N23" s="64">
        <f t="shared" si="7"/>
        <v>5795400</v>
      </c>
    </row>
    <row r="24" ht="15.75" customHeight="1">
      <c r="A24" s="15" t="s">
        <v>122</v>
      </c>
      <c r="B24" s="64"/>
      <c r="C24" s="64">
        <v>6948735.979995806</v>
      </c>
      <c r="D24" s="64">
        <v>7919229.831950527</v>
      </c>
      <c r="E24" s="64">
        <v>7585379.946878104</v>
      </c>
      <c r="F24" s="64">
        <v>7344697.4715933325</v>
      </c>
      <c r="G24" s="64">
        <v>5271722.603818048</v>
      </c>
      <c r="H24" s="64">
        <v>3222039.588489676</v>
      </c>
      <c r="I24" s="64">
        <v>1.3307411698003141E7</v>
      </c>
      <c r="J24" s="64">
        <v>4736009.997539041</v>
      </c>
      <c r="K24" s="64">
        <v>7352461.422408971</v>
      </c>
      <c r="L24" s="64">
        <v>5527932.980734093</v>
      </c>
      <c r="M24" s="64">
        <v>1.4704922844817942E7</v>
      </c>
      <c r="N24" s="64">
        <v>9246865.421424588</v>
      </c>
    </row>
    <row r="25" ht="15.75" customHeight="1">
      <c r="A25" s="15" t="s">
        <v>147</v>
      </c>
      <c r="B25" s="64">
        <f>37150*2*3*26</f>
        <v>5795400</v>
      </c>
      <c r="C25" s="64">
        <f t="shared" ref="C25:N25" si="8">C22+C23-C24</f>
        <v>4642064.02</v>
      </c>
      <c r="D25" s="64">
        <f t="shared" si="8"/>
        <v>2518234.188</v>
      </c>
      <c r="E25" s="64">
        <f t="shared" si="8"/>
        <v>728254.2412</v>
      </c>
      <c r="F25" s="64">
        <f t="shared" si="8"/>
        <v>-821043.2304</v>
      </c>
      <c r="G25" s="64">
        <f t="shared" si="8"/>
        <v>-297365.8342</v>
      </c>
      <c r="H25" s="64">
        <f t="shared" si="8"/>
        <v>2275994.577</v>
      </c>
      <c r="I25" s="64">
        <f t="shared" si="8"/>
        <v>-5236017.121</v>
      </c>
      <c r="J25" s="64">
        <f t="shared" si="8"/>
        <v>-4176627.118</v>
      </c>
      <c r="K25" s="64">
        <f t="shared" si="8"/>
        <v>-5733688.541</v>
      </c>
      <c r="L25" s="64">
        <f t="shared" si="8"/>
        <v>-5466221.521</v>
      </c>
      <c r="M25" s="64">
        <f t="shared" si="8"/>
        <v>-14375744.37</v>
      </c>
      <c r="N25" s="64">
        <f t="shared" si="8"/>
        <v>-17827209.79</v>
      </c>
    </row>
    <row r="26" ht="15.75" customHeight="1"/>
    <row r="27" ht="15.75" customHeight="1">
      <c r="A27" s="104" t="s">
        <v>150</v>
      </c>
      <c r="B27" s="104" t="s">
        <v>155</v>
      </c>
      <c r="C27" s="24" t="s">
        <v>132</v>
      </c>
      <c r="D27" s="15" t="s">
        <v>133</v>
      </c>
      <c r="E27" s="15" t="s">
        <v>134</v>
      </c>
      <c r="F27" s="15" t="s">
        <v>135</v>
      </c>
      <c r="G27" s="15" t="s">
        <v>136</v>
      </c>
      <c r="H27" s="15" t="s">
        <v>137</v>
      </c>
      <c r="I27" s="15" t="s">
        <v>138</v>
      </c>
      <c r="J27" s="15" t="s">
        <v>139</v>
      </c>
      <c r="K27" s="15" t="s">
        <v>140</v>
      </c>
      <c r="L27" s="15" t="s">
        <v>141</v>
      </c>
      <c r="M27" s="15" t="s">
        <v>142</v>
      </c>
      <c r="N27" s="15" t="s">
        <v>143</v>
      </c>
    </row>
    <row r="28" ht="15.75" customHeight="1">
      <c r="A28" s="15" t="s">
        <v>144</v>
      </c>
      <c r="B28" s="64">
        <v>0.0</v>
      </c>
      <c r="C28" s="64">
        <f t="shared" ref="C28:N28" si="9">B31</f>
        <v>449280</v>
      </c>
      <c r="D28" s="64">
        <f t="shared" si="9"/>
        <v>11470.6031</v>
      </c>
      <c r="E28" s="64">
        <f t="shared" si="9"/>
        <v>-550233.961</v>
      </c>
      <c r="F28" s="64">
        <f t="shared" si="9"/>
        <v>-1069318.588</v>
      </c>
      <c r="G28" s="64">
        <f t="shared" si="9"/>
        <v>-1557677.213</v>
      </c>
      <c r="H28" s="64">
        <f t="shared" si="9"/>
        <v>-1781395.761</v>
      </c>
      <c r="I28" s="64">
        <f t="shared" si="9"/>
        <v>-1743447.716</v>
      </c>
      <c r="J28" s="64">
        <f t="shared" si="9"/>
        <v>-2993018.248</v>
      </c>
      <c r="K28" s="64">
        <f t="shared" si="9"/>
        <v>-3148346.664</v>
      </c>
      <c r="L28" s="64">
        <f t="shared" si="9"/>
        <v>-3637696.45</v>
      </c>
      <c r="M28" s="64">
        <f t="shared" si="9"/>
        <v>-3894123.322</v>
      </c>
      <c r="N28" s="64">
        <f t="shared" si="9"/>
        <v>-5322102.895</v>
      </c>
    </row>
    <row r="29" ht="15.75" customHeight="1">
      <c r="A29" s="15" t="s">
        <v>145</v>
      </c>
      <c r="B29" s="64">
        <f t="shared" ref="B29:N29" si="10">2880*2*3*26</f>
        <v>449280</v>
      </c>
      <c r="C29" s="64">
        <f t="shared" si="10"/>
        <v>449280</v>
      </c>
      <c r="D29" s="64">
        <f t="shared" si="10"/>
        <v>449280</v>
      </c>
      <c r="E29" s="64">
        <f t="shared" si="10"/>
        <v>449280</v>
      </c>
      <c r="F29" s="64">
        <f t="shared" si="10"/>
        <v>449280</v>
      </c>
      <c r="G29" s="64">
        <f t="shared" si="10"/>
        <v>449280</v>
      </c>
      <c r="H29" s="64">
        <f t="shared" si="10"/>
        <v>449280</v>
      </c>
      <c r="I29" s="64">
        <f t="shared" si="10"/>
        <v>449280</v>
      </c>
      <c r="J29" s="64">
        <f t="shared" si="10"/>
        <v>449280</v>
      </c>
      <c r="K29" s="64">
        <f t="shared" si="10"/>
        <v>449280</v>
      </c>
      <c r="L29" s="64">
        <f t="shared" si="10"/>
        <v>449280</v>
      </c>
      <c r="M29" s="64">
        <f t="shared" si="10"/>
        <v>449280</v>
      </c>
      <c r="N29" s="64">
        <f t="shared" si="10"/>
        <v>449280</v>
      </c>
    </row>
    <row r="30" ht="15.75" customHeight="1">
      <c r="A30" s="15" t="s">
        <v>122</v>
      </c>
      <c r="B30" s="64"/>
      <c r="C30" s="64">
        <v>887089.3969020781</v>
      </c>
      <c r="D30" s="64">
        <v>1010984.5640671728</v>
      </c>
      <c r="E30" s="64">
        <v>968364.6265623801</v>
      </c>
      <c r="F30" s="64">
        <v>937638.6251054367</v>
      </c>
      <c r="G30" s="64">
        <v>672998.5480407944</v>
      </c>
      <c r="H30" s="64">
        <v>411331.95498811436</v>
      </c>
      <c r="I30" s="64">
        <v>1698850.5321677786</v>
      </c>
      <c r="J30" s="64">
        <v>604608.4157656621</v>
      </c>
      <c r="K30" s="64">
        <v>938629.7864427574</v>
      </c>
      <c r="L30" s="64">
        <v>705706.8721723794</v>
      </c>
      <c r="M30" s="64">
        <v>1877259.5728855147</v>
      </c>
      <c r="N30" s="64">
        <v>1180473.1527490222</v>
      </c>
    </row>
    <row r="31" ht="15.75" customHeight="1">
      <c r="A31" s="15" t="s">
        <v>147</v>
      </c>
      <c r="B31" s="64">
        <f>2880*2*3*26</f>
        <v>449280</v>
      </c>
      <c r="C31" s="64">
        <f t="shared" ref="C31:N31" si="11">C28+C29-C30</f>
        <v>11470.6031</v>
      </c>
      <c r="D31" s="64">
        <f t="shared" si="11"/>
        <v>-550233.961</v>
      </c>
      <c r="E31" s="64">
        <f t="shared" si="11"/>
        <v>-1069318.588</v>
      </c>
      <c r="F31" s="64">
        <f t="shared" si="11"/>
        <v>-1557677.213</v>
      </c>
      <c r="G31" s="64">
        <f t="shared" si="11"/>
        <v>-1781395.761</v>
      </c>
      <c r="H31" s="64">
        <f t="shared" si="11"/>
        <v>-1743447.716</v>
      </c>
      <c r="I31" s="64">
        <f t="shared" si="11"/>
        <v>-2993018.248</v>
      </c>
      <c r="J31" s="64">
        <f t="shared" si="11"/>
        <v>-3148346.664</v>
      </c>
      <c r="K31" s="64">
        <f t="shared" si="11"/>
        <v>-3637696.45</v>
      </c>
      <c r="L31" s="64">
        <f t="shared" si="11"/>
        <v>-3894123.322</v>
      </c>
      <c r="M31" s="64">
        <f t="shared" si="11"/>
        <v>-5322102.895</v>
      </c>
      <c r="N31" s="64">
        <f t="shared" si="11"/>
        <v>-6053296.048</v>
      </c>
    </row>
    <row r="32" ht="15.75" customHeight="1"/>
    <row r="33" ht="15.75" customHeight="1">
      <c r="A33" s="104" t="s">
        <v>157</v>
      </c>
      <c r="B33" s="104" t="s">
        <v>155</v>
      </c>
      <c r="C33" s="24" t="s">
        <v>132</v>
      </c>
      <c r="D33" s="15" t="s">
        <v>133</v>
      </c>
      <c r="E33" s="15" t="s">
        <v>134</v>
      </c>
      <c r="F33" s="15" t="s">
        <v>135</v>
      </c>
      <c r="G33" s="15" t="s">
        <v>136</v>
      </c>
      <c r="H33" s="15" t="s">
        <v>137</v>
      </c>
      <c r="I33" s="15" t="s">
        <v>138</v>
      </c>
      <c r="J33" s="15" t="s">
        <v>139</v>
      </c>
      <c r="K33" s="15" t="s">
        <v>140</v>
      </c>
      <c r="L33" s="15" t="s">
        <v>141</v>
      </c>
      <c r="M33" s="15" t="s">
        <v>142</v>
      </c>
      <c r="N33" s="15" t="s">
        <v>143</v>
      </c>
    </row>
    <row r="34" ht="15.75" customHeight="1">
      <c r="A34" s="15" t="s">
        <v>144</v>
      </c>
      <c r="B34" s="64">
        <v>0.0</v>
      </c>
      <c r="C34" s="64">
        <f t="shared" ref="C34:N34" si="12">B37</f>
        <v>5990400</v>
      </c>
      <c r="D34" s="64">
        <f t="shared" si="12"/>
        <v>5032064.02</v>
      </c>
      <c r="E34" s="64">
        <f t="shared" si="12"/>
        <v>3103234.188</v>
      </c>
      <c r="F34" s="64">
        <f t="shared" si="12"/>
        <v>1508254.241</v>
      </c>
      <c r="G34" s="64">
        <f t="shared" si="12"/>
        <v>153956.7696</v>
      </c>
      <c r="H34" s="64">
        <f t="shared" si="12"/>
        <v>872634.1658</v>
      </c>
      <c r="I34" s="64">
        <f t="shared" si="12"/>
        <v>3640994.577</v>
      </c>
      <c r="J34" s="64">
        <f t="shared" si="12"/>
        <v>-3676017.121</v>
      </c>
      <c r="K34" s="64">
        <f t="shared" si="12"/>
        <v>-2421627.118</v>
      </c>
      <c r="L34" s="64">
        <f t="shared" si="12"/>
        <v>-3783688.541</v>
      </c>
      <c r="M34" s="64">
        <f t="shared" si="12"/>
        <v>-3321221.521</v>
      </c>
      <c r="N34" s="64">
        <f t="shared" si="12"/>
        <v>-12035744.37</v>
      </c>
    </row>
    <row r="35" ht="15.75" customHeight="1">
      <c r="A35" s="15" t="s">
        <v>145</v>
      </c>
      <c r="B35" s="64">
        <v>5990400.0</v>
      </c>
      <c r="C35" s="64">
        <v>5990400.0</v>
      </c>
      <c r="D35" s="64">
        <v>5990400.0</v>
      </c>
      <c r="E35" s="64">
        <v>5990400.0</v>
      </c>
      <c r="F35" s="64">
        <v>5990400.0</v>
      </c>
      <c r="G35" s="64">
        <v>5990400.0</v>
      </c>
      <c r="H35" s="64">
        <v>5990400.0</v>
      </c>
      <c r="I35" s="64">
        <v>5990400.0</v>
      </c>
      <c r="J35" s="64">
        <v>5990400.0</v>
      </c>
      <c r="K35" s="64">
        <v>5990400.0</v>
      </c>
      <c r="L35" s="64">
        <v>5990400.0</v>
      </c>
      <c r="M35" s="64">
        <v>5990400.0</v>
      </c>
      <c r="N35" s="64">
        <v>5990400.0</v>
      </c>
    </row>
    <row r="36" ht="15.75" customHeight="1">
      <c r="A36" s="15" t="s">
        <v>122</v>
      </c>
      <c r="B36" s="64"/>
      <c r="C36" s="64">
        <v>6948735.979995806</v>
      </c>
      <c r="D36" s="64">
        <v>7919229.831950527</v>
      </c>
      <c r="E36" s="64">
        <v>7585379.946878104</v>
      </c>
      <c r="F36" s="64">
        <v>7344697.4715933325</v>
      </c>
      <c r="G36" s="64">
        <v>5271722.603818048</v>
      </c>
      <c r="H36" s="64">
        <v>3222039.588489676</v>
      </c>
      <c r="I36" s="64">
        <v>1.3307411698003141E7</v>
      </c>
      <c r="J36" s="64">
        <v>4736009.997539041</v>
      </c>
      <c r="K36" s="64">
        <v>7352461.422408971</v>
      </c>
      <c r="L36" s="64">
        <v>5527932.980734093</v>
      </c>
      <c r="M36" s="64">
        <v>1.4704922844817942E7</v>
      </c>
      <c r="N36" s="64">
        <v>9246865.421424588</v>
      </c>
    </row>
    <row r="37" ht="15.75" customHeight="1">
      <c r="A37" s="15" t="s">
        <v>147</v>
      </c>
      <c r="B37" s="64">
        <v>5990400.0</v>
      </c>
      <c r="C37" s="64">
        <f t="shared" ref="C37:N37" si="13">C34+C35-C36</f>
        <v>5032064.02</v>
      </c>
      <c r="D37" s="64">
        <f t="shared" si="13"/>
        <v>3103234.188</v>
      </c>
      <c r="E37" s="64">
        <f t="shared" si="13"/>
        <v>1508254.241</v>
      </c>
      <c r="F37" s="64">
        <f t="shared" si="13"/>
        <v>153956.7696</v>
      </c>
      <c r="G37" s="64">
        <f t="shared" si="13"/>
        <v>872634.1658</v>
      </c>
      <c r="H37" s="64">
        <f t="shared" si="13"/>
        <v>3640994.577</v>
      </c>
      <c r="I37" s="64">
        <f t="shared" si="13"/>
        <v>-3676017.121</v>
      </c>
      <c r="J37" s="64">
        <f t="shared" si="13"/>
        <v>-2421627.118</v>
      </c>
      <c r="K37" s="64">
        <f t="shared" si="13"/>
        <v>-3783688.541</v>
      </c>
      <c r="L37" s="64">
        <f t="shared" si="13"/>
        <v>-3321221.521</v>
      </c>
      <c r="M37" s="64">
        <f t="shared" si="13"/>
        <v>-12035744.37</v>
      </c>
      <c r="N37" s="64">
        <f t="shared" si="13"/>
        <v>-15292209.79</v>
      </c>
    </row>
    <row r="38" ht="15.75" customHeight="1"/>
    <row r="39" ht="15.75" customHeight="1">
      <c r="A39" s="104" t="s">
        <v>158</v>
      </c>
      <c r="B39" s="104" t="s">
        <v>155</v>
      </c>
      <c r="C39" s="24" t="s">
        <v>132</v>
      </c>
      <c r="D39" s="15" t="s">
        <v>133</v>
      </c>
      <c r="E39" s="15" t="s">
        <v>134</v>
      </c>
      <c r="F39" s="15" t="s">
        <v>135</v>
      </c>
      <c r="G39" s="15" t="s">
        <v>136</v>
      </c>
      <c r="H39" s="15" t="s">
        <v>137</v>
      </c>
      <c r="I39" s="15" t="s">
        <v>138</v>
      </c>
      <c r="J39" s="15" t="s">
        <v>139</v>
      </c>
      <c r="K39" s="15" t="s">
        <v>140</v>
      </c>
      <c r="L39" s="15" t="s">
        <v>141</v>
      </c>
      <c r="M39" s="15" t="s">
        <v>142</v>
      </c>
      <c r="N39" s="15" t="s">
        <v>143</v>
      </c>
    </row>
    <row r="40" ht="15.75" customHeight="1">
      <c r="A40" s="15" t="s">
        <v>144</v>
      </c>
      <c r="B40" s="64">
        <v>0.0</v>
      </c>
      <c r="C40" s="64">
        <f t="shared" ref="C40:N40" si="14">B43</f>
        <v>468000</v>
      </c>
      <c r="D40" s="64">
        <f t="shared" si="14"/>
        <v>48910.6031</v>
      </c>
      <c r="E40" s="64">
        <f t="shared" si="14"/>
        <v>-494073.961</v>
      </c>
      <c r="F40" s="64">
        <f t="shared" si="14"/>
        <v>-994438.5875</v>
      </c>
      <c r="G40" s="64">
        <f t="shared" si="14"/>
        <v>-1464077.213</v>
      </c>
      <c r="H40" s="64">
        <f t="shared" si="14"/>
        <v>-1669075.761</v>
      </c>
      <c r="I40" s="64">
        <f t="shared" si="14"/>
        <v>-1612407.716</v>
      </c>
      <c r="J40" s="64">
        <f t="shared" si="14"/>
        <v>-2843258.248</v>
      </c>
      <c r="K40" s="64">
        <f t="shared" si="14"/>
        <v>-2979866.664</v>
      </c>
      <c r="L40" s="64">
        <f t="shared" si="14"/>
        <v>-3450496.45</v>
      </c>
      <c r="M40" s="64">
        <f t="shared" si="14"/>
        <v>-3688203.322</v>
      </c>
      <c r="N40" s="64">
        <f t="shared" si="14"/>
        <v>-5097462.895</v>
      </c>
    </row>
    <row r="41" ht="15.75" customHeight="1">
      <c r="A41" s="15" t="s">
        <v>145</v>
      </c>
      <c r="B41" s="64">
        <v>468000.0</v>
      </c>
      <c r="C41" s="64">
        <v>468000.0</v>
      </c>
      <c r="D41" s="64">
        <v>468000.0</v>
      </c>
      <c r="E41" s="64">
        <v>468000.0</v>
      </c>
      <c r="F41" s="64">
        <v>468000.0</v>
      </c>
      <c r="G41" s="64">
        <v>468000.0</v>
      </c>
      <c r="H41" s="64">
        <v>468000.0</v>
      </c>
      <c r="I41" s="64">
        <v>468000.0</v>
      </c>
      <c r="J41" s="64">
        <v>468000.0</v>
      </c>
      <c r="K41" s="64">
        <v>468000.0</v>
      </c>
      <c r="L41" s="64">
        <v>468000.0</v>
      </c>
      <c r="M41" s="64">
        <v>468000.0</v>
      </c>
      <c r="N41" s="64">
        <v>468000.0</v>
      </c>
    </row>
    <row r="42" ht="15.75" customHeight="1">
      <c r="A42" s="15" t="s">
        <v>122</v>
      </c>
      <c r="B42" s="64"/>
      <c r="C42" s="64">
        <v>887089.3969020781</v>
      </c>
      <c r="D42" s="64">
        <v>1010984.5640671728</v>
      </c>
      <c r="E42" s="64">
        <v>968364.6265623801</v>
      </c>
      <c r="F42" s="64">
        <v>937638.6251054367</v>
      </c>
      <c r="G42" s="64">
        <v>672998.5480407944</v>
      </c>
      <c r="H42" s="64">
        <v>411331.95498811436</v>
      </c>
      <c r="I42" s="64">
        <v>1698850.5321677786</v>
      </c>
      <c r="J42" s="64">
        <v>604608.4157656621</v>
      </c>
      <c r="K42" s="64">
        <v>938629.7864427574</v>
      </c>
      <c r="L42" s="64">
        <v>705706.8721723794</v>
      </c>
      <c r="M42" s="64">
        <v>1877259.5728855147</v>
      </c>
      <c r="N42" s="64">
        <v>1180473.1527490222</v>
      </c>
    </row>
    <row r="43" ht="15.75" customHeight="1">
      <c r="A43" s="15" t="s">
        <v>147</v>
      </c>
      <c r="B43" s="64">
        <v>468000.0</v>
      </c>
      <c r="C43" s="64">
        <f t="shared" ref="C43:N43" si="15">C40+C41-C42</f>
        <v>48910.6031</v>
      </c>
      <c r="D43" s="64">
        <f t="shared" si="15"/>
        <v>-494073.961</v>
      </c>
      <c r="E43" s="64">
        <f t="shared" si="15"/>
        <v>-994438.5875</v>
      </c>
      <c r="F43" s="64">
        <f t="shared" si="15"/>
        <v>-1464077.213</v>
      </c>
      <c r="G43" s="64">
        <f t="shared" si="15"/>
        <v>-1669075.761</v>
      </c>
      <c r="H43" s="64">
        <f t="shared" si="15"/>
        <v>-1612407.716</v>
      </c>
      <c r="I43" s="64">
        <f t="shared" si="15"/>
        <v>-2843258.248</v>
      </c>
      <c r="J43" s="64">
        <f t="shared" si="15"/>
        <v>-2979866.664</v>
      </c>
      <c r="K43" s="64">
        <f t="shared" si="15"/>
        <v>-3450496.45</v>
      </c>
      <c r="L43" s="64">
        <f t="shared" si="15"/>
        <v>-3688203.322</v>
      </c>
      <c r="M43" s="64">
        <f t="shared" si="15"/>
        <v>-5097462.895</v>
      </c>
      <c r="N43" s="64">
        <f t="shared" si="15"/>
        <v>-5809936.048</v>
      </c>
    </row>
    <row r="44" ht="15.75" customHeight="1"/>
    <row r="45" ht="15.75" customHeight="1">
      <c r="A45" s="104" t="s">
        <v>153</v>
      </c>
      <c r="B45" s="104" t="s">
        <v>155</v>
      </c>
      <c r="C45" s="24" t="s">
        <v>132</v>
      </c>
      <c r="D45" s="15" t="s">
        <v>133</v>
      </c>
      <c r="E45" s="15" t="s">
        <v>134</v>
      </c>
      <c r="F45" s="15" t="s">
        <v>135</v>
      </c>
      <c r="G45" s="15" t="s">
        <v>136</v>
      </c>
      <c r="H45" s="15" t="s">
        <v>137</v>
      </c>
      <c r="I45" s="15" t="s">
        <v>138</v>
      </c>
      <c r="J45" s="15" t="s">
        <v>139</v>
      </c>
      <c r="K45" s="15" t="s">
        <v>140</v>
      </c>
      <c r="L45" s="15" t="s">
        <v>141</v>
      </c>
      <c r="M45" s="15" t="s">
        <v>142</v>
      </c>
      <c r="N45" s="15" t="s">
        <v>143</v>
      </c>
    </row>
    <row r="46" ht="15.75" customHeight="1">
      <c r="A46" s="15" t="s">
        <v>144</v>
      </c>
      <c r="B46" s="64">
        <v>0.0</v>
      </c>
      <c r="C46" s="64">
        <f t="shared" ref="C46:N46" si="16">B49</f>
        <v>202800</v>
      </c>
      <c r="D46" s="64">
        <f t="shared" si="16"/>
        <v>210999.9882</v>
      </c>
      <c r="E46" s="64">
        <f t="shared" si="16"/>
        <v>192021.2038</v>
      </c>
      <c r="F46" s="64">
        <f t="shared" si="16"/>
        <v>182391.9171</v>
      </c>
      <c r="G46" s="64">
        <f t="shared" si="16"/>
        <v>179502.9661</v>
      </c>
      <c r="H46" s="64">
        <f t="shared" si="16"/>
        <v>234667.8733</v>
      </c>
      <c r="I46" s="64">
        <f t="shared" si="16"/>
        <v>347234.3483</v>
      </c>
      <c r="J46" s="64">
        <f t="shared" si="16"/>
        <v>177359.0184</v>
      </c>
      <c r="K46" s="64">
        <f t="shared" si="16"/>
        <v>247526.6081</v>
      </c>
      <c r="L46" s="64">
        <f t="shared" si="16"/>
        <v>244420.2269</v>
      </c>
      <c r="M46" s="64">
        <f t="shared" si="16"/>
        <v>292409.9382</v>
      </c>
      <c r="N46" s="64">
        <f t="shared" si="16"/>
        <v>83397.17574</v>
      </c>
    </row>
    <row r="47" ht="15.75" customHeight="1">
      <c r="A47" s="15" t="s">
        <v>145</v>
      </c>
      <c r="B47" s="64">
        <v>202800.0</v>
      </c>
      <c r="C47" s="64">
        <v>202800.0</v>
      </c>
      <c r="D47" s="64">
        <v>202800.0</v>
      </c>
      <c r="E47" s="64">
        <v>202800.0</v>
      </c>
      <c r="F47" s="64">
        <v>202800.0</v>
      </c>
      <c r="G47" s="64">
        <v>202800.0</v>
      </c>
      <c r="H47" s="64">
        <v>202800.0</v>
      </c>
      <c r="I47" s="64">
        <v>202800.0</v>
      </c>
      <c r="J47" s="64">
        <v>202800.0</v>
      </c>
      <c r="K47" s="64">
        <v>202800.0</v>
      </c>
      <c r="L47" s="64">
        <v>202800.0</v>
      </c>
      <c r="M47" s="64">
        <v>202800.0</v>
      </c>
      <c r="N47" s="64">
        <v>202800.0</v>
      </c>
    </row>
    <row r="48" ht="15.75" customHeight="1">
      <c r="A48" s="15" t="s">
        <v>122</v>
      </c>
      <c r="B48" s="64"/>
      <c r="C48" s="64">
        <v>194600.01181563537</v>
      </c>
      <c r="D48" s="64">
        <v>221778.7844155844</v>
      </c>
      <c r="E48" s="64">
        <v>212429.28664120194</v>
      </c>
      <c r="F48" s="64">
        <v>205688.95103641454</v>
      </c>
      <c r="G48" s="64">
        <v>147635.09276292336</v>
      </c>
      <c r="H48" s="64">
        <v>90233.52503183091</v>
      </c>
      <c r="I48" s="64">
        <v>372675.3298905017</v>
      </c>
      <c r="J48" s="64">
        <v>132632.41028775147</v>
      </c>
      <c r="K48" s="64">
        <v>205906.38121721416</v>
      </c>
      <c r="L48" s="64">
        <v>154810.28872930992</v>
      </c>
      <c r="M48" s="64">
        <v>411812.7624344283</v>
      </c>
      <c r="N48" s="64">
        <v>258959.34533231476</v>
      </c>
    </row>
    <row r="49" ht="15.75" customHeight="1">
      <c r="A49" s="15" t="s">
        <v>147</v>
      </c>
      <c r="B49" s="64">
        <v>202800.0</v>
      </c>
      <c r="C49" s="64">
        <f t="shared" ref="C49:N49" si="17">C46+C47-C48</f>
        <v>210999.9882</v>
      </c>
      <c r="D49" s="64">
        <f t="shared" si="17"/>
        <v>192021.2038</v>
      </c>
      <c r="E49" s="64">
        <f t="shared" si="17"/>
        <v>182391.9171</v>
      </c>
      <c r="F49" s="64">
        <f t="shared" si="17"/>
        <v>179502.9661</v>
      </c>
      <c r="G49" s="64">
        <f t="shared" si="17"/>
        <v>234667.8733</v>
      </c>
      <c r="H49" s="64">
        <f t="shared" si="17"/>
        <v>347234.3483</v>
      </c>
      <c r="I49" s="64">
        <f t="shared" si="17"/>
        <v>177359.0184</v>
      </c>
      <c r="J49" s="64">
        <f t="shared" si="17"/>
        <v>247526.6081</v>
      </c>
      <c r="K49" s="64">
        <f t="shared" si="17"/>
        <v>244420.2269</v>
      </c>
      <c r="L49" s="64">
        <f t="shared" si="17"/>
        <v>292409.9382</v>
      </c>
      <c r="M49" s="64">
        <f t="shared" si="17"/>
        <v>83397.17574</v>
      </c>
      <c r="N49" s="64">
        <f t="shared" si="17"/>
        <v>27237.8304</v>
      </c>
    </row>
    <row r="50" ht="15.75" customHeight="1"/>
    <row r="51" ht="15.75" customHeight="1">
      <c r="A51" s="106"/>
      <c r="B51" s="106"/>
      <c r="C51" s="87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2" ht="15.75" customHeight="1">
      <c r="A52" s="104" t="s">
        <v>154</v>
      </c>
      <c r="B52" s="104" t="s">
        <v>155</v>
      </c>
      <c r="C52" s="24" t="s">
        <v>132</v>
      </c>
      <c r="D52" s="15" t="s">
        <v>133</v>
      </c>
      <c r="E52" s="15" t="s">
        <v>134</v>
      </c>
      <c r="F52" s="15" t="s">
        <v>135</v>
      </c>
      <c r="G52" s="15" t="s">
        <v>136</v>
      </c>
      <c r="H52" s="15" t="s">
        <v>137</v>
      </c>
      <c r="I52" s="15" t="s">
        <v>138</v>
      </c>
      <c r="J52" s="15" t="s">
        <v>139</v>
      </c>
      <c r="K52" s="15" t="s">
        <v>140</v>
      </c>
      <c r="L52" s="15" t="s">
        <v>141</v>
      </c>
      <c r="M52" s="15" t="s">
        <v>142</v>
      </c>
      <c r="N52" s="15" t="s">
        <v>143</v>
      </c>
    </row>
    <row r="53" ht="15.75" customHeight="1">
      <c r="A53" s="15" t="s">
        <v>144</v>
      </c>
      <c r="B53" s="64">
        <v>0.0</v>
      </c>
      <c r="C53" s="64">
        <f t="shared" ref="C53:N53" si="18">B56</f>
        <v>923000</v>
      </c>
      <c r="D53" s="64">
        <f t="shared" si="18"/>
        <v>580948</v>
      </c>
      <c r="E53" s="64">
        <f t="shared" si="18"/>
        <v>62212</v>
      </c>
      <c r="F53" s="64">
        <f t="shared" si="18"/>
        <v>-395745</v>
      </c>
      <c r="G53" s="64">
        <f t="shared" si="18"/>
        <v>-809884</v>
      </c>
      <c r="H53" s="64">
        <f t="shared" si="18"/>
        <v>-846628</v>
      </c>
      <c r="I53" s="64">
        <f t="shared" si="18"/>
        <v>-510217</v>
      </c>
      <c r="J53" s="64">
        <f t="shared" si="18"/>
        <v>-2009898</v>
      </c>
      <c r="K53" s="64">
        <f t="shared" si="18"/>
        <v>-1949112</v>
      </c>
      <c r="L53" s="64">
        <f t="shared" si="18"/>
        <v>-2364665</v>
      </c>
      <c r="M53" s="64">
        <f t="shared" si="18"/>
        <v>-2448053</v>
      </c>
      <c r="N53" s="64">
        <f t="shared" si="18"/>
        <v>-4202158</v>
      </c>
    </row>
    <row r="54" ht="15.75" customHeight="1">
      <c r="A54" s="15" t="s">
        <v>145</v>
      </c>
      <c r="B54" s="28">
        <v>923000.0</v>
      </c>
      <c r="C54" s="28">
        <v>923000.0</v>
      </c>
      <c r="D54" s="28">
        <v>923000.0</v>
      </c>
      <c r="E54" s="28">
        <v>923000.0</v>
      </c>
      <c r="F54" s="28">
        <v>923000.0</v>
      </c>
      <c r="G54" s="28">
        <v>923000.0</v>
      </c>
      <c r="H54" s="28">
        <v>923000.0</v>
      </c>
      <c r="I54" s="28">
        <v>923000.0</v>
      </c>
      <c r="J54" s="28">
        <v>923000.0</v>
      </c>
      <c r="K54" s="28">
        <v>923000.0</v>
      </c>
      <c r="L54" s="28">
        <v>923000.0</v>
      </c>
      <c r="M54" s="28">
        <v>923000.0</v>
      </c>
      <c r="N54" s="28">
        <v>923000.0</v>
      </c>
    </row>
    <row r="55" ht="15.75" customHeight="1">
      <c r="A55" s="15" t="s">
        <v>122</v>
      </c>
      <c r="B55" s="64"/>
      <c r="C55" s="84">
        <v>1265052.0</v>
      </c>
      <c r="D55" s="84">
        <v>1441736.0</v>
      </c>
      <c r="E55" s="84">
        <v>1380957.0</v>
      </c>
      <c r="F55" s="84">
        <v>1337139.0</v>
      </c>
      <c r="G55" s="84">
        <v>959744.0</v>
      </c>
      <c r="H55" s="84">
        <v>586589.0</v>
      </c>
      <c r="I55" s="84">
        <v>2422681.0</v>
      </c>
      <c r="J55" s="84">
        <v>862214.0</v>
      </c>
      <c r="K55" s="84">
        <v>1338553.0</v>
      </c>
      <c r="L55" s="84">
        <v>1006388.0</v>
      </c>
      <c r="M55" s="84">
        <v>2677105.0</v>
      </c>
      <c r="N55" s="84">
        <v>1683438.0</v>
      </c>
    </row>
    <row r="56" ht="15.75" customHeight="1">
      <c r="A56" s="15" t="s">
        <v>147</v>
      </c>
      <c r="B56" s="107">
        <f>B54</f>
        <v>923000</v>
      </c>
      <c r="C56" s="64">
        <f t="shared" ref="C56:N56" si="19">C53+C54-C55</f>
        <v>580948</v>
      </c>
      <c r="D56" s="64">
        <f t="shared" si="19"/>
        <v>62212</v>
      </c>
      <c r="E56" s="64">
        <f t="shared" si="19"/>
        <v>-395745</v>
      </c>
      <c r="F56" s="64">
        <f t="shared" si="19"/>
        <v>-809884</v>
      </c>
      <c r="G56" s="64">
        <f t="shared" si="19"/>
        <v>-846628</v>
      </c>
      <c r="H56" s="64">
        <f t="shared" si="19"/>
        <v>-510217</v>
      </c>
      <c r="I56" s="64">
        <f t="shared" si="19"/>
        <v>-2009898</v>
      </c>
      <c r="J56" s="64">
        <f t="shared" si="19"/>
        <v>-1949112</v>
      </c>
      <c r="K56" s="64">
        <f t="shared" si="19"/>
        <v>-2364665</v>
      </c>
      <c r="L56" s="64">
        <f t="shared" si="19"/>
        <v>-2448053</v>
      </c>
      <c r="M56" s="64">
        <f t="shared" si="19"/>
        <v>-4202158</v>
      </c>
      <c r="N56" s="64">
        <f t="shared" si="19"/>
        <v>-4962596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17.88"/>
    <col customWidth="1" min="3" max="3" width="19.13"/>
    <col customWidth="1" min="4" max="4" width="16.63"/>
    <col customWidth="1" min="5" max="5" width="14.63"/>
    <col customWidth="1" min="6" max="6" width="14.88"/>
    <col customWidth="1" min="7" max="7" width="16.38"/>
    <col customWidth="1" min="8" max="8" width="19.88"/>
    <col customWidth="1" min="9" max="9" width="23.0"/>
    <col customWidth="1" min="10" max="10" width="21.63"/>
    <col customWidth="1" min="11" max="12" width="20.13"/>
    <col customWidth="1" min="13" max="13" width="21.0"/>
    <col customWidth="1" min="14" max="14" width="16.88"/>
    <col customWidth="1" min="16" max="16" width="43.38"/>
    <col customWidth="1" min="17" max="17" width="18.5"/>
  </cols>
  <sheetData>
    <row r="1">
      <c r="A1" s="104" t="s">
        <v>131</v>
      </c>
      <c r="B1" s="104" t="s">
        <v>155</v>
      </c>
      <c r="C1" s="24" t="s">
        <v>132</v>
      </c>
      <c r="D1" s="15" t="s">
        <v>133</v>
      </c>
      <c r="E1" s="15" t="s">
        <v>134</v>
      </c>
      <c r="F1" s="15" t="s">
        <v>135</v>
      </c>
      <c r="G1" s="15" t="s">
        <v>136</v>
      </c>
      <c r="H1" s="15" t="s">
        <v>137</v>
      </c>
      <c r="I1" s="15" t="s">
        <v>138</v>
      </c>
      <c r="J1" s="15" t="s">
        <v>139</v>
      </c>
      <c r="K1" s="15" t="s">
        <v>140</v>
      </c>
      <c r="L1" s="15" t="s">
        <v>141</v>
      </c>
      <c r="M1" s="15" t="s">
        <v>142</v>
      </c>
      <c r="N1" s="15" t="s">
        <v>143</v>
      </c>
      <c r="P1" s="27" t="s">
        <v>159</v>
      </c>
      <c r="Q1" s="28">
        <v>5000000.0</v>
      </c>
      <c r="R1" s="27" t="s">
        <v>160</v>
      </c>
    </row>
    <row r="2">
      <c r="A2" s="15" t="s">
        <v>144</v>
      </c>
      <c r="B2" s="64">
        <v>0.0</v>
      </c>
      <c r="C2" s="64">
        <f t="shared" ref="C2:N2" si="1">B5+B6</f>
        <v>8288000</v>
      </c>
      <c r="D2" s="64">
        <f t="shared" si="1"/>
        <v>8545574.611</v>
      </c>
      <c r="E2" s="64">
        <f t="shared" si="1"/>
        <v>7681581.431</v>
      </c>
      <c r="F2" s="64">
        <f t="shared" si="1"/>
        <v>7203407.571</v>
      </c>
      <c r="G2" s="64">
        <f t="shared" si="1"/>
        <v>7003382.523</v>
      </c>
      <c r="H2" s="64">
        <f t="shared" si="1"/>
        <v>9199026.28</v>
      </c>
      <c r="I2" s="64">
        <f t="shared" si="1"/>
        <v>13763421.21</v>
      </c>
      <c r="J2" s="64">
        <f t="shared" si="1"/>
        <v>6672483.651</v>
      </c>
      <c r="K2" s="64">
        <f t="shared" si="1"/>
        <v>9487232.828</v>
      </c>
      <c r="L2" s="64">
        <f t="shared" si="1"/>
        <v>9278235.238</v>
      </c>
      <c r="M2" s="64">
        <f t="shared" si="1"/>
        <v>11177785.1</v>
      </c>
      <c r="N2" s="64">
        <f t="shared" si="1"/>
        <v>2471789.916</v>
      </c>
      <c r="P2" s="27" t="s">
        <v>161</v>
      </c>
      <c r="Q2" s="64">
        <f>B6+B14+B22+B30+B38+B46</f>
        <v>6080000</v>
      </c>
      <c r="R2" s="27" t="s">
        <v>160</v>
      </c>
    </row>
    <row r="3">
      <c r="A3" s="15" t="s">
        <v>145</v>
      </c>
      <c r="B3" s="64">
        <v>7448000.0</v>
      </c>
      <c r="C3" s="64">
        <v>7448000.0</v>
      </c>
      <c r="D3" s="64">
        <v>7448000.0</v>
      </c>
      <c r="E3" s="64">
        <v>7448000.0</v>
      </c>
      <c r="F3" s="64">
        <v>7448000.0</v>
      </c>
      <c r="G3" s="64">
        <v>7448000.0</v>
      </c>
      <c r="H3" s="64">
        <v>7448000.0</v>
      </c>
      <c r="I3" s="64">
        <v>7448000.0</v>
      </c>
      <c r="J3" s="64">
        <v>7448000.0</v>
      </c>
      <c r="K3" s="64">
        <v>7448000.0</v>
      </c>
      <c r="L3" s="64">
        <v>7448000.0</v>
      </c>
      <c r="M3" s="64">
        <v>7448000.0</v>
      </c>
      <c r="N3" s="64">
        <v>7448000.0</v>
      </c>
      <c r="P3" s="27" t="s">
        <v>162</v>
      </c>
      <c r="Q3" s="108">
        <v>200.0</v>
      </c>
      <c r="R3" s="7"/>
    </row>
    <row r="4">
      <c r="A4" s="15" t="s">
        <v>122</v>
      </c>
      <c r="B4" s="64"/>
      <c r="C4" s="64">
        <v>8030425.38851</v>
      </c>
      <c r="D4" s="64">
        <v>9151993.18083</v>
      </c>
      <c r="E4" s="64">
        <v>8766173.85934</v>
      </c>
      <c r="F4" s="64">
        <v>8488025.04794</v>
      </c>
      <c r="G4" s="64">
        <v>6092356.243860001</v>
      </c>
      <c r="H4" s="64">
        <v>3723605.06805</v>
      </c>
      <c r="I4" s="20">
        <v>1.537893756005E7</v>
      </c>
      <c r="J4" s="64">
        <v>5473250.82349</v>
      </c>
      <c r="K4" s="64">
        <v>8496997.589610001</v>
      </c>
      <c r="L4" s="64">
        <v>6388450.14183</v>
      </c>
      <c r="M4" s="64">
        <v>1.69939951802E7</v>
      </c>
      <c r="N4" s="64">
        <v>1.068629792001E7</v>
      </c>
      <c r="P4" s="27" t="s">
        <v>163</v>
      </c>
      <c r="Q4" s="109">
        <f>(Q2/1000)*200</f>
        <v>1216000</v>
      </c>
      <c r="R4" s="7"/>
    </row>
    <row r="5">
      <c r="A5" s="15" t="s">
        <v>147</v>
      </c>
      <c r="B5" s="64">
        <f>B3</f>
        <v>7448000</v>
      </c>
      <c r="C5" s="64">
        <f t="shared" ref="C5:N5" si="2">C2+C3-C4</f>
        <v>7705574.611</v>
      </c>
      <c r="D5" s="64">
        <f t="shared" si="2"/>
        <v>6841581.431</v>
      </c>
      <c r="E5" s="64">
        <f t="shared" si="2"/>
        <v>6363407.571</v>
      </c>
      <c r="F5" s="64">
        <f t="shared" si="2"/>
        <v>6163382.523</v>
      </c>
      <c r="G5" s="64">
        <f t="shared" si="2"/>
        <v>8359026.28</v>
      </c>
      <c r="H5" s="64">
        <f t="shared" si="2"/>
        <v>12923421.21</v>
      </c>
      <c r="I5" s="64">
        <f t="shared" si="2"/>
        <v>5832483.651</v>
      </c>
      <c r="J5" s="64">
        <f t="shared" si="2"/>
        <v>8647232.828</v>
      </c>
      <c r="K5" s="64">
        <f t="shared" si="2"/>
        <v>8438235.238</v>
      </c>
      <c r="L5" s="64">
        <f t="shared" si="2"/>
        <v>10337785.1</v>
      </c>
      <c r="M5" s="64">
        <f t="shared" si="2"/>
        <v>1631789.916</v>
      </c>
      <c r="N5" s="64">
        <f t="shared" si="2"/>
        <v>-766508.0037</v>
      </c>
      <c r="P5" s="27" t="s">
        <v>164</v>
      </c>
      <c r="Q5" s="109">
        <f>Q4*13</f>
        <v>15808000</v>
      </c>
      <c r="R5" s="7"/>
    </row>
    <row r="6">
      <c r="A6" s="24" t="s">
        <v>165</v>
      </c>
      <c r="B6" s="20">
        <v>840000.0</v>
      </c>
      <c r="C6" s="20">
        <v>840000.0</v>
      </c>
      <c r="D6" s="20">
        <v>840000.0</v>
      </c>
      <c r="E6" s="20">
        <v>840000.0</v>
      </c>
      <c r="F6" s="20">
        <v>840000.0</v>
      </c>
      <c r="G6" s="20">
        <v>840000.0</v>
      </c>
      <c r="H6" s="20">
        <v>840000.0</v>
      </c>
      <c r="I6" s="20">
        <v>840000.0</v>
      </c>
      <c r="J6" s="20">
        <v>840000.0</v>
      </c>
      <c r="K6" s="20">
        <v>840000.0</v>
      </c>
      <c r="L6" s="20">
        <v>840000.0</v>
      </c>
      <c r="M6" s="20">
        <v>840000.0</v>
      </c>
      <c r="N6" s="20">
        <v>840000.0</v>
      </c>
    </row>
    <row r="7">
      <c r="A7" s="24" t="s">
        <v>166</v>
      </c>
      <c r="B7" s="64">
        <f t="shared" ref="B7:N7" si="3">B6+B5</f>
        <v>8288000</v>
      </c>
      <c r="C7" s="64">
        <f t="shared" si="3"/>
        <v>8545574.611</v>
      </c>
      <c r="D7" s="64">
        <f t="shared" si="3"/>
        <v>7681581.431</v>
      </c>
      <c r="E7" s="64">
        <f t="shared" si="3"/>
        <v>7203407.571</v>
      </c>
      <c r="F7" s="64">
        <f t="shared" si="3"/>
        <v>7003382.523</v>
      </c>
      <c r="G7" s="64">
        <f t="shared" si="3"/>
        <v>9199026.28</v>
      </c>
      <c r="H7" s="64">
        <f t="shared" si="3"/>
        <v>13763421.21</v>
      </c>
      <c r="I7" s="64">
        <f t="shared" si="3"/>
        <v>6672483.651</v>
      </c>
      <c r="J7" s="64">
        <f t="shared" si="3"/>
        <v>9487232.828</v>
      </c>
      <c r="K7" s="64">
        <f t="shared" si="3"/>
        <v>9278235.238</v>
      </c>
      <c r="L7" s="64">
        <f t="shared" si="3"/>
        <v>11177785.1</v>
      </c>
      <c r="M7" s="64">
        <f t="shared" si="3"/>
        <v>2471789.916</v>
      </c>
      <c r="N7" s="64">
        <f t="shared" si="3"/>
        <v>73491.99628</v>
      </c>
    </row>
    <row r="8">
      <c r="A8" s="110"/>
      <c r="B8" s="106"/>
      <c r="C8" s="87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>
      <c r="A9" s="104" t="s">
        <v>148</v>
      </c>
      <c r="B9" s="104" t="s">
        <v>155</v>
      </c>
      <c r="C9" s="24" t="s">
        <v>132</v>
      </c>
      <c r="D9" s="15" t="s">
        <v>133</v>
      </c>
      <c r="E9" s="15" t="s">
        <v>134</v>
      </c>
      <c r="F9" s="15" t="s">
        <v>135</v>
      </c>
      <c r="G9" s="15" t="s">
        <v>136</v>
      </c>
      <c r="H9" s="15" t="s">
        <v>137</v>
      </c>
      <c r="I9" s="15" t="s">
        <v>138</v>
      </c>
      <c r="J9" s="15" t="s">
        <v>139</v>
      </c>
      <c r="K9" s="15" t="s">
        <v>140</v>
      </c>
      <c r="L9" s="15" t="s">
        <v>141</v>
      </c>
      <c r="M9" s="15" t="s">
        <v>142</v>
      </c>
      <c r="N9" s="15" t="s">
        <v>143</v>
      </c>
    </row>
    <row r="10">
      <c r="A10" s="15" t="s">
        <v>144</v>
      </c>
      <c r="B10" s="64">
        <v>0.0</v>
      </c>
      <c r="C10" s="64">
        <f t="shared" ref="C10:N10" si="4">B13+B14</f>
        <v>8290800</v>
      </c>
      <c r="D10" s="64">
        <f t="shared" si="4"/>
        <v>8551174.611</v>
      </c>
      <c r="E10" s="64">
        <f t="shared" si="4"/>
        <v>7689981.431</v>
      </c>
      <c r="F10" s="64">
        <f t="shared" si="4"/>
        <v>7214607.571</v>
      </c>
      <c r="G10" s="64">
        <f t="shared" si="4"/>
        <v>7017382.523</v>
      </c>
      <c r="H10" s="64">
        <f t="shared" si="4"/>
        <v>9215826.28</v>
      </c>
      <c r="I10" s="64">
        <f t="shared" si="4"/>
        <v>13783021.21</v>
      </c>
      <c r="J10" s="64">
        <f t="shared" si="4"/>
        <v>6694883.651</v>
      </c>
      <c r="K10" s="64">
        <f t="shared" si="4"/>
        <v>9512432.828</v>
      </c>
      <c r="L10" s="64">
        <f t="shared" si="4"/>
        <v>9306235.238</v>
      </c>
      <c r="M10" s="64">
        <f t="shared" si="4"/>
        <v>11208585.1</v>
      </c>
      <c r="N10" s="64">
        <f t="shared" si="4"/>
        <v>2505389.916</v>
      </c>
      <c r="P10" s="27" t="s">
        <v>167</v>
      </c>
      <c r="Q10" s="64">
        <f>SUM(B3,B11,B19,B27,B35,B43,B51)</f>
        <v>26874680</v>
      </c>
    </row>
    <row r="11">
      <c r="A11" s="15" t="s">
        <v>145</v>
      </c>
      <c r="B11" s="64">
        <f t="shared" ref="B11:N11" si="5">41800*2*3*26</f>
        <v>6520800</v>
      </c>
      <c r="C11" s="64">
        <f t="shared" si="5"/>
        <v>6520800</v>
      </c>
      <c r="D11" s="64">
        <f t="shared" si="5"/>
        <v>6520800</v>
      </c>
      <c r="E11" s="64">
        <f t="shared" si="5"/>
        <v>6520800</v>
      </c>
      <c r="F11" s="64">
        <f t="shared" si="5"/>
        <v>6520800</v>
      </c>
      <c r="G11" s="64">
        <f t="shared" si="5"/>
        <v>6520800</v>
      </c>
      <c r="H11" s="64">
        <f t="shared" si="5"/>
        <v>6520800</v>
      </c>
      <c r="I11" s="64">
        <f t="shared" si="5"/>
        <v>6520800</v>
      </c>
      <c r="J11" s="64">
        <f t="shared" si="5"/>
        <v>6520800</v>
      </c>
      <c r="K11" s="64">
        <f t="shared" si="5"/>
        <v>6520800</v>
      </c>
      <c r="L11" s="64">
        <f t="shared" si="5"/>
        <v>6520800</v>
      </c>
      <c r="M11" s="64">
        <f t="shared" si="5"/>
        <v>6520800</v>
      </c>
      <c r="N11" s="64">
        <f t="shared" si="5"/>
        <v>6520800</v>
      </c>
      <c r="P11" s="27" t="s">
        <v>168</v>
      </c>
      <c r="Q11" s="111">
        <f>Q2/Q10</f>
        <v>0.2262352519</v>
      </c>
    </row>
    <row r="12">
      <c r="A12" s="15" t="s">
        <v>122</v>
      </c>
      <c r="B12" s="64"/>
      <c r="C12" s="64">
        <v>8030425.38851</v>
      </c>
      <c r="D12" s="64">
        <v>9151993.18083</v>
      </c>
      <c r="E12" s="64">
        <v>8766173.85934</v>
      </c>
      <c r="F12" s="64">
        <v>8488025.04794</v>
      </c>
      <c r="G12" s="64">
        <v>6092356.243860001</v>
      </c>
      <c r="H12" s="64">
        <v>3723605.06805</v>
      </c>
      <c r="I12" s="64">
        <v>1.537893756005E7</v>
      </c>
      <c r="J12" s="64">
        <v>5473250.82349</v>
      </c>
      <c r="K12" s="64">
        <v>8496997.589610001</v>
      </c>
      <c r="L12" s="64">
        <v>6388450.14183</v>
      </c>
      <c r="M12" s="64">
        <v>1.69939951802E7</v>
      </c>
      <c r="N12" s="64">
        <v>1.068629792001E7</v>
      </c>
    </row>
    <row r="13">
      <c r="A13" s="15" t="s">
        <v>147</v>
      </c>
      <c r="B13" s="64">
        <f>41800*2*3*26</f>
        <v>6520800</v>
      </c>
      <c r="C13" s="64">
        <f t="shared" ref="C13:N13" si="6">C10+C11-C12</f>
        <v>6781174.611</v>
      </c>
      <c r="D13" s="64">
        <f t="shared" si="6"/>
        <v>5919981.431</v>
      </c>
      <c r="E13" s="64">
        <f t="shared" si="6"/>
        <v>5444607.571</v>
      </c>
      <c r="F13" s="64">
        <f t="shared" si="6"/>
        <v>5247382.523</v>
      </c>
      <c r="G13" s="64">
        <f t="shared" si="6"/>
        <v>7445826.28</v>
      </c>
      <c r="H13" s="64">
        <f t="shared" si="6"/>
        <v>12013021.21</v>
      </c>
      <c r="I13" s="64">
        <f t="shared" si="6"/>
        <v>4924883.651</v>
      </c>
      <c r="J13" s="64">
        <f t="shared" si="6"/>
        <v>7742432.828</v>
      </c>
      <c r="K13" s="64">
        <f t="shared" si="6"/>
        <v>7536235.238</v>
      </c>
      <c r="L13" s="64">
        <f t="shared" si="6"/>
        <v>9438585.096</v>
      </c>
      <c r="M13" s="64">
        <f t="shared" si="6"/>
        <v>735389.9163</v>
      </c>
      <c r="N13" s="64">
        <f t="shared" si="6"/>
        <v>-1660108.004</v>
      </c>
    </row>
    <row r="14">
      <c r="A14" s="24" t="s">
        <v>165</v>
      </c>
      <c r="B14" s="20">
        <v>1770000.0</v>
      </c>
      <c r="C14" s="20">
        <v>1770000.0</v>
      </c>
      <c r="D14" s="20">
        <v>1770000.0</v>
      </c>
      <c r="E14" s="20">
        <v>1770000.0</v>
      </c>
      <c r="F14" s="20">
        <v>1770000.0</v>
      </c>
      <c r="G14" s="20">
        <v>1770000.0</v>
      </c>
      <c r="H14" s="20">
        <v>1770000.0</v>
      </c>
      <c r="I14" s="20">
        <v>1770000.0</v>
      </c>
      <c r="J14" s="20">
        <v>1770000.0</v>
      </c>
      <c r="K14" s="20">
        <v>1770000.0</v>
      </c>
      <c r="L14" s="20">
        <v>1770000.0</v>
      </c>
      <c r="M14" s="20">
        <v>1770000.0</v>
      </c>
      <c r="N14" s="20">
        <v>1770000.0</v>
      </c>
    </row>
    <row r="15">
      <c r="A15" s="24" t="s">
        <v>166</v>
      </c>
      <c r="B15" s="64">
        <f t="shared" ref="B15:N15" si="7">B13+B14</f>
        <v>8290800</v>
      </c>
      <c r="C15" s="64">
        <f t="shared" si="7"/>
        <v>8551174.611</v>
      </c>
      <c r="D15" s="64">
        <f t="shared" si="7"/>
        <v>7689981.431</v>
      </c>
      <c r="E15" s="64">
        <f t="shared" si="7"/>
        <v>7214607.571</v>
      </c>
      <c r="F15" s="64">
        <f t="shared" si="7"/>
        <v>7017382.523</v>
      </c>
      <c r="G15" s="64">
        <f t="shared" si="7"/>
        <v>9215826.28</v>
      </c>
      <c r="H15" s="64">
        <f t="shared" si="7"/>
        <v>13783021.21</v>
      </c>
      <c r="I15" s="64">
        <f t="shared" si="7"/>
        <v>6694883.651</v>
      </c>
      <c r="J15" s="64">
        <f t="shared" si="7"/>
        <v>9512432.828</v>
      </c>
      <c r="K15" s="64">
        <f t="shared" si="7"/>
        <v>9306235.238</v>
      </c>
      <c r="L15" s="64">
        <f t="shared" si="7"/>
        <v>11208585.1</v>
      </c>
      <c r="M15" s="64">
        <f t="shared" si="7"/>
        <v>2505389.916</v>
      </c>
      <c r="N15" s="64">
        <f t="shared" si="7"/>
        <v>109891.9963</v>
      </c>
    </row>
    <row r="16">
      <c r="A16" s="110"/>
      <c r="B16" s="106"/>
      <c r="C16" s="87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</row>
    <row r="17">
      <c r="A17" s="104" t="s">
        <v>156</v>
      </c>
      <c r="B17" s="104" t="s">
        <v>155</v>
      </c>
      <c r="C17" s="24" t="s">
        <v>132</v>
      </c>
      <c r="D17" s="15" t="s">
        <v>133</v>
      </c>
      <c r="E17" s="15" t="s">
        <v>134</v>
      </c>
      <c r="F17" s="15" t="s">
        <v>135</v>
      </c>
      <c r="G17" s="15" t="s">
        <v>136</v>
      </c>
      <c r="H17" s="15" t="s">
        <v>137</v>
      </c>
      <c r="I17" s="15" t="s">
        <v>138</v>
      </c>
      <c r="J17" s="15" t="s">
        <v>139</v>
      </c>
      <c r="K17" s="15" t="s">
        <v>140</v>
      </c>
      <c r="L17" s="15" t="s">
        <v>141</v>
      </c>
      <c r="M17" s="15" t="s">
        <v>142</v>
      </c>
      <c r="N17" s="15" t="s">
        <v>143</v>
      </c>
    </row>
    <row r="18">
      <c r="A18" s="15" t="s">
        <v>144</v>
      </c>
      <c r="B18" s="64">
        <v>0.0</v>
      </c>
      <c r="C18" s="64">
        <f t="shared" ref="C18:N18" si="8">B21+B22</f>
        <v>7175400</v>
      </c>
      <c r="D18" s="64">
        <f t="shared" si="8"/>
        <v>7402064.02</v>
      </c>
      <c r="E18" s="64">
        <f t="shared" si="8"/>
        <v>6658234.188</v>
      </c>
      <c r="F18" s="64">
        <f t="shared" si="8"/>
        <v>6248254.241</v>
      </c>
      <c r="G18" s="64">
        <f t="shared" si="8"/>
        <v>6078956.77</v>
      </c>
      <c r="H18" s="64">
        <f t="shared" si="8"/>
        <v>7982634.166</v>
      </c>
      <c r="I18" s="64">
        <f t="shared" si="8"/>
        <v>11935994.58</v>
      </c>
      <c r="J18" s="64">
        <f t="shared" si="8"/>
        <v>5803982.879</v>
      </c>
      <c r="K18" s="64">
        <f t="shared" si="8"/>
        <v>8243372.882</v>
      </c>
      <c r="L18" s="64">
        <f t="shared" si="8"/>
        <v>8066311.459</v>
      </c>
      <c r="M18" s="64">
        <f t="shared" si="8"/>
        <v>9713778.479</v>
      </c>
      <c r="N18" s="64">
        <f t="shared" si="8"/>
        <v>2184255.634</v>
      </c>
    </row>
    <row r="19">
      <c r="A19" s="15" t="s">
        <v>145</v>
      </c>
      <c r="B19" s="64">
        <f t="shared" ref="B19:N19" si="9">37150*2*3*26</f>
        <v>5795400</v>
      </c>
      <c r="C19" s="64">
        <f t="shared" si="9"/>
        <v>5795400</v>
      </c>
      <c r="D19" s="64">
        <f t="shared" si="9"/>
        <v>5795400</v>
      </c>
      <c r="E19" s="64">
        <f t="shared" si="9"/>
        <v>5795400</v>
      </c>
      <c r="F19" s="64">
        <f t="shared" si="9"/>
        <v>5795400</v>
      </c>
      <c r="G19" s="64">
        <f t="shared" si="9"/>
        <v>5795400</v>
      </c>
      <c r="H19" s="64">
        <f t="shared" si="9"/>
        <v>5795400</v>
      </c>
      <c r="I19" s="64">
        <f t="shared" si="9"/>
        <v>5795400</v>
      </c>
      <c r="J19" s="64">
        <f t="shared" si="9"/>
        <v>5795400</v>
      </c>
      <c r="K19" s="64">
        <f t="shared" si="9"/>
        <v>5795400</v>
      </c>
      <c r="L19" s="64">
        <f t="shared" si="9"/>
        <v>5795400</v>
      </c>
      <c r="M19" s="64">
        <f t="shared" si="9"/>
        <v>5795400</v>
      </c>
      <c r="N19" s="64">
        <f t="shared" si="9"/>
        <v>5795400</v>
      </c>
    </row>
    <row r="20">
      <c r="A20" s="15" t="s">
        <v>122</v>
      </c>
      <c r="B20" s="64"/>
      <c r="C20" s="64">
        <v>6948735.979995806</v>
      </c>
      <c r="D20" s="64">
        <v>7919229.831950527</v>
      </c>
      <c r="E20" s="64">
        <v>7585379.946878104</v>
      </c>
      <c r="F20" s="64">
        <v>7344697.4715933325</v>
      </c>
      <c r="G20" s="64">
        <v>5271722.603818048</v>
      </c>
      <c r="H20" s="64">
        <v>3222039.588489676</v>
      </c>
      <c r="I20" s="64">
        <v>1.3307411698003141E7</v>
      </c>
      <c r="J20" s="64">
        <v>4736009.997539041</v>
      </c>
      <c r="K20" s="64">
        <v>7352461.422408971</v>
      </c>
      <c r="L20" s="64">
        <v>5527932.980734093</v>
      </c>
      <c r="M20" s="64">
        <v>1.4704922844817942E7</v>
      </c>
      <c r="N20" s="64">
        <v>9246865.421424588</v>
      </c>
    </row>
    <row r="21">
      <c r="A21" s="15" t="s">
        <v>147</v>
      </c>
      <c r="B21" s="64">
        <f>37150*2*3*26</f>
        <v>5795400</v>
      </c>
      <c r="C21" s="64">
        <f t="shared" ref="C21:N21" si="10">C18+C19-C20</f>
        <v>6022064.02</v>
      </c>
      <c r="D21" s="64">
        <f t="shared" si="10"/>
        <v>5278234.188</v>
      </c>
      <c r="E21" s="64">
        <f t="shared" si="10"/>
        <v>4868254.241</v>
      </c>
      <c r="F21" s="64">
        <f t="shared" si="10"/>
        <v>4698956.77</v>
      </c>
      <c r="G21" s="64">
        <f t="shared" si="10"/>
        <v>6602634.166</v>
      </c>
      <c r="H21" s="64">
        <f t="shared" si="10"/>
        <v>10555994.58</v>
      </c>
      <c r="I21" s="64">
        <f t="shared" si="10"/>
        <v>4423982.879</v>
      </c>
      <c r="J21" s="64">
        <f t="shared" si="10"/>
        <v>6863372.882</v>
      </c>
      <c r="K21" s="64">
        <f t="shared" si="10"/>
        <v>6686311.459</v>
      </c>
      <c r="L21" s="64">
        <f t="shared" si="10"/>
        <v>8333778.479</v>
      </c>
      <c r="M21" s="64">
        <f t="shared" si="10"/>
        <v>804255.6338</v>
      </c>
      <c r="N21" s="64">
        <f t="shared" si="10"/>
        <v>-1267209.788</v>
      </c>
    </row>
    <row r="22">
      <c r="A22" s="24" t="s">
        <v>165</v>
      </c>
      <c r="B22" s="28">
        <v>1380000.0</v>
      </c>
      <c r="C22" s="28">
        <v>1380000.0</v>
      </c>
      <c r="D22" s="28">
        <v>1380000.0</v>
      </c>
      <c r="E22" s="28">
        <v>1380000.0</v>
      </c>
      <c r="F22" s="28">
        <v>1380000.0</v>
      </c>
      <c r="G22" s="28">
        <v>1380000.0</v>
      </c>
      <c r="H22" s="28">
        <v>1380000.0</v>
      </c>
      <c r="I22" s="28">
        <v>1380000.0</v>
      </c>
      <c r="J22" s="28">
        <v>1380000.0</v>
      </c>
      <c r="K22" s="28">
        <v>1380000.0</v>
      </c>
      <c r="L22" s="28">
        <v>1380000.0</v>
      </c>
      <c r="M22" s="28">
        <v>1380000.0</v>
      </c>
      <c r="N22" s="28">
        <v>1380000.0</v>
      </c>
    </row>
    <row r="23">
      <c r="A23" s="24" t="s">
        <v>166</v>
      </c>
      <c r="B23" s="84">
        <f t="shared" ref="B23:N23" si="11">B22+B21</f>
        <v>7175400</v>
      </c>
      <c r="C23" s="84">
        <f t="shared" si="11"/>
        <v>7402064.02</v>
      </c>
      <c r="D23" s="84">
        <f t="shared" si="11"/>
        <v>6658234.188</v>
      </c>
      <c r="E23" s="84">
        <f t="shared" si="11"/>
        <v>6248254.241</v>
      </c>
      <c r="F23" s="84">
        <f t="shared" si="11"/>
        <v>6078956.77</v>
      </c>
      <c r="G23" s="84">
        <f t="shared" si="11"/>
        <v>7982634.166</v>
      </c>
      <c r="H23" s="84">
        <f t="shared" si="11"/>
        <v>11935994.58</v>
      </c>
      <c r="I23" s="84">
        <f t="shared" si="11"/>
        <v>5803982.879</v>
      </c>
      <c r="J23" s="84">
        <f t="shared" si="11"/>
        <v>8243372.882</v>
      </c>
      <c r="K23" s="84">
        <f t="shared" si="11"/>
        <v>8066311.459</v>
      </c>
      <c r="L23" s="84">
        <f t="shared" si="11"/>
        <v>9713778.479</v>
      </c>
      <c r="M23" s="84">
        <f t="shared" si="11"/>
        <v>2184255.634</v>
      </c>
      <c r="N23" s="84">
        <f t="shared" si="11"/>
        <v>112790.2123</v>
      </c>
    </row>
    <row r="24">
      <c r="A24" s="106"/>
      <c r="B24" s="106"/>
      <c r="C24" s="87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5">
      <c r="A25" s="104" t="s">
        <v>150</v>
      </c>
      <c r="B25" s="104" t="s">
        <v>155</v>
      </c>
      <c r="C25" s="24" t="s">
        <v>132</v>
      </c>
      <c r="D25" s="15" t="s">
        <v>133</v>
      </c>
      <c r="E25" s="15" t="s">
        <v>134</v>
      </c>
      <c r="F25" s="15" t="s">
        <v>135</v>
      </c>
      <c r="G25" s="15" t="s">
        <v>136</v>
      </c>
      <c r="H25" s="15" t="s">
        <v>137</v>
      </c>
      <c r="I25" s="15" t="s">
        <v>138</v>
      </c>
      <c r="J25" s="15" t="s">
        <v>139</v>
      </c>
      <c r="K25" s="15" t="s">
        <v>140</v>
      </c>
      <c r="L25" s="15" t="s">
        <v>141</v>
      </c>
      <c r="M25" s="15" t="s">
        <v>142</v>
      </c>
      <c r="N25" s="15" t="s">
        <v>143</v>
      </c>
    </row>
    <row r="26">
      <c r="A26" s="15" t="s">
        <v>144</v>
      </c>
      <c r="B26" s="64">
        <v>0.0</v>
      </c>
      <c r="C26" s="64">
        <f t="shared" ref="C26:N26" si="12">B29+B30</f>
        <v>915280</v>
      </c>
      <c r="D26" s="64">
        <f t="shared" si="12"/>
        <v>943470.6031</v>
      </c>
      <c r="E26" s="64">
        <f t="shared" si="12"/>
        <v>847766.039</v>
      </c>
      <c r="F26" s="64">
        <f t="shared" si="12"/>
        <v>794681.4125</v>
      </c>
      <c r="G26" s="64">
        <f t="shared" si="12"/>
        <v>772322.7874</v>
      </c>
      <c r="H26" s="64">
        <f t="shared" si="12"/>
        <v>1014604.239</v>
      </c>
      <c r="I26" s="64">
        <f t="shared" si="12"/>
        <v>1518552.284</v>
      </c>
      <c r="J26" s="64">
        <f t="shared" si="12"/>
        <v>734981.7522</v>
      </c>
      <c r="K26" s="64">
        <f t="shared" si="12"/>
        <v>1045653.336</v>
      </c>
      <c r="L26" s="64">
        <f t="shared" si="12"/>
        <v>1022303.55</v>
      </c>
      <c r="M26" s="64">
        <f t="shared" si="12"/>
        <v>1231876.678</v>
      </c>
      <c r="N26" s="64">
        <f t="shared" si="12"/>
        <v>269897.1049</v>
      </c>
    </row>
    <row r="27">
      <c r="A27" s="15" t="s">
        <v>145</v>
      </c>
      <c r="B27" s="64">
        <f t="shared" ref="B27:N27" si="13">2880*2*3*26</f>
        <v>449280</v>
      </c>
      <c r="C27" s="64">
        <f t="shared" si="13"/>
        <v>449280</v>
      </c>
      <c r="D27" s="64">
        <f t="shared" si="13"/>
        <v>449280</v>
      </c>
      <c r="E27" s="64">
        <f t="shared" si="13"/>
        <v>449280</v>
      </c>
      <c r="F27" s="64">
        <f t="shared" si="13"/>
        <v>449280</v>
      </c>
      <c r="G27" s="64">
        <f t="shared" si="13"/>
        <v>449280</v>
      </c>
      <c r="H27" s="64">
        <f t="shared" si="13"/>
        <v>449280</v>
      </c>
      <c r="I27" s="64">
        <f t="shared" si="13"/>
        <v>449280</v>
      </c>
      <c r="J27" s="64">
        <f t="shared" si="13"/>
        <v>449280</v>
      </c>
      <c r="K27" s="64">
        <f t="shared" si="13"/>
        <v>449280</v>
      </c>
      <c r="L27" s="64">
        <f t="shared" si="13"/>
        <v>449280</v>
      </c>
      <c r="M27" s="64">
        <f t="shared" si="13"/>
        <v>449280</v>
      </c>
      <c r="N27" s="64">
        <f t="shared" si="13"/>
        <v>449280</v>
      </c>
    </row>
    <row r="28">
      <c r="A28" s="15" t="s">
        <v>122</v>
      </c>
      <c r="B28" s="64"/>
      <c r="C28" s="64">
        <v>887089.3969020781</v>
      </c>
      <c r="D28" s="64">
        <v>1010984.5640671728</v>
      </c>
      <c r="E28" s="64">
        <v>968364.6265623801</v>
      </c>
      <c r="F28" s="64">
        <v>937638.6251054367</v>
      </c>
      <c r="G28" s="64">
        <v>672998.5480407944</v>
      </c>
      <c r="H28" s="64">
        <v>411331.95498811436</v>
      </c>
      <c r="I28" s="64">
        <v>1698850.5321677786</v>
      </c>
      <c r="J28" s="64">
        <v>604608.4157656621</v>
      </c>
      <c r="K28" s="64">
        <v>938629.7864427574</v>
      </c>
      <c r="L28" s="64">
        <v>705706.8721723794</v>
      </c>
      <c r="M28" s="64">
        <v>1877259.5728855147</v>
      </c>
      <c r="N28" s="64">
        <v>1180473.1527490222</v>
      </c>
    </row>
    <row r="29">
      <c r="A29" s="15" t="s">
        <v>147</v>
      </c>
      <c r="B29" s="64">
        <f>2880*2*3*26</f>
        <v>449280</v>
      </c>
      <c r="C29" s="64">
        <f t="shared" ref="C29:N29" si="14">C26+C27-C28</f>
        <v>477470.6031</v>
      </c>
      <c r="D29" s="64">
        <f t="shared" si="14"/>
        <v>381766.039</v>
      </c>
      <c r="E29" s="64">
        <f t="shared" si="14"/>
        <v>328681.4125</v>
      </c>
      <c r="F29" s="64">
        <f t="shared" si="14"/>
        <v>306322.7874</v>
      </c>
      <c r="G29" s="64">
        <f t="shared" si="14"/>
        <v>548604.2393</v>
      </c>
      <c r="H29" s="64">
        <f t="shared" si="14"/>
        <v>1052552.284</v>
      </c>
      <c r="I29" s="64">
        <f t="shared" si="14"/>
        <v>268981.7522</v>
      </c>
      <c r="J29" s="64">
        <f t="shared" si="14"/>
        <v>579653.3364</v>
      </c>
      <c r="K29" s="64">
        <f t="shared" si="14"/>
        <v>556303.55</v>
      </c>
      <c r="L29" s="64">
        <f t="shared" si="14"/>
        <v>765876.6778</v>
      </c>
      <c r="M29" s="64">
        <f t="shared" si="14"/>
        <v>-196102.8951</v>
      </c>
      <c r="N29" s="64">
        <f t="shared" si="14"/>
        <v>-461296.0478</v>
      </c>
    </row>
    <row r="30">
      <c r="A30" s="24" t="s">
        <v>165</v>
      </c>
      <c r="B30" s="20">
        <v>466000.0</v>
      </c>
      <c r="C30" s="20">
        <v>466000.0</v>
      </c>
      <c r="D30" s="20">
        <v>466000.0</v>
      </c>
      <c r="E30" s="20">
        <v>466000.0</v>
      </c>
      <c r="F30" s="20">
        <v>466000.0</v>
      </c>
      <c r="G30" s="20">
        <v>466000.0</v>
      </c>
      <c r="H30" s="20">
        <v>466000.0</v>
      </c>
      <c r="I30" s="20">
        <v>466000.0</v>
      </c>
      <c r="J30" s="20">
        <v>466000.0</v>
      </c>
      <c r="K30" s="20">
        <v>466000.0</v>
      </c>
      <c r="L30" s="20">
        <v>466000.0</v>
      </c>
      <c r="M30" s="20">
        <v>466000.0</v>
      </c>
      <c r="N30" s="20">
        <v>466000.0</v>
      </c>
    </row>
    <row r="31">
      <c r="A31" s="24" t="s">
        <v>166</v>
      </c>
      <c r="B31" s="64">
        <f t="shared" ref="B31:N31" si="15">B30+B29</f>
        <v>915280</v>
      </c>
      <c r="C31" s="64">
        <f t="shared" si="15"/>
        <v>943470.6031</v>
      </c>
      <c r="D31" s="64">
        <f t="shared" si="15"/>
        <v>847766.039</v>
      </c>
      <c r="E31" s="64">
        <f t="shared" si="15"/>
        <v>794681.4125</v>
      </c>
      <c r="F31" s="64">
        <f t="shared" si="15"/>
        <v>772322.7874</v>
      </c>
      <c r="G31" s="64">
        <f t="shared" si="15"/>
        <v>1014604.239</v>
      </c>
      <c r="H31" s="64">
        <f t="shared" si="15"/>
        <v>1518552.284</v>
      </c>
      <c r="I31" s="64">
        <f t="shared" si="15"/>
        <v>734981.7522</v>
      </c>
      <c r="J31" s="64">
        <f t="shared" si="15"/>
        <v>1045653.336</v>
      </c>
      <c r="K31" s="64">
        <f t="shared" si="15"/>
        <v>1022303.55</v>
      </c>
      <c r="L31" s="64">
        <f t="shared" si="15"/>
        <v>1231876.678</v>
      </c>
      <c r="M31" s="64">
        <f t="shared" si="15"/>
        <v>269897.1049</v>
      </c>
      <c r="N31" s="64">
        <f t="shared" si="15"/>
        <v>4703.952151</v>
      </c>
    </row>
    <row r="32">
      <c r="A32" s="110"/>
      <c r="B32" s="106"/>
      <c r="C32" s="8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>
      <c r="A33" s="104" t="s">
        <v>157</v>
      </c>
      <c r="B33" s="104" t="s">
        <v>155</v>
      </c>
      <c r="C33" s="24" t="s">
        <v>132</v>
      </c>
      <c r="D33" s="15" t="s">
        <v>133</v>
      </c>
      <c r="E33" s="15" t="s">
        <v>134</v>
      </c>
      <c r="F33" s="15" t="s">
        <v>135</v>
      </c>
      <c r="G33" s="15" t="s">
        <v>136</v>
      </c>
      <c r="H33" s="15" t="s">
        <v>137</v>
      </c>
      <c r="I33" s="15" t="s">
        <v>138</v>
      </c>
      <c r="J33" s="15" t="s">
        <v>139</v>
      </c>
      <c r="K33" s="15" t="s">
        <v>140</v>
      </c>
      <c r="L33" s="15" t="s">
        <v>141</v>
      </c>
      <c r="M33" s="15" t="s">
        <v>142</v>
      </c>
      <c r="N33" s="15" t="s">
        <v>143</v>
      </c>
    </row>
    <row r="34">
      <c r="A34" s="15" t="s">
        <v>144</v>
      </c>
      <c r="B34" s="64">
        <v>0.0</v>
      </c>
      <c r="C34" s="64">
        <f t="shared" ref="C34:N34" si="16">B37+B38</f>
        <v>7167400</v>
      </c>
      <c r="D34" s="64">
        <f t="shared" si="16"/>
        <v>7386064.02</v>
      </c>
      <c r="E34" s="64">
        <f t="shared" si="16"/>
        <v>6634234.188</v>
      </c>
      <c r="F34" s="64">
        <f t="shared" si="16"/>
        <v>6216254.241</v>
      </c>
      <c r="G34" s="64">
        <f t="shared" si="16"/>
        <v>6038956.77</v>
      </c>
      <c r="H34" s="64">
        <f t="shared" si="16"/>
        <v>7934634.166</v>
      </c>
      <c r="I34" s="64">
        <f t="shared" si="16"/>
        <v>11879994.58</v>
      </c>
      <c r="J34" s="64">
        <f t="shared" si="16"/>
        <v>5739982.879</v>
      </c>
      <c r="K34" s="64">
        <f t="shared" si="16"/>
        <v>8171372.882</v>
      </c>
      <c r="L34" s="64">
        <f t="shared" si="16"/>
        <v>7986311.459</v>
      </c>
      <c r="M34" s="64">
        <f t="shared" si="16"/>
        <v>9625778.479</v>
      </c>
      <c r="N34" s="64">
        <f t="shared" si="16"/>
        <v>2088255.634</v>
      </c>
    </row>
    <row r="35">
      <c r="A35" s="15" t="s">
        <v>145</v>
      </c>
      <c r="B35" s="64">
        <v>5990400.0</v>
      </c>
      <c r="C35" s="64">
        <v>5990400.0</v>
      </c>
      <c r="D35" s="64">
        <v>5990400.0</v>
      </c>
      <c r="E35" s="64">
        <v>5990400.0</v>
      </c>
      <c r="F35" s="64">
        <v>5990400.0</v>
      </c>
      <c r="G35" s="64">
        <v>5990400.0</v>
      </c>
      <c r="H35" s="64">
        <v>5990400.0</v>
      </c>
      <c r="I35" s="64">
        <v>5990400.0</v>
      </c>
      <c r="J35" s="64">
        <v>5990400.0</v>
      </c>
      <c r="K35" s="64">
        <v>5990400.0</v>
      </c>
      <c r="L35" s="64">
        <v>5990400.0</v>
      </c>
      <c r="M35" s="64">
        <v>5990400.0</v>
      </c>
      <c r="N35" s="64">
        <v>5990400.0</v>
      </c>
    </row>
    <row r="36">
      <c r="A36" s="15" t="s">
        <v>122</v>
      </c>
      <c r="B36" s="64"/>
      <c r="C36" s="64">
        <v>6948735.979995806</v>
      </c>
      <c r="D36" s="64">
        <v>7919229.831950527</v>
      </c>
      <c r="E36" s="64">
        <v>7585379.946878104</v>
      </c>
      <c r="F36" s="64">
        <v>7344697.4715933325</v>
      </c>
      <c r="G36" s="64">
        <v>5271722.603818048</v>
      </c>
      <c r="H36" s="64">
        <v>3222039.588489676</v>
      </c>
      <c r="I36" s="64">
        <v>1.3307411698003141E7</v>
      </c>
      <c r="J36" s="64">
        <v>4736009.997539041</v>
      </c>
      <c r="K36" s="64">
        <v>7352461.422408971</v>
      </c>
      <c r="L36" s="64">
        <v>5527932.980734093</v>
      </c>
      <c r="M36" s="64">
        <v>1.4704922844817942E7</v>
      </c>
      <c r="N36" s="64">
        <v>9246865.421424588</v>
      </c>
    </row>
    <row r="37">
      <c r="A37" s="15" t="s">
        <v>147</v>
      </c>
      <c r="B37" s="64">
        <f>B35</f>
        <v>5990400</v>
      </c>
      <c r="C37" s="64">
        <f t="shared" ref="C37:N37" si="17">C34+C35-C36</f>
        <v>6209064.02</v>
      </c>
      <c r="D37" s="64">
        <f t="shared" si="17"/>
        <v>5457234.188</v>
      </c>
      <c r="E37" s="64">
        <f t="shared" si="17"/>
        <v>5039254.241</v>
      </c>
      <c r="F37" s="64">
        <f t="shared" si="17"/>
        <v>4861956.77</v>
      </c>
      <c r="G37" s="64">
        <f t="shared" si="17"/>
        <v>6757634.166</v>
      </c>
      <c r="H37" s="64">
        <f t="shared" si="17"/>
        <v>10702994.58</v>
      </c>
      <c r="I37" s="64">
        <f t="shared" si="17"/>
        <v>4562982.879</v>
      </c>
      <c r="J37" s="64">
        <f t="shared" si="17"/>
        <v>6994372.882</v>
      </c>
      <c r="K37" s="64">
        <f t="shared" si="17"/>
        <v>6809311.459</v>
      </c>
      <c r="L37" s="64">
        <f t="shared" si="17"/>
        <v>8448778.479</v>
      </c>
      <c r="M37" s="64">
        <f t="shared" si="17"/>
        <v>911255.6338</v>
      </c>
      <c r="N37" s="64">
        <f t="shared" si="17"/>
        <v>-1168209.788</v>
      </c>
    </row>
    <row r="38">
      <c r="A38" s="24" t="s">
        <v>165</v>
      </c>
      <c r="B38" s="20">
        <v>1177000.0</v>
      </c>
      <c r="C38" s="20">
        <v>1177000.0</v>
      </c>
      <c r="D38" s="20">
        <v>1177000.0</v>
      </c>
      <c r="E38" s="20">
        <v>1177000.0</v>
      </c>
      <c r="F38" s="20">
        <v>1177000.0</v>
      </c>
      <c r="G38" s="20">
        <v>1177000.0</v>
      </c>
      <c r="H38" s="20">
        <v>1177000.0</v>
      </c>
      <c r="I38" s="20">
        <v>1177000.0</v>
      </c>
      <c r="J38" s="20">
        <v>1177000.0</v>
      </c>
      <c r="K38" s="20">
        <v>1177000.0</v>
      </c>
      <c r="L38" s="20">
        <v>1177000.0</v>
      </c>
      <c r="M38" s="20">
        <v>1177000.0</v>
      </c>
      <c r="N38" s="20">
        <v>1177000.0</v>
      </c>
    </row>
    <row r="39">
      <c r="A39" s="24" t="s">
        <v>166</v>
      </c>
      <c r="B39" s="64">
        <f t="shared" ref="B39:N39" si="18">B38+B37</f>
        <v>7167400</v>
      </c>
      <c r="C39" s="64">
        <f t="shared" si="18"/>
        <v>7386064.02</v>
      </c>
      <c r="D39" s="64">
        <f t="shared" si="18"/>
        <v>6634234.188</v>
      </c>
      <c r="E39" s="64">
        <f t="shared" si="18"/>
        <v>6216254.241</v>
      </c>
      <c r="F39" s="64">
        <f t="shared" si="18"/>
        <v>6038956.77</v>
      </c>
      <c r="G39" s="64">
        <f t="shared" si="18"/>
        <v>7934634.166</v>
      </c>
      <c r="H39" s="64">
        <f t="shared" si="18"/>
        <v>11879994.58</v>
      </c>
      <c r="I39" s="64">
        <f t="shared" si="18"/>
        <v>5739982.879</v>
      </c>
      <c r="J39" s="64">
        <f t="shared" si="18"/>
        <v>8171372.882</v>
      </c>
      <c r="K39" s="64">
        <f t="shared" si="18"/>
        <v>7986311.459</v>
      </c>
      <c r="L39" s="64">
        <f t="shared" si="18"/>
        <v>9625778.479</v>
      </c>
      <c r="M39" s="64">
        <f t="shared" si="18"/>
        <v>2088255.634</v>
      </c>
      <c r="N39" s="64">
        <f t="shared" si="18"/>
        <v>8790.212347</v>
      </c>
    </row>
    <row r="40">
      <c r="A40" s="110"/>
      <c r="B40" s="106"/>
      <c r="C40" s="87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</row>
    <row r="41">
      <c r="A41" s="104" t="s">
        <v>158</v>
      </c>
      <c r="B41" s="104" t="s">
        <v>155</v>
      </c>
      <c r="C41" s="24" t="s">
        <v>132</v>
      </c>
      <c r="D41" s="15" t="s">
        <v>133</v>
      </c>
      <c r="E41" s="15" t="s">
        <v>134</v>
      </c>
      <c r="F41" s="15" t="s">
        <v>135</v>
      </c>
      <c r="G41" s="15" t="s">
        <v>136</v>
      </c>
      <c r="H41" s="15" t="s">
        <v>137</v>
      </c>
      <c r="I41" s="15" t="s">
        <v>138</v>
      </c>
      <c r="J41" s="15" t="s">
        <v>139</v>
      </c>
      <c r="K41" s="15" t="s">
        <v>140</v>
      </c>
      <c r="L41" s="15" t="s">
        <v>141</v>
      </c>
      <c r="M41" s="15" t="s">
        <v>142</v>
      </c>
      <c r="N41" s="15" t="s">
        <v>143</v>
      </c>
    </row>
    <row r="42">
      <c r="A42" s="15" t="s">
        <v>144</v>
      </c>
      <c r="B42" s="64">
        <v>0.0</v>
      </c>
      <c r="C42" s="64">
        <f t="shared" ref="C42:N42" si="19">B45+B46</f>
        <v>915000</v>
      </c>
      <c r="D42" s="64">
        <f t="shared" si="19"/>
        <v>942910.6031</v>
      </c>
      <c r="E42" s="64">
        <f t="shared" si="19"/>
        <v>846926.039</v>
      </c>
      <c r="F42" s="64">
        <f t="shared" si="19"/>
        <v>793561.4125</v>
      </c>
      <c r="G42" s="64">
        <f t="shared" si="19"/>
        <v>770922.7874</v>
      </c>
      <c r="H42" s="64">
        <f t="shared" si="19"/>
        <v>1012924.239</v>
      </c>
      <c r="I42" s="64">
        <f t="shared" si="19"/>
        <v>1516592.284</v>
      </c>
      <c r="J42" s="64">
        <f t="shared" si="19"/>
        <v>732741.7522</v>
      </c>
      <c r="K42" s="64">
        <f t="shared" si="19"/>
        <v>1043133.336</v>
      </c>
      <c r="L42" s="64">
        <f t="shared" si="19"/>
        <v>1019503.55</v>
      </c>
      <c r="M42" s="64">
        <f t="shared" si="19"/>
        <v>1228796.678</v>
      </c>
      <c r="N42" s="64">
        <f t="shared" si="19"/>
        <v>266537.1049</v>
      </c>
    </row>
    <row r="43">
      <c r="A43" s="15" t="s">
        <v>145</v>
      </c>
      <c r="B43" s="64">
        <v>468000.0</v>
      </c>
      <c r="C43" s="64">
        <v>468000.0</v>
      </c>
      <c r="D43" s="64">
        <v>468000.0</v>
      </c>
      <c r="E43" s="64">
        <v>468000.0</v>
      </c>
      <c r="F43" s="64">
        <v>468000.0</v>
      </c>
      <c r="G43" s="64">
        <v>468000.0</v>
      </c>
      <c r="H43" s="64">
        <v>468000.0</v>
      </c>
      <c r="I43" s="64">
        <v>468000.0</v>
      </c>
      <c r="J43" s="64">
        <v>468000.0</v>
      </c>
      <c r="K43" s="64">
        <v>468000.0</v>
      </c>
      <c r="L43" s="64">
        <v>468000.0</v>
      </c>
      <c r="M43" s="64">
        <v>468000.0</v>
      </c>
      <c r="N43" s="64">
        <v>468000.0</v>
      </c>
    </row>
    <row r="44">
      <c r="A44" s="15" t="s">
        <v>122</v>
      </c>
      <c r="B44" s="64"/>
      <c r="C44" s="64">
        <v>887089.3969020781</v>
      </c>
      <c r="D44" s="64">
        <v>1010984.5640671728</v>
      </c>
      <c r="E44" s="64">
        <v>968364.6265623801</v>
      </c>
      <c r="F44" s="64">
        <v>937638.6251054367</v>
      </c>
      <c r="G44" s="64">
        <v>672998.5480407944</v>
      </c>
      <c r="H44" s="64">
        <v>411331.95498811436</v>
      </c>
      <c r="I44" s="64">
        <v>1698850.5321677786</v>
      </c>
      <c r="J44" s="64">
        <v>604608.4157656621</v>
      </c>
      <c r="K44" s="64">
        <v>938629.7864427574</v>
      </c>
      <c r="L44" s="64">
        <v>705706.8721723794</v>
      </c>
      <c r="M44" s="64">
        <v>1877259.5728855147</v>
      </c>
      <c r="N44" s="64">
        <v>1180473.1527490222</v>
      </c>
    </row>
    <row r="45">
      <c r="A45" s="15" t="s">
        <v>147</v>
      </c>
      <c r="B45" s="64">
        <v>468000.0</v>
      </c>
      <c r="C45" s="64">
        <f t="shared" ref="C45:N45" si="20">C42+C43-C44</f>
        <v>495910.6031</v>
      </c>
      <c r="D45" s="64">
        <f t="shared" si="20"/>
        <v>399926.039</v>
      </c>
      <c r="E45" s="64">
        <f t="shared" si="20"/>
        <v>346561.4125</v>
      </c>
      <c r="F45" s="64">
        <f t="shared" si="20"/>
        <v>323922.7874</v>
      </c>
      <c r="G45" s="64">
        <f t="shared" si="20"/>
        <v>565924.2393</v>
      </c>
      <c r="H45" s="64">
        <f t="shared" si="20"/>
        <v>1069592.284</v>
      </c>
      <c r="I45" s="64">
        <f t="shared" si="20"/>
        <v>285741.7522</v>
      </c>
      <c r="J45" s="64">
        <f t="shared" si="20"/>
        <v>596133.3364</v>
      </c>
      <c r="K45" s="64">
        <f t="shared" si="20"/>
        <v>572503.55</v>
      </c>
      <c r="L45" s="64">
        <f t="shared" si="20"/>
        <v>781796.6778</v>
      </c>
      <c r="M45" s="64">
        <f t="shared" si="20"/>
        <v>-180462.8951</v>
      </c>
      <c r="N45" s="64">
        <f t="shared" si="20"/>
        <v>-445936.0478</v>
      </c>
    </row>
    <row r="46">
      <c r="A46" s="87" t="s">
        <v>165</v>
      </c>
      <c r="B46" s="112">
        <v>447000.0</v>
      </c>
      <c r="C46" s="112">
        <v>447000.0</v>
      </c>
      <c r="D46" s="112">
        <v>447000.0</v>
      </c>
      <c r="E46" s="112">
        <v>447000.0</v>
      </c>
      <c r="F46" s="112">
        <v>447000.0</v>
      </c>
      <c r="G46" s="112">
        <v>447000.0</v>
      </c>
      <c r="H46" s="112">
        <v>447000.0</v>
      </c>
      <c r="I46" s="112">
        <v>447000.0</v>
      </c>
      <c r="J46" s="112">
        <v>447000.0</v>
      </c>
      <c r="K46" s="112">
        <v>447000.0</v>
      </c>
      <c r="L46" s="112">
        <v>447000.0</v>
      </c>
      <c r="M46" s="112">
        <v>447000.0</v>
      </c>
      <c r="N46" s="112">
        <v>447000.0</v>
      </c>
    </row>
    <row r="47">
      <c r="A47" s="24" t="s">
        <v>166</v>
      </c>
      <c r="B47" s="103">
        <f t="shared" ref="B47:N47" si="21">B46+B45</f>
        <v>915000</v>
      </c>
      <c r="C47" s="103">
        <f t="shared" si="21"/>
        <v>942910.6031</v>
      </c>
      <c r="D47" s="103">
        <f t="shared" si="21"/>
        <v>846926.039</v>
      </c>
      <c r="E47" s="103">
        <f t="shared" si="21"/>
        <v>793561.4125</v>
      </c>
      <c r="F47" s="103">
        <f t="shared" si="21"/>
        <v>770922.7874</v>
      </c>
      <c r="G47" s="103">
        <f t="shared" si="21"/>
        <v>1012924.239</v>
      </c>
      <c r="H47" s="103">
        <f t="shared" si="21"/>
        <v>1516592.284</v>
      </c>
      <c r="I47" s="103">
        <f t="shared" si="21"/>
        <v>732741.7522</v>
      </c>
      <c r="J47" s="103">
        <f t="shared" si="21"/>
        <v>1043133.336</v>
      </c>
      <c r="K47" s="103">
        <f t="shared" si="21"/>
        <v>1019503.55</v>
      </c>
      <c r="L47" s="103">
        <f t="shared" si="21"/>
        <v>1228796.678</v>
      </c>
      <c r="M47" s="103">
        <f t="shared" si="21"/>
        <v>266537.1049</v>
      </c>
      <c r="N47" s="103">
        <f t="shared" si="21"/>
        <v>1063.952151</v>
      </c>
    </row>
    <row r="48">
      <c r="A48" s="110"/>
      <c r="B48" s="106"/>
      <c r="C48" s="87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</row>
    <row r="49">
      <c r="A49" s="104" t="s">
        <v>153</v>
      </c>
      <c r="B49" s="104" t="s">
        <v>155</v>
      </c>
      <c r="C49" s="24" t="s">
        <v>132</v>
      </c>
      <c r="D49" s="15" t="s">
        <v>133</v>
      </c>
      <c r="E49" s="15" t="s">
        <v>134</v>
      </c>
      <c r="F49" s="15" t="s">
        <v>135</v>
      </c>
      <c r="G49" s="15" t="s">
        <v>136</v>
      </c>
      <c r="H49" s="15" t="s">
        <v>137</v>
      </c>
      <c r="I49" s="15" t="s">
        <v>138</v>
      </c>
      <c r="J49" s="15" t="s">
        <v>139</v>
      </c>
      <c r="K49" s="15" t="s">
        <v>140</v>
      </c>
      <c r="L49" s="15" t="s">
        <v>141</v>
      </c>
      <c r="M49" s="15" t="s">
        <v>142</v>
      </c>
      <c r="N49" s="15" t="s">
        <v>143</v>
      </c>
    </row>
    <row r="50">
      <c r="A50" s="15" t="s">
        <v>144</v>
      </c>
      <c r="B50" s="64">
        <v>0.0</v>
      </c>
      <c r="C50" s="64">
        <f t="shared" ref="C50:N50" si="22">B53</f>
        <v>202800</v>
      </c>
      <c r="D50" s="64">
        <f t="shared" si="22"/>
        <v>210999.9882</v>
      </c>
      <c r="E50" s="64">
        <f t="shared" si="22"/>
        <v>192021.2038</v>
      </c>
      <c r="F50" s="64">
        <f t="shared" si="22"/>
        <v>182391.9171</v>
      </c>
      <c r="G50" s="64">
        <f t="shared" si="22"/>
        <v>179502.9661</v>
      </c>
      <c r="H50" s="64">
        <f t="shared" si="22"/>
        <v>234667.8733</v>
      </c>
      <c r="I50" s="64">
        <f t="shared" si="22"/>
        <v>347234.3483</v>
      </c>
      <c r="J50" s="64">
        <f t="shared" si="22"/>
        <v>177359.0184</v>
      </c>
      <c r="K50" s="64">
        <f t="shared" si="22"/>
        <v>247526.6081</v>
      </c>
      <c r="L50" s="64">
        <f t="shared" si="22"/>
        <v>244420.2269</v>
      </c>
      <c r="M50" s="64">
        <f t="shared" si="22"/>
        <v>292409.9382</v>
      </c>
      <c r="N50" s="64">
        <f t="shared" si="22"/>
        <v>83397.17574</v>
      </c>
    </row>
    <row r="51">
      <c r="A51" s="15" t="s">
        <v>145</v>
      </c>
      <c r="B51" s="64">
        <v>202800.0</v>
      </c>
      <c r="C51" s="64">
        <v>202800.0</v>
      </c>
      <c r="D51" s="64">
        <v>202800.0</v>
      </c>
      <c r="E51" s="64">
        <v>202800.0</v>
      </c>
      <c r="F51" s="64">
        <v>202800.0</v>
      </c>
      <c r="G51" s="64">
        <v>202800.0</v>
      </c>
      <c r="H51" s="64">
        <v>202800.0</v>
      </c>
      <c r="I51" s="64">
        <v>202800.0</v>
      </c>
      <c r="J51" s="64">
        <v>202800.0</v>
      </c>
      <c r="K51" s="64">
        <v>202800.0</v>
      </c>
      <c r="L51" s="64">
        <v>202800.0</v>
      </c>
      <c r="M51" s="64">
        <v>202800.0</v>
      </c>
      <c r="N51" s="64">
        <v>202800.0</v>
      </c>
    </row>
    <row r="52">
      <c r="A52" s="15" t="s">
        <v>122</v>
      </c>
      <c r="B52" s="64"/>
      <c r="C52" s="64">
        <v>194600.01181563537</v>
      </c>
      <c r="D52" s="64">
        <v>221778.7844155844</v>
      </c>
      <c r="E52" s="64">
        <v>212429.28664120194</v>
      </c>
      <c r="F52" s="64">
        <v>205688.95103641454</v>
      </c>
      <c r="G52" s="64">
        <v>147635.09276292336</v>
      </c>
      <c r="H52" s="64">
        <v>90233.52503183091</v>
      </c>
      <c r="I52" s="64">
        <v>372675.3298905017</v>
      </c>
      <c r="J52" s="64">
        <v>132632.41028775147</v>
      </c>
      <c r="K52" s="64">
        <v>205906.38121721416</v>
      </c>
      <c r="L52" s="64">
        <v>154810.28872930992</v>
      </c>
      <c r="M52" s="64">
        <v>411812.7624344283</v>
      </c>
      <c r="N52" s="64">
        <v>258959.34533231476</v>
      </c>
    </row>
    <row r="53">
      <c r="A53" s="15" t="s">
        <v>147</v>
      </c>
      <c r="B53" s="64">
        <v>202800.0</v>
      </c>
      <c r="C53" s="64">
        <f t="shared" ref="C53:N53" si="23">C50+C51-C52</f>
        <v>210999.9882</v>
      </c>
      <c r="D53" s="64">
        <f t="shared" si="23"/>
        <v>192021.2038</v>
      </c>
      <c r="E53" s="64">
        <f t="shared" si="23"/>
        <v>182391.9171</v>
      </c>
      <c r="F53" s="64">
        <f t="shared" si="23"/>
        <v>179502.9661</v>
      </c>
      <c r="G53" s="64">
        <f t="shared" si="23"/>
        <v>234667.8733</v>
      </c>
      <c r="H53" s="64">
        <f t="shared" si="23"/>
        <v>347234.3483</v>
      </c>
      <c r="I53" s="64">
        <f t="shared" si="23"/>
        <v>177359.0184</v>
      </c>
      <c r="J53" s="64">
        <f t="shared" si="23"/>
        <v>247526.6081</v>
      </c>
      <c r="K53" s="64">
        <f t="shared" si="23"/>
        <v>244420.2269</v>
      </c>
      <c r="L53" s="64">
        <f t="shared" si="23"/>
        <v>292409.9382</v>
      </c>
      <c r="M53" s="64">
        <f t="shared" si="23"/>
        <v>83397.17574</v>
      </c>
      <c r="N53" s="64">
        <f t="shared" si="23"/>
        <v>27237.8304</v>
      </c>
    </row>
    <row r="54">
      <c r="A54" s="87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>
      <c r="A55" s="87" t="s">
        <v>169</v>
      </c>
    </row>
    <row r="56">
      <c r="A56" s="104" t="s">
        <v>154</v>
      </c>
      <c r="B56" s="104" t="s">
        <v>155</v>
      </c>
      <c r="C56" s="24" t="s">
        <v>132</v>
      </c>
      <c r="D56" s="15" t="s">
        <v>133</v>
      </c>
      <c r="E56" s="15" t="s">
        <v>134</v>
      </c>
      <c r="F56" s="15" t="s">
        <v>135</v>
      </c>
      <c r="G56" s="15" t="s">
        <v>136</v>
      </c>
      <c r="H56" s="15" t="s">
        <v>137</v>
      </c>
      <c r="I56" s="15" t="s">
        <v>138</v>
      </c>
      <c r="J56" s="15" t="s">
        <v>139</v>
      </c>
      <c r="K56" s="15" t="s">
        <v>140</v>
      </c>
      <c r="L56" s="15" t="s">
        <v>141</v>
      </c>
      <c r="M56" s="15" t="s">
        <v>142</v>
      </c>
      <c r="N56" s="15" t="s">
        <v>143</v>
      </c>
    </row>
    <row r="57">
      <c r="A57" s="15" t="s">
        <v>144</v>
      </c>
      <c r="B57" s="64">
        <v>0.0</v>
      </c>
      <c r="C57" s="64">
        <f t="shared" ref="C57:N57" si="24">B62</f>
        <v>1305000</v>
      </c>
      <c r="D57" s="64">
        <f t="shared" si="24"/>
        <v>1344948</v>
      </c>
      <c r="E57" s="64">
        <f t="shared" si="24"/>
        <v>1208212</v>
      </c>
      <c r="F57" s="64">
        <f t="shared" si="24"/>
        <v>1132255</v>
      </c>
      <c r="G57" s="64">
        <f t="shared" si="24"/>
        <v>1100116</v>
      </c>
      <c r="H57" s="64">
        <f t="shared" si="24"/>
        <v>1445372</v>
      </c>
      <c r="I57" s="64">
        <f t="shared" si="24"/>
        <v>2163783</v>
      </c>
      <c r="J57" s="64">
        <f t="shared" si="24"/>
        <v>1046102</v>
      </c>
      <c r="K57" s="64">
        <f t="shared" si="24"/>
        <v>1488888</v>
      </c>
      <c r="L57" s="64">
        <f t="shared" si="24"/>
        <v>1455335</v>
      </c>
      <c r="M57" s="64">
        <f t="shared" si="24"/>
        <v>1753947</v>
      </c>
      <c r="N57" s="64">
        <f t="shared" si="24"/>
        <v>381842</v>
      </c>
      <c r="P57" s="87" t="s">
        <v>170</v>
      </c>
    </row>
    <row r="58">
      <c r="A58" s="15" t="s">
        <v>145</v>
      </c>
      <c r="B58" s="28">
        <v>923000.0</v>
      </c>
      <c r="C58" s="28">
        <v>923000.0</v>
      </c>
      <c r="D58" s="28">
        <v>923000.0</v>
      </c>
      <c r="E58" s="28">
        <v>923000.0</v>
      </c>
      <c r="F58" s="28">
        <v>923000.0</v>
      </c>
      <c r="G58" s="28">
        <v>923000.0</v>
      </c>
      <c r="H58" s="28">
        <v>923000.0</v>
      </c>
      <c r="I58" s="28">
        <v>923000.0</v>
      </c>
      <c r="J58" s="28">
        <v>923000.0</v>
      </c>
      <c r="K58" s="28">
        <v>923000.0</v>
      </c>
      <c r="L58" s="28">
        <v>923000.0</v>
      </c>
      <c r="M58" s="28">
        <v>923000.0</v>
      </c>
      <c r="N58" s="28">
        <v>923000.0</v>
      </c>
      <c r="P58" s="54" t="s">
        <v>171</v>
      </c>
      <c r="Q58" s="113">
        <v>7072000.0</v>
      </c>
    </row>
    <row r="59">
      <c r="A59" s="15" t="s">
        <v>122</v>
      </c>
      <c r="B59" s="64"/>
      <c r="C59" s="84">
        <v>1265052.0</v>
      </c>
      <c r="D59" s="84">
        <v>1441736.0</v>
      </c>
      <c r="E59" s="84">
        <v>1380957.0</v>
      </c>
      <c r="F59" s="84">
        <v>1337139.0</v>
      </c>
      <c r="G59" s="84">
        <v>959744.0</v>
      </c>
      <c r="H59" s="84">
        <v>586589.0</v>
      </c>
      <c r="I59" s="84">
        <v>2422681.0</v>
      </c>
      <c r="J59" s="84">
        <v>862214.0</v>
      </c>
      <c r="K59" s="84">
        <v>1338553.0</v>
      </c>
      <c r="L59" s="84">
        <v>1006388.0</v>
      </c>
      <c r="M59" s="84">
        <v>2677105.0</v>
      </c>
      <c r="N59" s="84">
        <v>1683438.0</v>
      </c>
      <c r="P59" s="54" t="s">
        <v>172</v>
      </c>
      <c r="Q59" s="54">
        <v>26.0</v>
      </c>
    </row>
    <row r="60">
      <c r="A60" s="15" t="s">
        <v>147</v>
      </c>
      <c r="B60" s="107">
        <f>B58</f>
        <v>923000</v>
      </c>
      <c r="C60" s="64">
        <f t="shared" ref="C60:N60" si="25">C57+C58-C59</f>
        <v>962948</v>
      </c>
      <c r="D60" s="64">
        <f t="shared" si="25"/>
        <v>826212</v>
      </c>
      <c r="E60" s="64">
        <f t="shared" si="25"/>
        <v>750255</v>
      </c>
      <c r="F60" s="64">
        <f t="shared" si="25"/>
        <v>718116</v>
      </c>
      <c r="G60" s="64">
        <f t="shared" si="25"/>
        <v>1063372</v>
      </c>
      <c r="H60" s="64">
        <f t="shared" si="25"/>
        <v>1781783</v>
      </c>
      <c r="I60" s="64">
        <f t="shared" si="25"/>
        <v>664102</v>
      </c>
      <c r="J60" s="64">
        <f t="shared" si="25"/>
        <v>1106888</v>
      </c>
      <c r="K60" s="64">
        <f t="shared" si="25"/>
        <v>1073335</v>
      </c>
      <c r="L60" s="64">
        <f t="shared" si="25"/>
        <v>1371947</v>
      </c>
      <c r="M60" s="64">
        <f t="shared" si="25"/>
        <v>-158</v>
      </c>
      <c r="N60" s="64">
        <f t="shared" si="25"/>
        <v>-378596</v>
      </c>
      <c r="P60" s="54" t="s">
        <v>173</v>
      </c>
      <c r="Q60" s="114">
        <f>Q58/Q59</f>
        <v>272000</v>
      </c>
    </row>
    <row r="61">
      <c r="A61" s="24" t="s">
        <v>165</v>
      </c>
      <c r="B61" s="84">
        <f t="shared" ref="B61:N61" si="26">382000</f>
        <v>382000</v>
      </c>
      <c r="C61" s="84">
        <f t="shared" si="26"/>
        <v>382000</v>
      </c>
      <c r="D61" s="84">
        <f t="shared" si="26"/>
        <v>382000</v>
      </c>
      <c r="E61" s="84">
        <f t="shared" si="26"/>
        <v>382000</v>
      </c>
      <c r="F61" s="84">
        <f t="shared" si="26"/>
        <v>382000</v>
      </c>
      <c r="G61" s="84">
        <f t="shared" si="26"/>
        <v>382000</v>
      </c>
      <c r="H61" s="84">
        <f t="shared" si="26"/>
        <v>382000</v>
      </c>
      <c r="I61" s="84">
        <f t="shared" si="26"/>
        <v>382000</v>
      </c>
      <c r="J61" s="84">
        <f t="shared" si="26"/>
        <v>382000</v>
      </c>
      <c r="K61" s="84">
        <f t="shared" si="26"/>
        <v>382000</v>
      </c>
      <c r="L61" s="84">
        <f t="shared" si="26"/>
        <v>382000</v>
      </c>
      <c r="M61" s="84">
        <f t="shared" si="26"/>
        <v>382000</v>
      </c>
      <c r="N61" s="84">
        <f t="shared" si="26"/>
        <v>382000</v>
      </c>
      <c r="P61" s="54" t="s">
        <v>174</v>
      </c>
      <c r="Q61" s="115">
        <f>Q60/8</f>
        <v>34000</v>
      </c>
    </row>
    <row r="62">
      <c r="A62" s="24" t="s">
        <v>175</v>
      </c>
      <c r="B62" s="64">
        <f t="shared" ref="B62:N62" si="27">B60+B61</f>
        <v>1305000</v>
      </c>
      <c r="C62" s="64">
        <f t="shared" si="27"/>
        <v>1344948</v>
      </c>
      <c r="D62" s="64">
        <f t="shared" si="27"/>
        <v>1208212</v>
      </c>
      <c r="E62" s="64">
        <f t="shared" si="27"/>
        <v>1132255</v>
      </c>
      <c r="F62" s="64">
        <f t="shared" si="27"/>
        <v>1100116</v>
      </c>
      <c r="G62" s="64">
        <f t="shared" si="27"/>
        <v>1445372</v>
      </c>
      <c r="H62" s="64">
        <f t="shared" si="27"/>
        <v>2163783</v>
      </c>
      <c r="I62" s="64">
        <f t="shared" si="27"/>
        <v>1046102</v>
      </c>
      <c r="J62" s="64">
        <f t="shared" si="27"/>
        <v>1488888</v>
      </c>
      <c r="K62" s="64">
        <f t="shared" si="27"/>
        <v>1455335</v>
      </c>
      <c r="L62" s="64">
        <f t="shared" si="27"/>
        <v>1753947</v>
      </c>
      <c r="M62" s="64">
        <f t="shared" si="27"/>
        <v>381842</v>
      </c>
      <c r="N62" s="64">
        <f t="shared" si="27"/>
        <v>3404</v>
      </c>
      <c r="P62" s="54" t="s">
        <v>176</v>
      </c>
      <c r="Q62" s="115">
        <f>Q61*1.5</f>
        <v>51000</v>
      </c>
    </row>
    <row r="63">
      <c r="A63" s="54"/>
      <c r="P63" s="54" t="s">
        <v>177</v>
      </c>
      <c r="Q63" s="114">
        <f>Q60+Q62*4</f>
        <v>476000</v>
      </c>
    </row>
    <row r="64">
      <c r="A64" s="87" t="s">
        <v>178</v>
      </c>
      <c r="P64" s="54" t="s">
        <v>179</v>
      </c>
      <c r="Q64" s="114">
        <f>Q63*710*26</f>
        <v>8786960000</v>
      </c>
    </row>
    <row r="65">
      <c r="A65" s="104" t="s">
        <v>154</v>
      </c>
      <c r="B65" s="104" t="s">
        <v>155</v>
      </c>
      <c r="C65" s="24" t="s">
        <v>132</v>
      </c>
      <c r="D65" s="15" t="s">
        <v>133</v>
      </c>
      <c r="E65" s="15" t="s">
        <v>134</v>
      </c>
      <c r="F65" s="15" t="s">
        <v>135</v>
      </c>
      <c r="G65" s="15" t="s">
        <v>136</v>
      </c>
      <c r="H65" s="15" t="s">
        <v>137</v>
      </c>
      <c r="I65" s="15" t="s">
        <v>138</v>
      </c>
      <c r="J65" s="15" t="s">
        <v>139</v>
      </c>
      <c r="K65" s="15" t="s">
        <v>140</v>
      </c>
      <c r="L65" s="15" t="s">
        <v>141</v>
      </c>
      <c r="M65" s="15" t="s">
        <v>142</v>
      </c>
      <c r="N65" s="15" t="s">
        <v>143</v>
      </c>
      <c r="P65" s="87" t="s">
        <v>180</v>
      </c>
    </row>
    <row r="66">
      <c r="A66" s="15" t="s">
        <v>144</v>
      </c>
      <c r="B66" s="64">
        <v>0.0</v>
      </c>
      <c r="C66" s="64">
        <f t="shared" ref="C66:N66" si="28">B71</f>
        <v>1305000</v>
      </c>
      <c r="D66" s="64">
        <f t="shared" si="28"/>
        <v>1344948</v>
      </c>
      <c r="E66" s="64">
        <f t="shared" si="28"/>
        <v>1208212</v>
      </c>
      <c r="F66" s="64">
        <f t="shared" si="28"/>
        <v>1132255</v>
      </c>
      <c r="G66" s="64">
        <f t="shared" si="28"/>
        <v>1100116</v>
      </c>
      <c r="H66" s="64">
        <f t="shared" si="28"/>
        <v>1445372</v>
      </c>
      <c r="I66" s="64">
        <f t="shared" si="28"/>
        <v>2163783</v>
      </c>
      <c r="J66" s="64">
        <f t="shared" si="28"/>
        <v>1046102</v>
      </c>
      <c r="K66" s="64">
        <f t="shared" si="28"/>
        <v>1488888</v>
      </c>
      <c r="L66" s="64">
        <f t="shared" si="28"/>
        <v>1455335</v>
      </c>
      <c r="M66" s="64">
        <f t="shared" si="28"/>
        <v>1753947</v>
      </c>
      <c r="N66" s="64">
        <f t="shared" si="28"/>
        <v>381842</v>
      </c>
      <c r="P66" s="54" t="s">
        <v>171</v>
      </c>
      <c r="Q66" s="28">
        <v>7072000.0</v>
      </c>
    </row>
    <row r="67">
      <c r="A67" s="15" t="s">
        <v>145</v>
      </c>
      <c r="B67" s="28">
        <v>923000.0</v>
      </c>
      <c r="C67" s="28">
        <v>923000.0</v>
      </c>
      <c r="D67" s="28">
        <v>923000.0</v>
      </c>
      <c r="E67" s="28">
        <v>923000.0</v>
      </c>
      <c r="F67" s="28">
        <v>923000.0</v>
      </c>
      <c r="G67" s="28">
        <v>923000.0</v>
      </c>
      <c r="H67" s="28">
        <v>923000.0</v>
      </c>
      <c r="I67" s="28">
        <v>923000.0</v>
      </c>
      <c r="J67" s="28">
        <v>923000.0</v>
      </c>
      <c r="K67" s="28">
        <v>923000.0</v>
      </c>
      <c r="L67" s="28">
        <v>923000.0</v>
      </c>
      <c r="M67" s="28">
        <v>923000.0</v>
      </c>
      <c r="N67" s="28">
        <v>923000.0</v>
      </c>
      <c r="P67" s="54" t="s">
        <v>172</v>
      </c>
      <c r="Q67" s="54">
        <v>26.0</v>
      </c>
    </row>
    <row r="68">
      <c r="A68" s="15" t="s">
        <v>122</v>
      </c>
      <c r="B68" s="64"/>
      <c r="C68" s="84">
        <v>1265052.0</v>
      </c>
      <c r="D68" s="84">
        <v>1441736.0</v>
      </c>
      <c r="E68" s="84">
        <v>1380957.0</v>
      </c>
      <c r="F68" s="84">
        <v>1337139.0</v>
      </c>
      <c r="G68" s="84">
        <v>959744.0</v>
      </c>
      <c r="H68" s="84">
        <v>586589.0</v>
      </c>
      <c r="I68" s="84">
        <v>2422681.0</v>
      </c>
      <c r="J68" s="84">
        <v>862214.0</v>
      </c>
      <c r="K68" s="84">
        <v>1338553.0</v>
      </c>
      <c r="L68" s="84">
        <v>1006388.0</v>
      </c>
      <c r="M68" s="84">
        <v>2677105.0</v>
      </c>
      <c r="N68" s="84">
        <v>1683438.0</v>
      </c>
      <c r="P68" s="54" t="s">
        <v>173</v>
      </c>
      <c r="Q68" s="114">
        <f>Q66/Q67</f>
        <v>272000</v>
      </c>
    </row>
    <row r="69">
      <c r="A69" s="15" t="s">
        <v>147</v>
      </c>
      <c r="B69" s="107">
        <f>B67</f>
        <v>923000</v>
      </c>
      <c r="C69" s="64">
        <f t="shared" ref="C69:N69" si="29">C66+C67-C68</f>
        <v>962948</v>
      </c>
      <c r="D69" s="64">
        <f t="shared" si="29"/>
        <v>826212</v>
      </c>
      <c r="E69" s="64">
        <f t="shared" si="29"/>
        <v>750255</v>
      </c>
      <c r="F69" s="64">
        <f t="shared" si="29"/>
        <v>718116</v>
      </c>
      <c r="G69" s="64">
        <f t="shared" si="29"/>
        <v>1063372</v>
      </c>
      <c r="H69" s="64">
        <f t="shared" si="29"/>
        <v>1781783</v>
      </c>
      <c r="I69" s="64">
        <f t="shared" si="29"/>
        <v>664102</v>
      </c>
      <c r="J69" s="64">
        <f t="shared" si="29"/>
        <v>1106888</v>
      </c>
      <c r="K69" s="64">
        <f t="shared" si="29"/>
        <v>1073335</v>
      </c>
      <c r="L69" s="64">
        <f t="shared" si="29"/>
        <v>1371947</v>
      </c>
      <c r="M69" s="64">
        <f t="shared" si="29"/>
        <v>-158</v>
      </c>
      <c r="N69" s="64">
        <f t="shared" si="29"/>
        <v>-378596</v>
      </c>
      <c r="P69" s="54" t="s">
        <v>174</v>
      </c>
      <c r="Q69" s="115">
        <f>Q68/8</f>
        <v>34000</v>
      </c>
    </row>
    <row r="70">
      <c r="A70" s="24" t="s">
        <v>165</v>
      </c>
      <c r="B70" s="84">
        <f t="shared" ref="B70:N70" si="30">382000</f>
        <v>382000</v>
      </c>
      <c r="C70" s="84">
        <f t="shared" si="30"/>
        <v>382000</v>
      </c>
      <c r="D70" s="84">
        <f t="shared" si="30"/>
        <v>382000</v>
      </c>
      <c r="E70" s="84">
        <f t="shared" si="30"/>
        <v>382000</v>
      </c>
      <c r="F70" s="84">
        <f t="shared" si="30"/>
        <v>382000</v>
      </c>
      <c r="G70" s="84">
        <f t="shared" si="30"/>
        <v>382000</v>
      </c>
      <c r="H70" s="84">
        <f t="shared" si="30"/>
        <v>382000</v>
      </c>
      <c r="I70" s="84">
        <f t="shared" si="30"/>
        <v>382000</v>
      </c>
      <c r="J70" s="84">
        <f t="shared" si="30"/>
        <v>382000</v>
      </c>
      <c r="K70" s="84">
        <f t="shared" si="30"/>
        <v>382000</v>
      </c>
      <c r="L70" s="84">
        <f t="shared" si="30"/>
        <v>382000</v>
      </c>
      <c r="M70" s="84">
        <f t="shared" si="30"/>
        <v>382000</v>
      </c>
      <c r="N70" s="84">
        <f t="shared" si="30"/>
        <v>382000</v>
      </c>
      <c r="P70" s="54" t="s">
        <v>181</v>
      </c>
      <c r="Q70" s="114">
        <f>44000*8</f>
        <v>352000</v>
      </c>
    </row>
    <row r="71">
      <c r="A71" s="24" t="s">
        <v>175</v>
      </c>
      <c r="B71" s="64">
        <f t="shared" ref="B71:N71" si="31">B69+B70</f>
        <v>1305000</v>
      </c>
      <c r="C71" s="64">
        <f t="shared" si="31"/>
        <v>1344948</v>
      </c>
      <c r="D71" s="64">
        <f t="shared" si="31"/>
        <v>1208212</v>
      </c>
      <c r="E71" s="64">
        <f t="shared" si="31"/>
        <v>1132255</v>
      </c>
      <c r="F71" s="64">
        <f t="shared" si="31"/>
        <v>1100116</v>
      </c>
      <c r="G71" s="64">
        <f t="shared" si="31"/>
        <v>1445372</v>
      </c>
      <c r="H71" s="64">
        <f t="shared" si="31"/>
        <v>2163783</v>
      </c>
      <c r="I71" s="64">
        <f t="shared" si="31"/>
        <v>1046102</v>
      </c>
      <c r="J71" s="64">
        <f t="shared" si="31"/>
        <v>1488888</v>
      </c>
      <c r="K71" s="64">
        <f t="shared" si="31"/>
        <v>1455335</v>
      </c>
      <c r="L71" s="64">
        <f t="shared" si="31"/>
        <v>1753947</v>
      </c>
      <c r="M71" s="64">
        <f t="shared" si="31"/>
        <v>381842</v>
      </c>
      <c r="N71" s="64">
        <f t="shared" si="31"/>
        <v>3404</v>
      </c>
      <c r="P71" s="54" t="s">
        <v>182</v>
      </c>
      <c r="Q71" s="80">
        <f>382000/50</f>
        <v>7640</v>
      </c>
    </row>
    <row r="72">
      <c r="P72" s="54" t="s">
        <v>179</v>
      </c>
      <c r="Q72" s="115">
        <f>Q68*Q67*710+Q70*Q71</f>
        <v>7710400000</v>
      </c>
    </row>
    <row r="73">
      <c r="P73" s="54" t="s">
        <v>183</v>
      </c>
      <c r="Q73" s="115">
        <f>Q72*13</f>
        <v>100235200000</v>
      </c>
    </row>
    <row r="75">
      <c r="A75" s="87" t="s">
        <v>184</v>
      </c>
    </row>
    <row r="76">
      <c r="A76" s="104" t="s">
        <v>154</v>
      </c>
      <c r="B76" s="104" t="s">
        <v>155</v>
      </c>
      <c r="C76" s="24" t="s">
        <v>132</v>
      </c>
      <c r="D76" s="15" t="s">
        <v>133</v>
      </c>
      <c r="E76" s="15" t="s">
        <v>134</v>
      </c>
      <c r="F76" s="15" t="s">
        <v>135</v>
      </c>
      <c r="G76" s="15" t="s">
        <v>136</v>
      </c>
      <c r="H76" s="15" t="s">
        <v>137</v>
      </c>
      <c r="I76" s="15" t="s">
        <v>138</v>
      </c>
      <c r="J76" s="15" t="s">
        <v>139</v>
      </c>
      <c r="K76" s="15" t="s">
        <v>140</v>
      </c>
      <c r="L76" s="15" t="s">
        <v>141</v>
      </c>
      <c r="M76" s="15" t="s">
        <v>142</v>
      </c>
      <c r="N76" s="15" t="s">
        <v>143</v>
      </c>
    </row>
    <row r="77">
      <c r="A77" s="15" t="s">
        <v>144</v>
      </c>
      <c r="B77" s="64">
        <v>0.0</v>
      </c>
      <c r="C77" s="64">
        <f t="shared" ref="C77:N77" si="32">B80</f>
        <v>1384500</v>
      </c>
      <c r="D77" s="64">
        <f t="shared" si="32"/>
        <v>1503948</v>
      </c>
      <c r="E77" s="64">
        <f t="shared" si="32"/>
        <v>1446712</v>
      </c>
      <c r="F77" s="64">
        <f t="shared" si="32"/>
        <v>1450255</v>
      </c>
      <c r="G77" s="64">
        <f t="shared" si="32"/>
        <v>1497616</v>
      </c>
      <c r="H77" s="64">
        <f t="shared" si="32"/>
        <v>1922372</v>
      </c>
      <c r="I77" s="64">
        <f t="shared" si="32"/>
        <v>2720283</v>
      </c>
      <c r="J77" s="64">
        <f t="shared" si="32"/>
        <v>1682102</v>
      </c>
      <c r="K77" s="64">
        <f t="shared" si="32"/>
        <v>2204388</v>
      </c>
      <c r="L77" s="64">
        <f t="shared" si="32"/>
        <v>2250335</v>
      </c>
      <c r="M77" s="64">
        <f t="shared" si="32"/>
        <v>2628447</v>
      </c>
      <c r="N77" s="64">
        <f t="shared" si="32"/>
        <v>1335842</v>
      </c>
    </row>
    <row r="78">
      <c r="A78" s="15" t="s">
        <v>145</v>
      </c>
      <c r="B78" s="28">
        <f t="shared" ref="B78:N78" si="33">923000*1.5</f>
        <v>1384500</v>
      </c>
      <c r="C78" s="28">
        <f t="shared" si="33"/>
        <v>1384500</v>
      </c>
      <c r="D78" s="28">
        <f t="shared" si="33"/>
        <v>1384500</v>
      </c>
      <c r="E78" s="28">
        <f t="shared" si="33"/>
        <v>1384500</v>
      </c>
      <c r="F78" s="28">
        <f t="shared" si="33"/>
        <v>1384500</v>
      </c>
      <c r="G78" s="28">
        <f t="shared" si="33"/>
        <v>1384500</v>
      </c>
      <c r="H78" s="28">
        <f t="shared" si="33"/>
        <v>1384500</v>
      </c>
      <c r="I78" s="28">
        <f t="shared" si="33"/>
        <v>1384500</v>
      </c>
      <c r="J78" s="28">
        <f t="shared" si="33"/>
        <v>1384500</v>
      </c>
      <c r="K78" s="28">
        <f t="shared" si="33"/>
        <v>1384500</v>
      </c>
      <c r="L78" s="28">
        <f t="shared" si="33"/>
        <v>1384500</v>
      </c>
      <c r="M78" s="28">
        <f t="shared" si="33"/>
        <v>1384500</v>
      </c>
      <c r="N78" s="28">
        <f t="shared" si="33"/>
        <v>1384500</v>
      </c>
    </row>
    <row r="79">
      <c r="A79" s="15" t="s">
        <v>122</v>
      </c>
      <c r="B79" s="64"/>
      <c r="C79" s="84">
        <v>1265052.0</v>
      </c>
      <c r="D79" s="84">
        <v>1441736.0</v>
      </c>
      <c r="E79" s="84">
        <v>1380957.0</v>
      </c>
      <c r="F79" s="84">
        <v>1337139.0</v>
      </c>
      <c r="G79" s="84">
        <v>959744.0</v>
      </c>
      <c r="H79" s="84">
        <v>586589.0</v>
      </c>
      <c r="I79" s="84">
        <v>2422681.0</v>
      </c>
      <c r="J79" s="84">
        <v>862214.0</v>
      </c>
      <c r="K79" s="84">
        <v>1338553.0</v>
      </c>
      <c r="L79" s="84">
        <v>1006388.0</v>
      </c>
      <c r="M79" s="84">
        <v>2677105.0</v>
      </c>
      <c r="N79" s="84">
        <v>1683438.0</v>
      </c>
    </row>
    <row r="80">
      <c r="A80" s="24" t="s">
        <v>147</v>
      </c>
      <c r="B80" s="107">
        <f>B78</f>
        <v>1384500</v>
      </c>
      <c r="C80" s="64">
        <f t="shared" ref="C80:N80" si="34">C77+C78-C79</f>
        <v>1503948</v>
      </c>
      <c r="D80" s="64">
        <f t="shared" si="34"/>
        <v>1446712</v>
      </c>
      <c r="E80" s="64">
        <f t="shared" si="34"/>
        <v>1450255</v>
      </c>
      <c r="F80" s="64">
        <f t="shared" si="34"/>
        <v>1497616</v>
      </c>
      <c r="G80" s="64">
        <f t="shared" si="34"/>
        <v>1922372</v>
      </c>
      <c r="H80" s="64">
        <f t="shared" si="34"/>
        <v>2720283</v>
      </c>
      <c r="I80" s="64">
        <f t="shared" si="34"/>
        <v>1682102</v>
      </c>
      <c r="J80" s="64">
        <f t="shared" si="34"/>
        <v>2204388</v>
      </c>
      <c r="K80" s="64">
        <f t="shared" si="34"/>
        <v>2250335</v>
      </c>
      <c r="L80" s="64">
        <f t="shared" si="34"/>
        <v>2628447</v>
      </c>
      <c r="M80" s="64">
        <f t="shared" si="34"/>
        <v>1335842</v>
      </c>
      <c r="N80" s="64">
        <f t="shared" si="34"/>
        <v>1036904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2024-10-31T15:20:11Z</dcterms:created>
  <dc:creator>Nguyen Thi Hoang Ngan</dc:creator>
</cp:coreProperties>
</file>