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drawings/drawing12.xml" ContentType="application/vnd.openxmlformats-officedocument.drawing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0" windowWidth="19230" windowHeight="2730" tabRatio="912" firstSheet="38" activeTab="5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Settings" sheetId="75" r:id="rId5"/>
    <sheet name="GlobNames" sheetId="77" r:id="rId6"/>
    <sheet name="GlobBerOpm" sheetId="4" r:id="rId7"/>
    <sheet name="GlobBerConv" sheetId="25" r:id="rId8"/>
    <sheet name="GlobTblParEnt" sheetId="80" r:id="rId9"/>
    <sheet name="GlobTblEnt" sheetId="68" r:id="rId10"/>
    <sheet name="GlobBerNorm" sheetId="19" r:id="rId11"/>
    <sheet name="GlobTemp" sheetId="7" r:id="rId12"/>
    <sheet name="Patient--&gt;" sheetId="65" r:id="rId13"/>
    <sheet name="PatText" sheetId="9" r:id="rId14"/>
    <sheet name="PatData" sheetId="8" r:id="rId15"/>
    <sheet name="PatDetails" sheetId="6" r:id="rId16"/>
    <sheet name="Pediatrie--&gt;" sheetId="63" r:id="rId17"/>
    <sheet name="PedGuiMedIV" sheetId="10" r:id="rId18"/>
    <sheet name="PedBerMedIV" sheetId="12" r:id="rId19"/>
    <sheet name="PedTblMedIV" sheetId="11" r:id="rId20"/>
    <sheet name="PedTblMedDisc" sheetId="69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TblTijden" sheetId="15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PrtMedDisc" sheetId="61" r:id="rId56"/>
    <sheet name="NeoTblTijden" sheetId="62" r:id="rId57"/>
    <sheet name="NeoGuiAfspr" sheetId="50" r:id="rId58"/>
    <sheet name="NeoBerAfspr" sheetId="52" r:id="rId59"/>
    <sheet name="NeoGuiLab" sheetId="56" r:id="rId60"/>
    <sheet name="NeoBerLab" sheetId="55" r:id="rId61"/>
    <sheet name="NeoGuiAcuut" sheetId="49" r:id="rId62"/>
    <sheet name="NeoPrtAfspr" sheetId="33" r:id="rId63"/>
    <sheet name="NeoPrtApoth" sheetId="38" r:id="rId64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5" hidden="1">GlobNames!$A$1:$I$1948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1">NeoGuiAcuut!$B$2:$G$31</definedName>
    <definedName name="_xlnm.Print_Area" localSheetId="62">NeoPrtAfspr!$A$1:$Q$68</definedName>
    <definedName name="_xlnm.Print_Area" localSheetId="63">NeoPrtApoth!$A$1:$Q$63</definedName>
    <definedName name="_xlnm.Print_Area" localSheetId="55">NeoPrtMedDisc!$B$1:$AG$22</definedName>
    <definedName name="_xlnm.Print_Area" localSheetId="35">PedGuiAcuut!$B$2:$G$44</definedName>
    <definedName name="_xlnm.Print_Area" localSheetId="38">PedPrtAfspr!$A$2:$J$127</definedName>
    <definedName name="_xlnm.Print_Area" localSheetId="39">PedPrtMedDisc!$B$1:$AG$22</definedName>
    <definedName name="_xlnm.Print_Area" localSheetId="43">PedPrtTPN16tot30!$A$1:$H$48</definedName>
    <definedName name="_xlnm.Print_Area" localSheetId="41">PedPrtTPN2tot6!$A$1:$H$48</definedName>
    <definedName name="_xlnm.Print_Area" localSheetId="45">PedPrtTPN50!$A$1:$H$52</definedName>
    <definedName name="_xlnm.Print_Area" localSheetId="42">PedPrtTPN7tot15!$A$1:$H$50</definedName>
    <definedName name="_xlnm.Print_Area" localSheetId="44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ParEnt">GlobTblParEnt!$A$5:$M$44</definedName>
    <definedName name="tbl_Glob_Patient">PatData!$A$1:$B$781</definedName>
    <definedName name="tbl_Neo_Beds">GlobSettings!$E$2:$E$54</definedName>
    <definedName name="tbl_Neo_Dose">NeoTblLijst!#REF!</definedName>
    <definedName name="tbl_Neo_FaktorLijst">NeoTblLijst!#REF!</definedName>
    <definedName name="tbl_Neo_IntralipidSmof">NeoTblLijst!$F$2:$F$3</definedName>
    <definedName name="tbl_Neo_LijstToevoegingenKV">NeoTblLijst!#REF!</definedName>
    <definedName name="tbl_Neo_LijstToevoegingenMM">NeoTblLijst!#REF!</definedName>
    <definedName name="tbl_Neo_LijstVoeding">NeoTblLijst!#REF!</definedName>
    <definedName name="Tbl_Neo_MedIV">NeoTblMedIV!$B$3:$M$27</definedName>
    <definedName name="tbl_Neo_NutrBMFToev">NeoTblLijst!#REF!</definedName>
    <definedName name="tbl_Neo_NutrBMFWaard">NeoTblLijst!$C$2:$C$4</definedName>
    <definedName name="tbl_Neo_NutrKunstToev">NeoTblLijst!#REF!</definedName>
    <definedName name="tbl_Neo_NutrMMToev">NeoTblLijst!#REF!</definedName>
    <definedName name="tbl_Neo_NutrToevWaard">NeoTblLijst!$D$2:$D$12</definedName>
    <definedName name="Tbl_Neo_OplVlst">NeoTblLijst!$A$2:$A$17</definedName>
    <definedName name="tbl_Neo_OpzoektabelKV">NeoTblLijst!#REF!</definedName>
    <definedName name="tbl_Neo_OpzoektabelMM">NeoTblLijst!#REF!</definedName>
    <definedName name="tbl_Neo_OpzoektabelVoeding">NeoTblLijst!#REF!</definedName>
    <definedName name="Tbl_Neo_PoedKV">NeoTblEnt!$A$33:$M$37</definedName>
    <definedName name="Tbl_Neo_PoedMM">NeoTblEnt!$A$23:$M$30</definedName>
    <definedName name="tbl_Neo_Pos">NeoTblLijst!#REF!</definedName>
    <definedName name="tbl_Neo_ToevoegingenKVPrint">NeoTblLijst!#REF!</definedName>
    <definedName name="tbl_Neo_ToevoegingenMMPrint">NeoTblLijst!#REF!</definedName>
    <definedName name="tbl_Neo_TpnNICU">NeoTblLijst!#REF!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PedTblAfspr!$F$2:$F$6</definedName>
    <definedName name="tbl_Ped_LiquorDrain">PedTblAfspr!$J$2:$J$5</definedName>
    <definedName name="Tbl_Ped_MedContIV">PedTblMedIV!$B$4:$S$35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Oplossing">PedTblMedIV!$U$4:$U$7</definedName>
    <definedName name="tblOpzoekenMedicatieIV">PedTblMedIV!$A$4:$B$35</definedName>
    <definedName name="tblPacemakerModus">PedTblIV!$F$2:$F$5</definedName>
    <definedName name="tblPacemakerPositie">PedTblIV!$E$2:$E$5</definedName>
    <definedName name="tblPerOs">PedTblEnt!#REF!</definedName>
    <definedName name="tblPO_poederlijst">PedTblEnt!#REF!</definedName>
    <definedName name="tblPoeder">PedTblEnt!#REF!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GlobTblEnt!$A$44:$M$70</definedName>
    <definedName name="Txt_Neo_InfB_ContIV_01">NeoBerInfB!$AO$22</definedName>
    <definedName name="Txt_Neo_InfB_ContIV_02">NeoBerInfB!$AO$23</definedName>
    <definedName name="Txt_Neo_InfB_ContIV_03">NeoBerInfB!$AO$24</definedName>
    <definedName name="Txt_Neo_InfB_ContIV_04">NeoBerInfB!$AO$25</definedName>
    <definedName name="Txt_Neo_InfB_ContIV_05">NeoBerInfB!$AO$26</definedName>
    <definedName name="Txt_Neo_InfB_ContIV_06">NeoBerInfB!$AO$27</definedName>
    <definedName name="Txt_Neo_InfB_ContIV_07">NeoBerInfB!$AO$28</definedName>
    <definedName name="Txt_Neo_InfB_ContIV_08">NeoBerInfB!$AO$29</definedName>
    <definedName name="Txt_Neo_InfB_ContIV_09">NeoBerInfB!$AO$30</definedName>
    <definedName name="Txt_Neo_InfB_ContIV_10">NeoBerInfB!$AO$31</definedName>
    <definedName name="Txt_Neo_InfB_ContIV_11">NeoBerInfB!$AO$32</definedName>
    <definedName name="Txt_Neo_InfB_ContIV_12">NeoBerInfB!$AO$33</definedName>
    <definedName name="Txt_Neo_InfB_ContIV_13">NeoBerInfB!$AO$34</definedName>
    <definedName name="Txt_Neo_InfB_ContIV_14">NeoBerInfB!$AO$35</definedName>
    <definedName name="Txt_Neo_InfB_ContIV_15">NeoBerInfB!$AO$36</definedName>
    <definedName name="Txt_Neo_InfB_ContIV_16">NeoBerInfB!$AO$37</definedName>
    <definedName name="Txt_Neo_InfB_TPN_01">NeoBerInfB!$AO$6</definedName>
    <definedName name="Txt_Neo_InfB_TPN_02">NeoBerInfB!$AO$7</definedName>
    <definedName name="Txt_Neo_InfB_TPN_03">NeoBerInfB!$AO$40</definedName>
    <definedName name="Txt_Neo_InfB_TPN_04">NeoBerInfB!$AO$41</definedName>
    <definedName name="Txt_Neo_InfB_TPN_05">NeoBerInfB!$AO$42</definedName>
    <definedName name="Txt_Neo_InfB_TPN_06">NeoBerInfB!$AO$43</definedName>
    <definedName name="Txt_Neo_InfB_TPN_07">NeoBerInfB!$AO$44</definedName>
    <definedName name="Txt_Neo_InfB_TPN_08">NeoBerInfB!$AO$45</definedName>
    <definedName name="Txt_Neo_InfB_TPN_09">NeoBerInfB!$AO$46</definedName>
    <definedName name="Txt_Neo_InfB_TPN_10">NeoBerInfB!$AO$47</definedName>
    <definedName name="Txt_Neo_InfB_TPN_11">NeoBerInfB!$AO$48</definedName>
    <definedName name="Txt_Neo_InfB_TPN_12">NeoBerInfB!$AO$49</definedName>
    <definedName name="Txt_Neo_InfB_TPN_13">NeoBerInfB!$AO$50</definedName>
    <definedName name="Txt_Neo_InfB_Voeding_01">NeoBerInfB!$AO$9</definedName>
    <definedName name="Txt_Neo_InfB_Voeding_02">NeoBerInfB!$AO$11</definedName>
    <definedName name="Txt_Neo_InfB_Voeding_03">NeoBerInfB!$AO$12</definedName>
    <definedName name="Txt_Neo_InfB_Voeding_04">NeoBerInfB!$AO$13</definedName>
    <definedName name="Txt_Neo_InfB_Voeding_05">NeoBerInfB!$AO$14</definedName>
    <definedName name="Txt_Neo_InfB_Voeding_06">NeoBerInfB!$AO$15</definedName>
    <definedName name="Txt_Neo_InfB_Voeding_07">NeoBerInfB!$AO$16</definedName>
    <definedName name="Txt_Neo_InfB_Voeding_08">NeoBerInfB!$AO$17</definedName>
    <definedName name="Txt_Neo_InfB_Voeding_09">NeoBerInfB!$AO$18</definedName>
    <definedName name="Txt_Neo_InfB_Voeding_10">NeoBerInfB!$AO$19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at_OpnameDat">PatDetails!$B$15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61" hidden="1">NeoGuiAcuut!$B$2:$G$31</definedName>
    <definedName name="Z_33CCADFA_0D48_46A6_8927_2B2144029216_.wvu.PrintArea" localSheetId="55" hidden="1">NeoPrtMedDisc!$B$1:$AG$22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PedPrtAfspr!$A$2:$J$127</definedName>
    <definedName name="Z_33CCADFA_0D48_46A6_8927_2B2144029216_.wvu.PrintArea" localSheetId="39" hidden="1">PedPrtMedDisc!$B$1:$AG$22</definedName>
    <definedName name="Z_33CCADFA_0D48_46A6_8927_2B2144029216_.wvu.PrintArea" localSheetId="43" hidden="1">PedPrtTPN16tot30!$A$1:$H$48</definedName>
    <definedName name="Z_33CCADFA_0D48_46A6_8927_2B2144029216_.wvu.PrintArea" localSheetId="41" hidden="1">PedPrtTPN2tot6!$A$1:$H$48</definedName>
    <definedName name="Z_33CCADFA_0D48_46A6_8927_2B2144029216_.wvu.PrintArea" localSheetId="45" hidden="1">PedPrtTPN50!$A$1:$H$52</definedName>
    <definedName name="Z_33CCADFA_0D48_46A6_8927_2B2144029216_.wvu.PrintArea" localSheetId="42" hidden="1">PedPrtTPN7tot15!$A$1:$H$50</definedName>
    <definedName name="Z_33CCADFA_0D48_46A6_8927_2B2144029216_.wvu.PrintArea" localSheetId="44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U25" i="45" l="1"/>
  <c r="U26" i="45"/>
  <c r="U27" i="45"/>
  <c r="U28" i="45"/>
  <c r="U29" i="45"/>
  <c r="U30" i="45"/>
  <c r="U31" i="45"/>
  <c r="U32" i="45"/>
  <c r="R24" i="45"/>
  <c r="S24" i="45"/>
  <c r="T24" i="45"/>
  <c r="W24" i="45"/>
  <c r="R25" i="45"/>
  <c r="S25" i="45"/>
  <c r="T25" i="45"/>
  <c r="V25" i="45"/>
  <c r="W25" i="45"/>
  <c r="X25" i="45"/>
  <c r="R26" i="45"/>
  <c r="S26" i="45"/>
  <c r="X26" i="45" s="1"/>
  <c r="T26" i="45"/>
  <c r="V26" i="45"/>
  <c r="W26" i="45"/>
  <c r="R27" i="45"/>
  <c r="X27" i="45" s="1"/>
  <c r="S27" i="45"/>
  <c r="T27" i="45"/>
  <c r="V27" i="45"/>
  <c r="W27" i="45"/>
  <c r="R28" i="45"/>
  <c r="S28" i="45"/>
  <c r="X28" i="45" s="1"/>
  <c r="T28" i="45"/>
  <c r="V28" i="45"/>
  <c r="W28" i="45"/>
  <c r="R29" i="45"/>
  <c r="S29" i="45"/>
  <c r="T29" i="45"/>
  <c r="V29" i="45"/>
  <c r="W29" i="45"/>
  <c r="X29" i="45"/>
  <c r="R30" i="45"/>
  <c r="S30" i="45"/>
  <c r="X30" i="45" s="1"/>
  <c r="T30" i="45"/>
  <c r="V30" i="45"/>
  <c r="W30" i="45"/>
  <c r="R31" i="45"/>
  <c r="X31" i="45" s="1"/>
  <c r="S31" i="45"/>
  <c r="T31" i="45"/>
  <c r="V31" i="45"/>
  <c r="W31" i="45"/>
  <c r="R32" i="45"/>
  <c r="S32" i="45"/>
  <c r="X32" i="45" s="1"/>
  <c r="T32" i="45"/>
  <c r="V32" i="45"/>
  <c r="W32" i="45"/>
  <c r="R23" i="45"/>
  <c r="W23" i="45"/>
  <c r="T23" i="45"/>
  <c r="S23" i="45"/>
  <c r="AA6" i="12"/>
  <c r="AA7" i="12"/>
  <c r="AA8" i="12"/>
  <c r="AA9" i="12"/>
  <c r="AA10" i="12"/>
  <c r="AA12" i="12"/>
  <c r="AA13" i="12"/>
  <c r="AA14" i="12"/>
  <c r="AA15" i="12"/>
  <c r="AA16" i="12"/>
  <c r="AA17" i="12"/>
  <c r="AA18" i="12"/>
  <c r="AA19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X6" i="12"/>
  <c r="X7" i="12"/>
  <c r="X8" i="12"/>
  <c r="X9" i="12"/>
  <c r="X10" i="12"/>
  <c r="X12" i="12"/>
  <c r="X13" i="12"/>
  <c r="X14" i="12"/>
  <c r="X15" i="12"/>
  <c r="X16" i="12"/>
  <c r="X17" i="12"/>
  <c r="X18" i="12"/>
  <c r="X19" i="12"/>
  <c r="X5" i="12"/>
  <c r="W6" i="12"/>
  <c r="W7" i="12"/>
  <c r="W8" i="12"/>
  <c r="W9" i="12"/>
  <c r="W10" i="12"/>
  <c r="W12" i="12"/>
  <c r="W13" i="12"/>
  <c r="W14" i="12"/>
  <c r="W15" i="12"/>
  <c r="W16" i="12"/>
  <c r="W17" i="12"/>
  <c r="W18" i="12"/>
  <c r="W19" i="12"/>
  <c r="V8" i="12"/>
  <c r="V9" i="12"/>
  <c r="V10" i="12"/>
  <c r="V12" i="12"/>
  <c r="V13" i="12"/>
  <c r="V14" i="12"/>
  <c r="V15" i="12"/>
  <c r="V16" i="12"/>
  <c r="V17" i="12"/>
  <c r="V18" i="12"/>
  <c r="U8" i="12"/>
  <c r="U9" i="12"/>
  <c r="U10" i="12"/>
  <c r="U12" i="12"/>
  <c r="U13" i="12"/>
  <c r="U14" i="12"/>
  <c r="U15" i="12"/>
  <c r="U16" i="12"/>
  <c r="U17" i="12"/>
  <c r="U18" i="12"/>
  <c r="B13" i="6"/>
  <c r="X24" i="45" l="1"/>
  <c r="X23" i="45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M40" i="45" l="1"/>
  <c r="M68" i="75" l="1"/>
  <c r="X40" i="45"/>
  <c r="B47" i="39" s="1"/>
  <c r="B1595" i="8" l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75" i="78"/>
  <c r="F75" i="78" s="1"/>
  <c r="W7" i="45"/>
  <c r="A15" i="39" s="1"/>
  <c r="C75" i="78" l="1"/>
  <c r="W9" i="45"/>
  <c r="A17" i="39" s="1"/>
  <c r="W37" i="45" l="1"/>
  <c r="A43" i="39" s="1"/>
  <c r="W36" i="45"/>
  <c r="A42" i="39" s="1"/>
  <c r="W34" i="45"/>
  <c r="A40" i="39" s="1"/>
  <c r="W35" i="45"/>
  <c r="A41" i="39" s="1"/>
  <c r="W33" i="45"/>
  <c r="A39" i="39" s="1"/>
  <c r="W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H32" i="45"/>
  <c r="G32" i="45" s="1"/>
  <c r="L37" i="39" s="1"/>
  <c r="C34" i="78"/>
  <c r="C22" i="78"/>
  <c r="A22" i="78"/>
  <c r="F22" i="78" s="1"/>
  <c r="A12" i="78"/>
  <c r="C12" i="78" s="1"/>
  <c r="A60" i="78"/>
  <c r="F60" i="78" s="1"/>
  <c r="A47" i="78"/>
  <c r="F47" i="78" s="1"/>
  <c r="A34" i="78"/>
  <c r="F34" i="78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Y32" i="45"/>
  <c r="AM32" i="45"/>
  <c r="AL32" i="45" s="1"/>
  <c r="N23" i="45"/>
  <c r="K28" i="39" s="1"/>
  <c r="N22" i="45"/>
  <c r="K26" i="39" s="1"/>
  <c r="F12" i="78" l="1"/>
  <c r="AC32" i="45"/>
  <c r="AK32" i="45"/>
  <c r="AB32" i="45"/>
  <c r="AD32" i="45"/>
  <c r="AI32" i="45"/>
  <c r="AE32" i="45"/>
  <c r="Q32" i="45"/>
  <c r="R37" i="39" s="1"/>
  <c r="AH32" i="45"/>
  <c r="Z32" i="45"/>
  <c r="AG32" i="45"/>
  <c r="AA32" i="45"/>
  <c r="C47" i="78"/>
  <c r="C60" i="78"/>
  <c r="AJ32" i="45"/>
  <c r="AF32" i="45"/>
  <c r="M70" i="75"/>
  <c r="M67" i="75"/>
  <c r="M71" i="75"/>
  <c r="M66" i="75"/>
  <c r="M17" i="45"/>
  <c r="M18" i="45"/>
  <c r="M19" i="45"/>
  <c r="M16" i="45"/>
  <c r="AO32" i="45" l="1"/>
  <c r="Q12" i="39"/>
  <c r="O12" i="39"/>
  <c r="P11" i="39"/>
  <c r="J11" i="39"/>
  <c r="E3" i="18" l="1"/>
  <c r="E4" i="18"/>
  <c r="E5" i="18"/>
  <c r="E6" i="18"/>
  <c r="E7" i="18"/>
  <c r="E2" i="18"/>
  <c r="M27" i="80"/>
  <c r="M25" i="80"/>
  <c r="M19" i="80"/>
  <c r="M21" i="80"/>
  <c r="M18" i="80"/>
  <c r="J15" i="12"/>
  <c r="J16" i="12"/>
  <c r="J17" i="12"/>
  <c r="J18" i="12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N50" i="45"/>
  <c r="N34" i="45"/>
  <c r="N35" i="45"/>
  <c r="N33" i="45"/>
  <c r="AO36" i="45"/>
  <c r="AO37" i="45"/>
  <c r="H19" i="45"/>
  <c r="H18" i="45"/>
  <c r="H17" i="45"/>
  <c r="H16" i="45"/>
  <c r="H15" i="45"/>
  <c r="H14" i="45"/>
  <c r="H13" i="45"/>
  <c r="H12" i="45"/>
  <c r="H11" i="45"/>
  <c r="AO6" i="45"/>
  <c r="AO22" i="45"/>
  <c r="Y9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4" i="45"/>
  <c r="O29" i="39" s="1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O34" i="45" l="1"/>
  <c r="AO35" i="45"/>
  <c r="AO33" i="45"/>
  <c r="AO9" i="45"/>
  <c r="Y22" i="45"/>
  <c r="O10" i="39"/>
  <c r="H24" i="45"/>
  <c r="G24" i="45" s="1"/>
  <c r="H25" i="45"/>
  <c r="G25" i="45" s="1"/>
  <c r="L30" i="39" s="1"/>
  <c r="H26" i="45"/>
  <c r="G26" i="45" s="1"/>
  <c r="L31" i="39" s="1"/>
  <c r="H27" i="45"/>
  <c r="G27" i="45" s="1"/>
  <c r="L32" i="39" s="1"/>
  <c r="H28" i="45"/>
  <c r="G28" i="45" s="1"/>
  <c r="L33" i="39" s="1"/>
  <c r="H29" i="45"/>
  <c r="G29" i="45" s="1"/>
  <c r="L34" i="39" s="1"/>
  <c r="H30" i="45"/>
  <c r="G30" i="45" s="1"/>
  <c r="L35" i="39" s="1"/>
  <c r="H31" i="45"/>
  <c r="G31" i="45" s="1"/>
  <c r="L36" i="39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L8" i="71"/>
  <c r="L9" i="71"/>
  <c r="L10" i="71"/>
  <c r="P23" i="45" s="1"/>
  <c r="O28" i="39" s="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M8" i="71"/>
  <c r="M11" i="71"/>
  <c r="M12" i="71"/>
  <c r="M16" i="71"/>
  <c r="M17" i="71"/>
  <c r="M19" i="71"/>
  <c r="M20" i="71"/>
  <c r="M21" i="71"/>
  <c r="M23" i="71"/>
  <c r="M27" i="71"/>
  <c r="J18" i="20"/>
  <c r="J17" i="20"/>
  <c r="J16" i="20"/>
  <c r="J15" i="20"/>
  <c r="J14" i="20"/>
  <c r="J13" i="20"/>
  <c r="J12" i="20"/>
  <c r="J11" i="20"/>
  <c r="J10" i="20"/>
  <c r="B21" i="27"/>
  <c r="B20" i="27"/>
  <c r="B19" i="27"/>
  <c r="B18" i="27"/>
  <c r="K18" i="20" s="1"/>
  <c r="B17" i="27"/>
  <c r="K17" i="20" s="1"/>
  <c r="B16" i="27"/>
  <c r="K16" i="20" s="1"/>
  <c r="B15" i="27"/>
  <c r="K15" i="20" s="1"/>
  <c r="B14" i="27"/>
  <c r="K14" i="20" s="1"/>
  <c r="B13" i="27"/>
  <c r="K13" i="20" s="1"/>
  <c r="B12" i="27"/>
  <c r="K12" i="20" s="1"/>
  <c r="B11" i="27"/>
  <c r="K11" i="20" s="1"/>
  <c r="B10" i="27"/>
  <c r="K10" i="20" s="1"/>
  <c r="H8" i="27"/>
  <c r="B18" i="20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15" i="12"/>
  <c r="AC16" i="12"/>
  <c r="AC17" i="12"/>
  <c r="AC18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15" i="12"/>
  <c r="I16" i="12"/>
  <c r="I17" i="12"/>
  <c r="I18" i="12"/>
  <c r="I19" i="12"/>
  <c r="H15" i="12"/>
  <c r="H16" i="12"/>
  <c r="H17" i="12"/>
  <c r="H18" i="12"/>
  <c r="H19" i="12"/>
  <c r="S6" i="11"/>
  <c r="S9" i="11"/>
  <c r="S12" i="11"/>
  <c r="S13" i="11"/>
  <c r="S15" i="11"/>
  <c r="S17" i="11"/>
  <c r="S20" i="11"/>
  <c r="S21" i="11"/>
  <c r="S23" i="11"/>
  <c r="S24" i="11"/>
  <c r="S25" i="11"/>
  <c r="S31" i="11"/>
  <c r="S32" i="11"/>
  <c r="S33" i="11"/>
  <c r="S35" i="11"/>
  <c r="S5" i="11"/>
  <c r="P11" i="25"/>
  <c r="S28" i="11" s="1"/>
  <c r="M12" i="25"/>
  <c r="L12" i="25"/>
  <c r="S14" i="11" s="1"/>
  <c r="M9" i="25"/>
  <c r="M8" i="25"/>
  <c r="M7" i="25"/>
  <c r="M6" i="25"/>
  <c r="M5" i="25"/>
  <c r="L8" i="25"/>
  <c r="S19" i="11" s="1"/>
  <c r="L5" i="25"/>
  <c r="M6" i="71" s="1"/>
  <c r="L3" i="25"/>
  <c r="F37" i="10"/>
  <c r="P25" i="12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P10" i="12"/>
  <c r="O10" i="12"/>
  <c r="N10" i="12"/>
  <c r="P9" i="12"/>
  <c r="O9" i="12"/>
  <c r="N9" i="12"/>
  <c r="O8" i="12"/>
  <c r="N8" i="12"/>
  <c r="P7" i="12"/>
  <c r="O7" i="12"/>
  <c r="N7" i="12"/>
  <c r="P6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L29" i="39" l="1"/>
  <c r="U24" i="45"/>
  <c r="V24" i="45"/>
  <c r="J19" i="12"/>
  <c r="AC19" i="12"/>
  <c r="M9" i="71"/>
  <c r="J14" i="12"/>
  <c r="J13" i="12"/>
  <c r="J12" i="12"/>
  <c r="J10" i="12"/>
  <c r="J9" i="12"/>
  <c r="J8" i="12"/>
  <c r="M26" i="71"/>
  <c r="S18" i="11"/>
  <c r="S26" i="11"/>
  <c r="S22" i="11"/>
  <c r="S10" i="11"/>
  <c r="M22" i="71"/>
  <c r="M18" i="71"/>
  <c r="M5" i="71"/>
  <c r="S34" i="11"/>
  <c r="S30" i="11"/>
  <c r="S16" i="11"/>
  <c r="S8" i="11"/>
  <c r="M25" i="71"/>
  <c r="M14" i="71"/>
  <c r="S29" i="11"/>
  <c r="S11" i="11"/>
  <c r="S7" i="11"/>
  <c r="M4" i="71"/>
  <c r="M24" i="71"/>
  <c r="M15" i="71"/>
  <c r="M10" i="71"/>
  <c r="H23" i="45" s="1"/>
  <c r="G23" i="45" s="1"/>
  <c r="B49" i="45"/>
  <c r="B45" i="45"/>
  <c r="B7" i="45"/>
  <c r="B48" i="45"/>
  <c r="B44" i="45"/>
  <c r="B40" i="45"/>
  <c r="B47" i="45"/>
  <c r="B43" i="45"/>
  <c r="B46" i="45"/>
  <c r="B42" i="45"/>
  <c r="AA22" i="45"/>
  <c r="AE22" i="45"/>
  <c r="AI22" i="45"/>
  <c r="AB22" i="45"/>
  <c r="AF22" i="45"/>
  <c r="AJ22" i="45"/>
  <c r="AC22" i="45"/>
  <c r="AG22" i="45"/>
  <c r="AK22" i="45"/>
  <c r="AD22" i="45"/>
  <c r="AH22" i="45"/>
  <c r="Z22" i="45"/>
  <c r="A8" i="11"/>
  <c r="S27" i="11"/>
  <c r="AG24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C14" i="81"/>
  <c r="D14" i="81"/>
  <c r="E14" i="81"/>
  <c r="F14" i="81"/>
  <c r="G14" i="81"/>
  <c r="H14" i="81"/>
  <c r="I14" i="81"/>
  <c r="J14" i="81"/>
  <c r="K14" i="81"/>
  <c r="L14" i="81"/>
  <c r="M14" i="81"/>
  <c r="C15" i="81"/>
  <c r="D15" i="81"/>
  <c r="E15" i="81"/>
  <c r="F15" i="81"/>
  <c r="G15" i="81"/>
  <c r="H15" i="81"/>
  <c r="I15" i="81"/>
  <c r="J15" i="81"/>
  <c r="K15" i="81"/>
  <c r="L15" i="81"/>
  <c r="M15" i="81"/>
  <c r="C16" i="81"/>
  <c r="D16" i="81"/>
  <c r="E16" i="81"/>
  <c r="F16" i="81"/>
  <c r="G16" i="81"/>
  <c r="H16" i="81"/>
  <c r="I16" i="81"/>
  <c r="J16" i="81"/>
  <c r="K16" i="81"/>
  <c r="L16" i="81"/>
  <c r="M16" i="81"/>
  <c r="C17" i="81"/>
  <c r="D17" i="81"/>
  <c r="E17" i="81"/>
  <c r="F17" i="81"/>
  <c r="G17" i="81"/>
  <c r="H17" i="81"/>
  <c r="I17" i="81"/>
  <c r="J17" i="81"/>
  <c r="K17" i="81"/>
  <c r="L17" i="81"/>
  <c r="M17" i="81"/>
  <c r="C18" i="81"/>
  <c r="D18" i="81"/>
  <c r="E18" i="81"/>
  <c r="F18" i="81"/>
  <c r="G18" i="81"/>
  <c r="H18" i="81"/>
  <c r="I18" i="81"/>
  <c r="J18" i="81"/>
  <c r="K18" i="81"/>
  <c r="L18" i="81"/>
  <c r="M18" i="81"/>
  <c r="C19" i="81"/>
  <c r="D19" i="81"/>
  <c r="E19" i="81"/>
  <c r="F19" i="81"/>
  <c r="G19" i="81"/>
  <c r="H19" i="81"/>
  <c r="I19" i="81"/>
  <c r="J19" i="81"/>
  <c r="K19" i="81"/>
  <c r="L19" i="81"/>
  <c r="M19" i="81"/>
  <c r="C20" i="81"/>
  <c r="D20" i="81"/>
  <c r="E20" i="81"/>
  <c r="F20" i="81"/>
  <c r="G20" i="81"/>
  <c r="H20" i="81"/>
  <c r="I20" i="81"/>
  <c r="J20" i="81"/>
  <c r="K20" i="81"/>
  <c r="L20" i="81"/>
  <c r="M20" i="81"/>
  <c r="C21" i="81"/>
  <c r="D21" i="81"/>
  <c r="E21" i="81"/>
  <c r="F21" i="81"/>
  <c r="G21" i="81"/>
  <c r="H21" i="81"/>
  <c r="I21" i="81"/>
  <c r="J21" i="81"/>
  <c r="K21" i="81"/>
  <c r="L21" i="81"/>
  <c r="M21" i="81"/>
  <c r="C22" i="81"/>
  <c r="D22" i="81"/>
  <c r="E22" i="81"/>
  <c r="F22" i="81"/>
  <c r="G22" i="81"/>
  <c r="H22" i="81"/>
  <c r="I22" i="81"/>
  <c r="J22" i="81"/>
  <c r="K22" i="81"/>
  <c r="L22" i="81"/>
  <c r="M22" i="81"/>
  <c r="C23" i="81"/>
  <c r="D23" i="81"/>
  <c r="E23" i="81"/>
  <c r="F23" i="81"/>
  <c r="G23" i="81"/>
  <c r="H23" i="81"/>
  <c r="I23" i="81"/>
  <c r="J23" i="81"/>
  <c r="K23" i="81"/>
  <c r="L23" i="81"/>
  <c r="M23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4" i="80"/>
  <c r="B7" i="80"/>
  <c r="B14" i="81" s="1"/>
  <c r="B8" i="80"/>
  <c r="B15" i="81" s="1"/>
  <c r="B9" i="80"/>
  <c r="B16" i="81" s="1"/>
  <c r="B10" i="80"/>
  <c r="B17" i="81" s="1"/>
  <c r="B11" i="80"/>
  <c r="B18" i="81" s="1"/>
  <c r="B12" i="80"/>
  <c r="B19" i="81" s="1"/>
  <c r="B13" i="80"/>
  <c r="B20" i="81" s="1"/>
  <c r="B14" i="80"/>
  <c r="B15" i="80"/>
  <c r="B21" i="81" s="1"/>
  <c r="B16" i="80"/>
  <c r="B17" i="80"/>
  <c r="B22" i="81" s="1"/>
  <c r="B18" i="80"/>
  <c r="B23" i="81" s="1"/>
  <c r="B19" i="80"/>
  <c r="B24" i="81" s="1"/>
  <c r="B6" i="80"/>
  <c r="B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L28" i="39" l="1"/>
  <c r="V23" i="45"/>
  <c r="U23" i="45"/>
  <c r="A9" i="1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C74" i="78"/>
  <c r="F74" i="78"/>
  <c r="C73" i="78" l="1"/>
  <c r="S7" i="27"/>
  <c r="B24" i="24" s="1"/>
  <c r="T7" i="27"/>
  <c r="B28" i="24" s="1"/>
  <c r="Y7" i="27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6" i="12" s="1"/>
  <c r="A20" i="11"/>
  <c r="D2" i="58"/>
  <c r="I2" i="60"/>
  <c r="D43" i="58"/>
  <c r="M43" i="75" s="1"/>
  <c r="F3" i="18"/>
  <c r="F4" i="18"/>
  <c r="F5" i="18"/>
  <c r="F6" i="18"/>
  <c r="F7" i="18"/>
  <c r="F2" i="18"/>
  <c r="A21" i="11" l="1"/>
  <c r="C2" i="60"/>
  <c r="F9" i="18"/>
  <c r="E9" i="18"/>
  <c r="B19" i="24" s="1"/>
  <c r="G24" i="20"/>
  <c r="Q2" i="13"/>
  <c r="A22" i="11" l="1"/>
  <c r="E18" i="20"/>
  <c r="A23" i="11" l="1"/>
  <c r="I3" i="27"/>
  <c r="B9" i="20" s="1"/>
  <c r="H3" i="27"/>
  <c r="B12" i="20" s="1"/>
  <c r="H4" i="27"/>
  <c r="B14" i="20" s="1"/>
  <c r="H5" i="27"/>
  <c r="B15" i="20" s="1"/>
  <c r="H6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P3" i="14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K2" i="17"/>
  <c r="B25" i="6"/>
  <c r="F4" i="60" s="1"/>
  <c r="B24" i="6"/>
  <c r="B23" i="6"/>
  <c r="F2" i="60" s="1"/>
  <c r="B18" i="6"/>
  <c r="B16" i="6"/>
  <c r="E3" i="60" s="1"/>
  <c r="B17" i="6"/>
  <c r="A28" i="11" l="1"/>
  <c r="J3" i="58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21" i="6"/>
  <c r="K10" i="39" s="1"/>
  <c r="G2" i="13"/>
  <c r="A29" i="11" l="1"/>
  <c r="D3" i="58"/>
  <c r="C3" i="60"/>
  <c r="E3" i="17"/>
  <c r="E3" i="20"/>
  <c r="F3" i="10"/>
  <c r="G3" i="13"/>
  <c r="F2" i="10"/>
  <c r="B22" i="6"/>
  <c r="B19" i="6"/>
  <c r="C9" i="13"/>
  <c r="B15" i="6"/>
  <c r="A30" i="11" l="1"/>
  <c r="H2" i="58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7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8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9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B26" i="10"/>
  <c r="M19" i="12"/>
  <c r="P19" i="12" s="1"/>
  <c r="Q15" i="12"/>
  <c r="R15" i="12"/>
  <c r="S15" i="12"/>
  <c r="Q16" i="12"/>
  <c r="R16" i="12"/>
  <c r="S16" i="12"/>
  <c r="Q17" i="12"/>
  <c r="R17" i="12"/>
  <c r="S17" i="12"/>
  <c r="T17" i="12"/>
  <c r="R18" i="12"/>
  <c r="T18" i="12"/>
  <c r="Q19" i="12"/>
  <c r="R19" i="12"/>
  <c r="T19" i="12"/>
  <c r="A33" i="11" l="1"/>
  <c r="S19" i="12"/>
  <c r="M15" i="12"/>
  <c r="M18" i="12"/>
  <c r="M17" i="12"/>
  <c r="M16" i="12"/>
  <c r="A34" i="11" l="1"/>
  <c r="T15" i="12"/>
  <c r="T16" i="12"/>
  <c r="Q18" i="12"/>
  <c r="S18" i="12"/>
  <c r="B20" i="6"/>
  <c r="E4" i="60" s="1"/>
  <c r="A35" i="11" l="1"/>
  <c r="I4" i="10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R35" i="11"/>
  <c r="Q35" i="11"/>
  <c r="R34" i="11"/>
  <c r="I11" i="12" s="1"/>
  <c r="X11" i="12" s="1"/>
  <c r="Q34" i="11"/>
  <c r="H11" i="12" s="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Q26" i="11"/>
  <c r="H12" i="12" s="1"/>
  <c r="R25" i="11"/>
  <c r="Q25" i="11"/>
  <c r="R24" i="11"/>
  <c r="Q24" i="11"/>
  <c r="R23" i="11"/>
  <c r="Q23" i="11"/>
  <c r="R22" i="11"/>
  <c r="I14" i="12" s="1"/>
  <c r="Q22" i="11"/>
  <c r="H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I10" i="12" s="1"/>
  <c r="Q11" i="11"/>
  <c r="R10" i="11"/>
  <c r="I9" i="12" s="1"/>
  <c r="Q10" i="11"/>
  <c r="R9" i="11"/>
  <c r="I8" i="12" s="1"/>
  <c r="Q9" i="11"/>
  <c r="H8" i="12" s="1"/>
  <c r="R8" i="11"/>
  <c r="I7" i="12" s="1"/>
  <c r="Q8" i="11"/>
  <c r="R7" i="11"/>
  <c r="I6" i="12" s="1"/>
  <c r="Q7" i="11"/>
  <c r="R6" i="11"/>
  <c r="I13" i="12" s="1"/>
  <c r="Q6" i="11"/>
  <c r="R5" i="11"/>
  <c r="Q5" i="11"/>
  <c r="F18" i="19"/>
  <c r="M3" i="33"/>
  <c r="W11" i="12" l="1"/>
  <c r="AA11" i="12" s="1"/>
  <c r="C15" i="10" s="1"/>
  <c r="J11" i="12"/>
  <c r="H6" i="12"/>
  <c r="J6" i="12" s="1"/>
  <c r="AC8" i="12"/>
  <c r="H10" i="12"/>
  <c r="H13" i="12"/>
  <c r="H7" i="12"/>
  <c r="J7" i="12" s="1"/>
  <c r="H9" i="12"/>
  <c r="C18" i="10"/>
  <c r="AC14" i="12"/>
  <c r="AC12" i="12"/>
  <c r="C16" i="10"/>
  <c r="AC11" i="12"/>
  <c r="I4" i="2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3" i="10"/>
  <c r="C21" i="10"/>
  <c r="F24" i="2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D4" i="5"/>
  <c r="D5" i="56"/>
  <c r="J2" i="50"/>
  <c r="J12" i="39"/>
  <c r="M2" i="10"/>
  <c r="C12" i="10" l="1"/>
  <c r="AC9" i="12"/>
  <c r="C13" i="10"/>
  <c r="AC13" i="12"/>
  <c r="C17" i="10"/>
  <c r="C11" i="10"/>
  <c r="AC7" i="12"/>
  <c r="C14" i="10"/>
  <c r="AC10" i="12"/>
  <c r="AC6" i="12"/>
  <c r="C10" i="10"/>
  <c r="F23" i="10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D4" i="56"/>
  <c r="H3" i="56"/>
  <c r="D3" i="56"/>
  <c r="H2" i="56"/>
  <c r="I2" i="56" l="1"/>
  <c r="D2" i="56"/>
  <c r="H4" i="56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C23" i="16" l="1"/>
  <c r="C32" i="16"/>
  <c r="AA22" i="14"/>
  <c r="C42" i="9" s="1"/>
  <c r="P61" i="38"/>
  <c r="J61" i="38"/>
  <c r="D61" i="38"/>
  <c r="B43" i="38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C10" i="50"/>
  <c r="E33" i="33" l="1"/>
  <c r="J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J19" i="50" l="1"/>
  <c r="C9" i="50" l="1"/>
  <c r="C8" i="50"/>
  <c r="W3" i="14" l="1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F18" i="60" l="1"/>
  <c r="E31" i="17" l="1"/>
  <c r="E26" i="17"/>
  <c r="E25" i="17"/>
  <c r="C43" i="56" l="1"/>
  <c r="D78" i="33"/>
  <c r="F71" i="39"/>
  <c r="D42" i="39" l="1"/>
  <c r="B45" i="33" s="1"/>
  <c r="D43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K9" i="33" l="1"/>
  <c r="M4" i="33"/>
  <c r="K9" i="39"/>
  <c r="AM35" i="45" l="1"/>
  <c r="AL35" i="45" s="1"/>
  <c r="Y35" i="45"/>
  <c r="AM34" i="45"/>
  <c r="AL34" i="45" s="1"/>
  <c r="Y34" i="45"/>
  <c r="AM33" i="45"/>
  <c r="AL33" i="45" s="1"/>
  <c r="Y33" i="45"/>
  <c r="AM31" i="45"/>
  <c r="Y31" i="45"/>
  <c r="AM30" i="45"/>
  <c r="Y30" i="45"/>
  <c r="AM29" i="45"/>
  <c r="Y29" i="45"/>
  <c r="AM28" i="45"/>
  <c r="Y28" i="45"/>
  <c r="AM27" i="45"/>
  <c r="Y27" i="45"/>
  <c r="AM26" i="45"/>
  <c r="Y26" i="45"/>
  <c r="AM25" i="45"/>
  <c r="Y25" i="45"/>
  <c r="AM24" i="45"/>
  <c r="Y24" i="45"/>
  <c r="AM23" i="45"/>
  <c r="Y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O13" i="45" s="1"/>
  <c r="C118" i="9" s="1"/>
  <c r="G17" i="45"/>
  <c r="L17" i="45" s="1"/>
  <c r="AO17" i="45" s="1"/>
  <c r="C125" i="9" s="1"/>
  <c r="G11" i="45"/>
  <c r="G12" i="45"/>
  <c r="G14" i="45"/>
  <c r="L14" i="45" s="1"/>
  <c r="AO14" i="45" s="1"/>
  <c r="G15" i="45"/>
  <c r="L15" i="45" s="1"/>
  <c r="AO15" i="45" s="1"/>
  <c r="G18" i="45"/>
  <c r="L18" i="45" s="1"/>
  <c r="AO18" i="45" s="1"/>
  <c r="C126" i="9" s="1"/>
  <c r="G19" i="45"/>
  <c r="L19" i="45" s="1"/>
  <c r="AO19" i="45" s="1"/>
  <c r="C127" i="9" s="1"/>
  <c r="G16" i="45"/>
  <c r="AA9" i="45"/>
  <c r="AE9" i="45"/>
  <c r="AI9" i="45"/>
  <c r="AB9" i="45"/>
  <c r="AF9" i="45"/>
  <c r="AJ9" i="45"/>
  <c r="AC9" i="45"/>
  <c r="AG9" i="45"/>
  <c r="AK9" i="45"/>
  <c r="AD9" i="45"/>
  <c r="AH9" i="45"/>
  <c r="Z9" i="45"/>
  <c r="AH23" i="45"/>
  <c r="AF23" i="45"/>
  <c r="AK23" i="45"/>
  <c r="AE23" i="45"/>
  <c r="AA23" i="45"/>
  <c r="Z23" i="45"/>
  <c r="AG23" i="45"/>
  <c r="AJ23" i="45"/>
  <c r="AD23" i="45"/>
  <c r="AC23" i="45"/>
  <c r="AB23" i="45"/>
  <c r="AI23" i="45"/>
  <c r="Z25" i="45"/>
  <c r="AD25" i="45"/>
  <c r="AH25" i="45"/>
  <c r="AA25" i="45"/>
  <c r="AE25" i="45"/>
  <c r="AI25" i="45"/>
  <c r="AB25" i="45"/>
  <c r="AF25" i="45"/>
  <c r="AJ25" i="45"/>
  <c r="AC25" i="45"/>
  <c r="AG25" i="45"/>
  <c r="AK25" i="45"/>
  <c r="Z27" i="45"/>
  <c r="AD27" i="45"/>
  <c r="AH27" i="45"/>
  <c r="AA27" i="45"/>
  <c r="AE27" i="45"/>
  <c r="AI27" i="45"/>
  <c r="AB27" i="45"/>
  <c r="AF27" i="45"/>
  <c r="AJ27" i="45"/>
  <c r="AC27" i="45"/>
  <c r="AG27" i="45"/>
  <c r="AK27" i="45"/>
  <c r="Z29" i="45"/>
  <c r="AD29" i="45"/>
  <c r="AH29" i="45"/>
  <c r="AA29" i="45"/>
  <c r="AE29" i="45"/>
  <c r="AI29" i="45"/>
  <c r="AB29" i="45"/>
  <c r="AF29" i="45"/>
  <c r="AJ29" i="45"/>
  <c r="AC29" i="45"/>
  <c r="AG29" i="45"/>
  <c r="AK29" i="45"/>
  <c r="Z31" i="45"/>
  <c r="AD31" i="45"/>
  <c r="AH31" i="45"/>
  <c r="AA31" i="45"/>
  <c r="AE31" i="45"/>
  <c r="AI31" i="45"/>
  <c r="AB31" i="45"/>
  <c r="AF31" i="45"/>
  <c r="AJ31" i="45"/>
  <c r="AC31" i="45"/>
  <c r="AG31" i="45"/>
  <c r="AK31" i="45"/>
  <c r="Z34" i="45"/>
  <c r="AD34" i="45"/>
  <c r="AA34" i="45"/>
  <c r="AE34" i="45"/>
  <c r="AI34" i="45"/>
  <c r="AB34" i="45"/>
  <c r="AF34" i="45"/>
  <c r="AJ34" i="45"/>
  <c r="AC34" i="45"/>
  <c r="AG34" i="45"/>
  <c r="AK34" i="45"/>
  <c r="AH34" i="45"/>
  <c r="Z24" i="45"/>
  <c r="AD24" i="45"/>
  <c r="AH24" i="45"/>
  <c r="AA24" i="45"/>
  <c r="AE24" i="45"/>
  <c r="AI24" i="45"/>
  <c r="AB24" i="45"/>
  <c r="AF24" i="45"/>
  <c r="AJ24" i="45"/>
  <c r="AC24" i="45"/>
  <c r="AG24" i="45"/>
  <c r="AK24" i="45"/>
  <c r="Z26" i="45"/>
  <c r="AD26" i="45"/>
  <c r="AH26" i="45"/>
  <c r="AA26" i="45"/>
  <c r="AE26" i="45"/>
  <c r="AI26" i="45"/>
  <c r="AB26" i="45"/>
  <c r="AF26" i="45"/>
  <c r="AJ26" i="45"/>
  <c r="AC26" i="45"/>
  <c r="AG26" i="45"/>
  <c r="AK26" i="45"/>
  <c r="Z28" i="45"/>
  <c r="AD28" i="45"/>
  <c r="AH28" i="45"/>
  <c r="AA28" i="45"/>
  <c r="AE28" i="45"/>
  <c r="AI28" i="45"/>
  <c r="AB28" i="45"/>
  <c r="AF28" i="45"/>
  <c r="AJ28" i="45"/>
  <c r="AC28" i="45"/>
  <c r="AG28" i="45"/>
  <c r="AK28" i="45"/>
  <c r="Z30" i="45"/>
  <c r="AD30" i="45"/>
  <c r="AH30" i="45"/>
  <c r="AA30" i="45"/>
  <c r="AE30" i="45"/>
  <c r="AI30" i="45"/>
  <c r="AB30" i="45"/>
  <c r="AF30" i="45"/>
  <c r="AJ30" i="45"/>
  <c r="AC30" i="45"/>
  <c r="AG30" i="45"/>
  <c r="AK30" i="45"/>
  <c r="Z33" i="45"/>
  <c r="AH33" i="45"/>
  <c r="AA33" i="45"/>
  <c r="AE33" i="45"/>
  <c r="AI33" i="45"/>
  <c r="AB33" i="45"/>
  <c r="AF33" i="45"/>
  <c r="AJ33" i="45"/>
  <c r="AC33" i="45"/>
  <c r="AG33" i="45"/>
  <c r="AK33" i="45"/>
  <c r="AD33" i="45"/>
  <c r="AD35" i="45"/>
  <c r="AA35" i="45"/>
  <c r="AE35" i="45"/>
  <c r="AI35" i="45"/>
  <c r="AB35" i="45"/>
  <c r="AF35" i="45"/>
  <c r="AJ35" i="45"/>
  <c r="AC35" i="45"/>
  <c r="AG35" i="45"/>
  <c r="AK35" i="45"/>
  <c r="Z35" i="45"/>
  <c r="AH35" i="45"/>
  <c r="AL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L26" i="45"/>
  <c r="Q26" i="45" s="1"/>
  <c r="M36" i="33"/>
  <c r="AL27" i="45"/>
  <c r="Q27" i="45" s="1"/>
  <c r="M37" i="33"/>
  <c r="AL28" i="45"/>
  <c r="Q28" i="45" s="1"/>
  <c r="M38" i="33"/>
  <c r="AL29" i="45"/>
  <c r="Q29" i="45" s="1"/>
  <c r="M39" i="33"/>
  <c r="AL30" i="45"/>
  <c r="Q30" i="45" s="1"/>
  <c r="M40" i="33"/>
  <c r="AL25" i="45"/>
  <c r="Q25" i="45" s="1"/>
  <c r="M35" i="33"/>
  <c r="AL31" i="45"/>
  <c r="Q31" i="45" s="1"/>
  <c r="M41" i="33"/>
  <c r="AL24" i="45"/>
  <c r="Q24" i="45" s="1"/>
  <c r="M34" i="33"/>
  <c r="B42" i="38"/>
  <c r="M48" i="38"/>
  <c r="O9" i="39"/>
  <c r="I10" i="33" s="1"/>
  <c r="M5" i="33"/>
  <c r="B41" i="38"/>
  <c r="Y52" i="45"/>
  <c r="C122" i="9" l="1"/>
  <c r="AO31" i="45"/>
  <c r="R36" i="39"/>
  <c r="R35" i="39"/>
  <c r="AO30" i="45"/>
  <c r="R34" i="39"/>
  <c r="AO29" i="45"/>
  <c r="R33" i="39"/>
  <c r="AO28" i="45"/>
  <c r="R32" i="39"/>
  <c r="AO27" i="45"/>
  <c r="R31" i="39"/>
  <c r="AO26" i="45"/>
  <c r="R30" i="39"/>
  <c r="AO25" i="45"/>
  <c r="R29" i="39"/>
  <c r="AO24" i="45"/>
  <c r="AO23" i="45"/>
  <c r="R28" i="39"/>
  <c r="AC19" i="45"/>
  <c r="AG19" i="45"/>
  <c r="AK19" i="45"/>
  <c r="Z19" i="45"/>
  <c r="AD19" i="45"/>
  <c r="AH19" i="45"/>
  <c r="AA19" i="45"/>
  <c r="AE19" i="45"/>
  <c r="AI19" i="45"/>
  <c r="AB19" i="45"/>
  <c r="AF19" i="45"/>
  <c r="AJ19" i="45"/>
  <c r="L12" i="45"/>
  <c r="AO12" i="45" s="1"/>
  <c r="AC12" i="45"/>
  <c r="AG12" i="45"/>
  <c r="AK12" i="45"/>
  <c r="Z12" i="45"/>
  <c r="AD12" i="45"/>
  <c r="AH12" i="45"/>
  <c r="AA12" i="45"/>
  <c r="AE12" i="45"/>
  <c r="AI12" i="45"/>
  <c r="AB12" i="45"/>
  <c r="AF12" i="45"/>
  <c r="AJ12" i="45"/>
  <c r="AC18" i="45"/>
  <c r="AG18" i="45"/>
  <c r="AK18" i="45"/>
  <c r="Z18" i="45"/>
  <c r="AD18" i="45"/>
  <c r="AH18" i="45"/>
  <c r="AA18" i="45"/>
  <c r="AE18" i="45"/>
  <c r="AI18" i="45"/>
  <c r="AB18" i="45"/>
  <c r="AF18" i="45"/>
  <c r="AJ18" i="45"/>
  <c r="L11" i="45"/>
  <c r="AO11" i="45" s="1"/>
  <c r="AD11" i="45"/>
  <c r="AH11" i="45"/>
  <c r="Z11" i="45"/>
  <c r="AA11" i="45"/>
  <c r="AE11" i="45"/>
  <c r="AI11" i="45"/>
  <c r="AB11" i="45"/>
  <c r="AF11" i="45"/>
  <c r="AJ11" i="45"/>
  <c r="AC11" i="45"/>
  <c r="AG11" i="45"/>
  <c r="AK11" i="45"/>
  <c r="AC15" i="45"/>
  <c r="AG15" i="45"/>
  <c r="AK15" i="45"/>
  <c r="Z15" i="45"/>
  <c r="AD15" i="45"/>
  <c r="AH15" i="45"/>
  <c r="AA15" i="45"/>
  <c r="AE15" i="45"/>
  <c r="AI15" i="45"/>
  <c r="AB15" i="45"/>
  <c r="AF15" i="45"/>
  <c r="AJ15" i="45"/>
  <c r="AC17" i="45"/>
  <c r="AG17" i="45"/>
  <c r="AK17" i="45"/>
  <c r="Z17" i="45"/>
  <c r="AD17" i="45"/>
  <c r="AH17" i="45"/>
  <c r="AA17" i="45"/>
  <c r="AE17" i="45"/>
  <c r="AI17" i="45"/>
  <c r="AB17" i="45"/>
  <c r="AF17" i="45"/>
  <c r="AJ17" i="45"/>
  <c r="L16" i="45"/>
  <c r="AO16" i="45" s="1"/>
  <c r="C124" i="9" s="1"/>
  <c r="AC16" i="45"/>
  <c r="AG16" i="45"/>
  <c r="AK16" i="45"/>
  <c r="Z16" i="45"/>
  <c r="AD16" i="45"/>
  <c r="AH16" i="45"/>
  <c r="AA16" i="45"/>
  <c r="AE16" i="45"/>
  <c r="AI16" i="45"/>
  <c r="AB16" i="45"/>
  <c r="AF16" i="45"/>
  <c r="AJ16" i="45"/>
  <c r="AC14" i="45"/>
  <c r="AG14" i="45"/>
  <c r="AK14" i="45"/>
  <c r="Z14" i="45"/>
  <c r="AD14" i="45"/>
  <c r="AH14" i="45"/>
  <c r="AA14" i="45"/>
  <c r="AE14" i="45"/>
  <c r="AI14" i="45"/>
  <c r="AB14" i="45"/>
  <c r="AF14" i="45"/>
  <c r="AJ14" i="45"/>
  <c r="AC13" i="45"/>
  <c r="AG13" i="45"/>
  <c r="AK13" i="45"/>
  <c r="Z13" i="45"/>
  <c r="AD13" i="45"/>
  <c r="AH13" i="45"/>
  <c r="AA13" i="45"/>
  <c r="AE13" i="45"/>
  <c r="AI13" i="45"/>
  <c r="AB13" i="45"/>
  <c r="AF13" i="45"/>
  <c r="AJ13" i="45"/>
  <c r="F3" i="39"/>
  <c r="F63" i="33" s="1"/>
  <c r="N27" i="38"/>
  <c r="O27" i="38" s="1"/>
  <c r="N19" i="38"/>
  <c r="O19" i="38" s="1"/>
  <c r="N11" i="38"/>
  <c r="J50" i="38" s="1"/>
  <c r="N15" i="38"/>
  <c r="G59" i="38"/>
  <c r="G48" i="38"/>
  <c r="A59" i="38"/>
  <c r="C88" i="9"/>
  <c r="Q11" i="39"/>
  <c r="J6" i="33"/>
  <c r="M50" i="38"/>
  <c r="F15" i="38"/>
  <c r="F35" i="38"/>
  <c r="C119" i="9" l="1"/>
  <c r="C116" i="9"/>
  <c r="C121" i="9"/>
  <c r="C120" i="9"/>
  <c r="C117" i="9"/>
  <c r="O11" i="38"/>
  <c r="AJ52" i="45"/>
  <c r="AG52" i="45"/>
  <c r="AC52" i="45"/>
  <c r="AI52" i="45"/>
  <c r="AH52" i="45"/>
  <c r="AK52" i="45"/>
  <c r="AF52" i="45"/>
  <c r="AD52" i="45"/>
  <c r="Z52" i="45"/>
  <c r="AA52" i="45"/>
  <c r="AB52" i="45"/>
  <c r="AE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7" i="38" l="1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M58" i="39"/>
  <c r="M57" i="39"/>
  <c r="M47" i="39"/>
  <c r="C44" i="45"/>
  <c r="C42" i="45"/>
  <c r="C46" i="45"/>
  <c r="M54" i="39"/>
  <c r="M56" i="39"/>
  <c r="C7" i="45"/>
  <c r="C21" i="45" s="1"/>
  <c r="C40" i="45"/>
  <c r="W40" i="45" s="1"/>
  <c r="A47" i="39" s="1"/>
  <c r="N18" i="38"/>
  <c r="O18" i="38" s="1"/>
  <c r="O21" i="38"/>
  <c r="N22" i="38" s="1"/>
  <c r="O22" i="38" s="1"/>
  <c r="N34" i="38"/>
  <c r="O34" i="38" s="1"/>
  <c r="K5" i="39"/>
  <c r="O65" i="33" s="1"/>
  <c r="P4" i="39"/>
  <c r="O68" i="33" s="1"/>
  <c r="F4" i="39"/>
  <c r="F64" i="33" s="1"/>
  <c r="F7" i="39"/>
  <c r="F67" i="33" s="1"/>
  <c r="F5" i="39"/>
  <c r="F65" i="33" s="1"/>
  <c r="K6" i="39"/>
  <c r="O66" i="33" s="1"/>
  <c r="K3" i="39"/>
  <c r="O63" i="33" s="1"/>
  <c r="K4" i="39"/>
  <c r="O64" i="33" s="1"/>
  <c r="P5" i="39"/>
  <c r="F68" i="33" s="1"/>
  <c r="F6" i="39"/>
  <c r="F66" i="33" s="1"/>
  <c r="P3" i="39"/>
  <c r="O67" i="33" s="1"/>
  <c r="N14" i="38"/>
  <c r="O14" i="38" s="1"/>
  <c r="N38" i="38"/>
  <c r="O38" i="38" s="1"/>
  <c r="N9" i="38"/>
  <c r="O9" i="38" s="1"/>
  <c r="N6" i="38"/>
  <c r="O6" i="38" s="1"/>
  <c r="C48" i="45"/>
  <c r="M52" i="39"/>
  <c r="M55" i="39"/>
  <c r="M53" i="39"/>
  <c r="M15" i="39"/>
  <c r="C47" i="45"/>
  <c r="M51" i="39"/>
  <c r="J16" i="33" s="1"/>
  <c r="C45" i="45"/>
  <c r="C49" i="45"/>
  <c r="AO40" i="45" l="1"/>
  <c r="N40" i="45"/>
  <c r="M16" i="33"/>
  <c r="N16" i="33" s="1"/>
  <c r="I16" i="33"/>
  <c r="G51" i="39"/>
  <c r="F51" i="33" s="1"/>
  <c r="Y44" i="45"/>
  <c r="Y43" i="45"/>
  <c r="D23" i="74"/>
  <c r="M23" i="74" s="1"/>
  <c r="N23" i="74" s="1"/>
  <c r="C104" i="9"/>
  <c r="M15" i="74"/>
  <c r="M14" i="74"/>
  <c r="G47" i="39"/>
  <c r="G55" i="39"/>
  <c r="F55" i="33" s="1"/>
  <c r="Y46" i="45"/>
  <c r="G52" i="39"/>
  <c r="F52" i="33" s="1"/>
  <c r="G53" i="39"/>
  <c r="F53" i="33" s="1"/>
  <c r="K51" i="39"/>
  <c r="L51" i="33" s="1"/>
  <c r="Y47" i="45"/>
  <c r="Y42" i="45"/>
  <c r="L42" i="45" s="1"/>
  <c r="AO42" i="45" s="1"/>
  <c r="Y45" i="45"/>
  <c r="K52" i="39"/>
  <c r="L52" i="33" s="1"/>
  <c r="Y40" i="45"/>
  <c r="Y49" i="45"/>
  <c r="K58" i="39"/>
  <c r="Y48" i="45"/>
  <c r="I57" i="39"/>
  <c r="N10" i="38"/>
  <c r="O10" i="38" s="1"/>
  <c r="G56" i="39"/>
  <c r="F56" i="33" s="1"/>
  <c r="G54" i="39"/>
  <c r="F54" i="33" s="1"/>
  <c r="G6" i="5"/>
  <c r="AD48" i="45" l="1"/>
  <c r="L48" i="45"/>
  <c r="AO48" i="45" s="1"/>
  <c r="Z49" i="45"/>
  <c r="L49" i="45"/>
  <c r="AO49" i="45" s="1"/>
  <c r="Z43" i="45"/>
  <c r="L43" i="45"/>
  <c r="AO43" i="45" s="1"/>
  <c r="Z47" i="45"/>
  <c r="L47" i="45"/>
  <c r="AO47" i="45" s="1"/>
  <c r="Z46" i="45"/>
  <c r="L46" i="45"/>
  <c r="AO46" i="45" s="1"/>
  <c r="Z44" i="45"/>
  <c r="L44" i="45"/>
  <c r="AO44" i="45" s="1"/>
  <c r="Z45" i="45"/>
  <c r="L45" i="45"/>
  <c r="AO45" i="45" s="1"/>
  <c r="Z42" i="45"/>
  <c r="Z40" i="45"/>
  <c r="AJ48" i="45"/>
  <c r="AE48" i="45"/>
  <c r="Z48" i="45"/>
  <c r="AK48" i="45"/>
  <c r="AF48" i="45"/>
  <c r="AA48" i="45"/>
  <c r="AK49" i="45"/>
  <c r="AF49" i="45"/>
  <c r="AA49" i="45"/>
  <c r="AG48" i="45"/>
  <c r="AB48" i="45"/>
  <c r="AH48" i="45"/>
  <c r="AG49" i="45"/>
  <c r="AB49" i="45"/>
  <c r="AH49" i="45"/>
  <c r="AC48" i="45"/>
  <c r="AI48" i="45"/>
  <c r="AC49" i="45"/>
  <c r="AI49" i="45"/>
  <c r="AD49" i="45"/>
  <c r="AJ49" i="45"/>
  <c r="AE49" i="45"/>
  <c r="AG46" i="45"/>
  <c r="AH46" i="45"/>
  <c r="AK46" i="45"/>
  <c r="AA46" i="45"/>
  <c r="AF47" i="45"/>
  <c r="AB47" i="45"/>
  <c r="AF46" i="45"/>
  <c r="AK47" i="45"/>
  <c r="AA47" i="45"/>
  <c r="AB46" i="45"/>
  <c r="AG47" i="45"/>
  <c r="AH47" i="45"/>
  <c r="AK44" i="45"/>
  <c r="AF44" i="45"/>
  <c r="AA44" i="45"/>
  <c r="AK45" i="45"/>
  <c r="AF45" i="45"/>
  <c r="AA45" i="45"/>
  <c r="AK43" i="45"/>
  <c r="AF43" i="45"/>
  <c r="AA43" i="45"/>
  <c r="AK42" i="45"/>
  <c r="AF42" i="45"/>
  <c r="AA42" i="45"/>
  <c r="AG44" i="45"/>
  <c r="AB44" i="45"/>
  <c r="AH44" i="45"/>
  <c r="AG45" i="45"/>
  <c r="AB45" i="45"/>
  <c r="AH45" i="45"/>
  <c r="AG43" i="45"/>
  <c r="AB43" i="45"/>
  <c r="AH43" i="45"/>
  <c r="AG42" i="45"/>
  <c r="AB42" i="45"/>
  <c r="AH42" i="45"/>
  <c r="AC46" i="45"/>
  <c r="AI46" i="45"/>
  <c r="AD46" i="45"/>
  <c r="AC47" i="45"/>
  <c r="AI47" i="45"/>
  <c r="AD47" i="45"/>
  <c r="AC44" i="45"/>
  <c r="AI44" i="45"/>
  <c r="AD44" i="45"/>
  <c r="AC45" i="45"/>
  <c r="AI45" i="45"/>
  <c r="AD45" i="45"/>
  <c r="AC43" i="45"/>
  <c r="AI43" i="45"/>
  <c r="AD43" i="45"/>
  <c r="AC42" i="45"/>
  <c r="AI42" i="45"/>
  <c r="AD42" i="45"/>
  <c r="AJ46" i="45"/>
  <c r="AE46" i="45"/>
  <c r="AJ47" i="45"/>
  <c r="AE47" i="45"/>
  <c r="AJ44" i="45"/>
  <c r="AE44" i="45"/>
  <c r="AJ45" i="45"/>
  <c r="AE45" i="45"/>
  <c r="AJ43" i="45"/>
  <c r="AE43" i="45"/>
  <c r="AJ42" i="45"/>
  <c r="AE42" i="45"/>
  <c r="AG40" i="45"/>
  <c r="AB40" i="45"/>
  <c r="AH40" i="45"/>
  <c r="AC40" i="45"/>
  <c r="AI40" i="45"/>
  <c r="AD40" i="45"/>
  <c r="AJ40" i="45"/>
  <c r="AE40" i="45"/>
  <c r="AK40" i="45"/>
  <c r="AF40" i="45"/>
  <c r="AA40" i="45"/>
  <c r="M9" i="74"/>
  <c r="N9" i="74" s="1"/>
  <c r="L58" i="39"/>
  <c r="L58" i="33"/>
  <c r="J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Y50" i="45"/>
  <c r="L41" i="45" l="1"/>
  <c r="L50" i="45"/>
  <c r="AO50" i="45" s="1"/>
  <c r="N41" i="45"/>
  <c r="Y53" i="45"/>
  <c r="Z50" i="45"/>
  <c r="Z53" i="45" s="1"/>
  <c r="J3" i="39" s="1"/>
  <c r="M63" i="33" s="1"/>
  <c r="AD50" i="45"/>
  <c r="AD53" i="45" s="1"/>
  <c r="AD54" i="45" s="1"/>
  <c r="AH50" i="45"/>
  <c r="AH53" i="45" s="1"/>
  <c r="AH54" i="45" s="1"/>
  <c r="AA50" i="45"/>
  <c r="AA53" i="45" s="1"/>
  <c r="AA54" i="45" s="1"/>
  <c r="AE50" i="45"/>
  <c r="AE53" i="45" s="1"/>
  <c r="AI50" i="45"/>
  <c r="AI53" i="45" s="1"/>
  <c r="AI54" i="45" s="1"/>
  <c r="AB50" i="45"/>
  <c r="AF50" i="45"/>
  <c r="AJ50" i="45"/>
  <c r="AJ53" i="45" s="1"/>
  <c r="AC50" i="45"/>
  <c r="AC53" i="45" s="1"/>
  <c r="AC54" i="45" s="1"/>
  <c r="AG50" i="45"/>
  <c r="AG53" i="45" s="1"/>
  <c r="AG54" i="45" s="1"/>
  <c r="AK50" i="45"/>
  <c r="AK53" i="45" s="1"/>
  <c r="AK54" i="45" s="1"/>
  <c r="C113" i="9"/>
  <c r="C109" i="9"/>
  <c r="N13" i="74"/>
  <c r="C108" i="9"/>
  <c r="N8" i="74"/>
  <c r="N11" i="74"/>
  <c r="N12" i="74"/>
  <c r="K59" i="39"/>
  <c r="M16" i="74"/>
  <c r="I59" i="39"/>
  <c r="G59" i="39"/>
  <c r="D13" i="24"/>
  <c r="E13" i="24" s="1"/>
  <c r="D9" i="24"/>
  <c r="E9" i="24" s="1"/>
  <c r="AO41" i="45" l="1"/>
  <c r="Y54" i="45"/>
  <c r="H22" i="39"/>
  <c r="E3" i="39"/>
  <c r="D63" i="33" s="1"/>
  <c r="O5" i="39"/>
  <c r="D68" i="33" s="1"/>
  <c r="AJ54" i="45"/>
  <c r="Q5" i="39" s="1"/>
  <c r="H68" i="33" s="1"/>
  <c r="E4" i="39"/>
  <c r="D64" i="33" s="1"/>
  <c r="AE54" i="45"/>
  <c r="G4" i="39" s="1"/>
  <c r="H64" i="33" s="1"/>
  <c r="J4" i="39"/>
  <c r="M64" i="33" s="1"/>
  <c r="E5" i="39"/>
  <c r="D65" i="33" s="1"/>
  <c r="AB53" i="45"/>
  <c r="AB54" i="45" s="1"/>
  <c r="L5" i="39" s="1"/>
  <c r="Q65" i="33" s="1"/>
  <c r="J6" i="39"/>
  <c r="M66" i="33" s="1"/>
  <c r="O3" i="39"/>
  <c r="M67" i="33" s="1"/>
  <c r="O4" i="39"/>
  <c r="M68" i="33" s="1"/>
  <c r="AF53" i="45"/>
  <c r="L59" i="39"/>
  <c r="L59" i="33" s="1"/>
  <c r="J59" i="39"/>
  <c r="I59" i="33" s="1"/>
  <c r="H59" i="39"/>
  <c r="F59" i="33" s="1"/>
  <c r="C112" i="9"/>
  <c r="C110" i="9"/>
  <c r="C107" i="9"/>
  <c r="C111" i="9"/>
  <c r="Q3" i="39"/>
  <c r="Q67" i="33" s="1"/>
  <c r="N16" i="74"/>
  <c r="M17" i="74" s="1"/>
  <c r="D1" i="39"/>
  <c r="Z54" i="45"/>
  <c r="L3" i="39" s="1"/>
  <c r="Q63" i="33" s="1"/>
  <c r="L6" i="39"/>
  <c r="Q66" i="33" s="1"/>
  <c r="C123" i="9"/>
  <c r="L4" i="39"/>
  <c r="Q64" i="33" s="1"/>
  <c r="Q4" i="39"/>
  <c r="Q68" i="33" s="1"/>
  <c r="G5" i="39"/>
  <c r="H65" i="33" s="1"/>
  <c r="E7" i="39"/>
  <c r="D67" i="33" s="1"/>
  <c r="N7" i="45" l="1"/>
  <c r="F15" i="39" s="1"/>
  <c r="F13" i="33" s="1"/>
  <c r="AO7" i="45"/>
  <c r="J5" i="39"/>
  <c r="M65" i="33" s="1"/>
  <c r="E6" i="39"/>
  <c r="D66" i="33" s="1"/>
  <c r="AF54" i="45"/>
  <c r="G6" i="39" s="1"/>
  <c r="H66" i="33" s="1"/>
  <c r="C147" i="9"/>
  <c r="I41" i="33"/>
  <c r="J51" i="74" s="1"/>
  <c r="K38" i="38" s="1"/>
  <c r="G30" i="33"/>
  <c r="G3" i="39"/>
  <c r="H63" i="33" s="1"/>
  <c r="N17" i="74"/>
  <c r="C115" i="9"/>
  <c r="H5" i="74"/>
  <c r="C151" i="9"/>
  <c r="C144" i="9"/>
  <c r="C149" i="9"/>
  <c r="C143" i="9"/>
  <c r="G7" i="39"/>
  <c r="H67" i="33" s="1"/>
  <c r="C150" i="9" l="1"/>
  <c r="C152" i="9"/>
  <c r="A8" i="74"/>
  <c r="C148" i="9"/>
  <c r="C142" i="9"/>
  <c r="C153" i="9"/>
  <c r="C145" i="9"/>
  <c r="Q11" i="12"/>
  <c r="Q12" i="12"/>
  <c r="Q13" i="12"/>
  <c r="Q21" i="12"/>
  <c r="Q22" i="12"/>
  <c r="Q23" i="12"/>
  <c r="Q24" i="12"/>
  <c r="Q25" i="12"/>
  <c r="C106" i="9" l="1"/>
  <c r="C105" i="9"/>
  <c r="C146" i="9"/>
  <c r="R5" i="12"/>
  <c r="R6" i="12"/>
  <c r="R7" i="12"/>
  <c r="T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AD17" i="10" l="1"/>
  <c r="M10" i="12"/>
  <c r="S10" i="12" s="1"/>
  <c r="M14" i="12"/>
  <c r="AD11" i="10"/>
  <c r="AD15" i="10"/>
  <c r="AD13" i="10"/>
  <c r="M12" i="12"/>
  <c r="AD9" i="10"/>
  <c r="R26" i="12"/>
  <c r="M13" i="12"/>
  <c r="M11" i="12"/>
  <c r="P11" i="12" s="1"/>
  <c r="M9" i="12"/>
  <c r="M8" i="12"/>
  <c r="M7" i="12"/>
  <c r="M6" i="12"/>
  <c r="AD10" i="10"/>
  <c r="AD12" i="10"/>
  <c r="AD14" i="10"/>
  <c r="AD16" i="10"/>
  <c r="AD18" i="10"/>
  <c r="Q8" i="12" l="1"/>
  <c r="P8" i="12"/>
  <c r="T14" i="12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V7" i="12" l="1"/>
  <c r="U7" i="12"/>
  <c r="I5" i="12"/>
  <c r="H5" i="12"/>
  <c r="W5" i="12" s="1"/>
  <c r="AA5" i="12" s="1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J21" i="10" s="1"/>
  <c r="AG16" i="12"/>
  <c r="J20" i="10" s="1"/>
  <c r="AG14" i="12"/>
  <c r="AG15" i="12"/>
  <c r="J19" i="10" s="1"/>
  <c r="AG13" i="12"/>
  <c r="AG12" i="12"/>
  <c r="AG11" i="12"/>
  <c r="AG9" i="12"/>
  <c r="AG8" i="12"/>
  <c r="AG6" i="12"/>
  <c r="AG19" i="12"/>
  <c r="J14" i="10"/>
  <c r="T26" i="12"/>
  <c r="S26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U11" i="12" l="1"/>
  <c r="V11" i="12"/>
  <c r="V6" i="12"/>
  <c r="U6" i="12"/>
  <c r="V19" i="12"/>
  <c r="U19" i="12"/>
  <c r="J17" i="10"/>
  <c r="J16" i="10"/>
  <c r="J15" i="10"/>
  <c r="J13" i="10"/>
  <c r="J12" i="10"/>
  <c r="AD5" i="12"/>
  <c r="G9" i="10" s="1"/>
  <c r="J5" i="12"/>
  <c r="AG5" i="12" s="1"/>
  <c r="V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U5" i="12" l="1"/>
  <c r="C9" i="10"/>
  <c r="J9" i="10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U8" i="21" s="1"/>
  <c r="F7" i="21"/>
  <c r="U7" i="21" s="1"/>
  <c r="E3" i="21"/>
  <c r="B20" i="28"/>
  <c r="C4" i="9"/>
  <c r="E39" i="20"/>
  <c r="B39" i="20" s="1"/>
  <c r="D22" i="21"/>
  <c r="D21" i="21"/>
  <c r="E19" i="21"/>
  <c r="F19" i="21" s="1"/>
  <c r="U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U11" i="21" s="1"/>
  <c r="D9" i="21"/>
  <c r="F9" i="21" s="1"/>
  <c r="U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U15" i="21" s="1"/>
  <c r="E12" i="21"/>
  <c r="F12" i="21" s="1"/>
  <c r="U12" i="21" s="1"/>
  <c r="D14" i="21"/>
  <c r="F14" i="21" s="1"/>
  <c r="U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M24" i="12"/>
  <c r="M25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H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F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U18" i="21" s="1"/>
  <c r="F42" i="20"/>
  <c r="G32" i="10" s="1"/>
  <c r="G29" i="28"/>
  <c r="G27" i="32"/>
  <c r="H32" i="20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E15" i="20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U10" i="21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U22" i="21" s="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U21" i="21" s="1"/>
  <c r="D9" i="5" l="1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B34" i="20"/>
  <c r="I70" i="5"/>
  <c r="H70" i="5" s="1"/>
  <c r="L22" i="20"/>
  <c r="J70" i="5" s="1"/>
  <c r="D10" i="5"/>
  <c r="F17" i="21"/>
  <c r="U17" i="21" s="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U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H17" i="21" l="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K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E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J41" i="20" s="1"/>
  <c r="W6" i="21"/>
  <c r="V24" i="21" s="1"/>
  <c r="Q24" i="21"/>
  <c r="AF6" i="21"/>
  <c r="AE24" i="21" s="1"/>
  <c r="I24" i="21"/>
  <c r="B22" i="24" s="1"/>
  <c r="C22" i="24" s="1"/>
  <c r="C17" i="24" s="1"/>
  <c r="E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B8" i="24"/>
  <c r="B5" i="24" s="1"/>
  <c r="C5" i="24" s="1"/>
  <c r="F70" i="5"/>
  <c r="E70" i="5"/>
  <c r="D70" i="5" s="1"/>
  <c r="C66" i="9" s="1"/>
  <c r="C69" i="9"/>
  <c r="E42" i="24"/>
  <c r="C70" i="9"/>
  <c r="B23" i="24" l="1"/>
  <c r="B17" i="24"/>
  <c r="C29" i="24"/>
  <c r="C27" i="24" s="1"/>
  <c r="J43" i="20" s="1"/>
  <c r="J33" i="10" s="1"/>
  <c r="B27" i="24"/>
  <c r="C15" i="24"/>
  <c r="C13" i="24" s="1"/>
  <c r="J42" i="20" s="1"/>
  <c r="J32" i="10" s="1"/>
  <c r="B13" i="24"/>
  <c r="J31" i="10"/>
  <c r="D97" i="5"/>
  <c r="C79" i="9" s="1"/>
  <c r="C32" i="24"/>
  <c r="C30" i="24" s="1"/>
  <c r="J45" i="20" s="1"/>
  <c r="B30" i="24"/>
  <c r="C35" i="24"/>
  <c r="C33" i="24" s="1"/>
  <c r="J44" i="20" s="1"/>
  <c r="B33" i="24"/>
  <c r="F77" i="5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H97" i="5" l="1"/>
  <c r="C84" i="9" s="1"/>
  <c r="F97" i="5"/>
  <c r="C82" i="9" s="1"/>
  <c r="J97" i="5"/>
  <c r="C87" i="9" s="1"/>
  <c r="J35" i="10"/>
  <c r="J34" i="10"/>
  <c r="H98" i="5"/>
  <c r="C85" i="9" s="1"/>
  <c r="C67" i="9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<sst xmlns="http://schemas.openxmlformats.org/spreadsheetml/2006/main" count="9000" uniqueCount="5180">
  <si>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</si>
  <si>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</si>
  <si>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</si>
  <si>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</si>
  <si>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</si>
  <si>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</si>
  <si>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</si>
  <si>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</si>
  <si>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</si>
  <si>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</si>
  <si>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</si>
  <si>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</si>
  <si>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</si>
  <si>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</si>
  <si>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</si>
  <si>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</si>
  <si>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</si>
  <si>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</si>
  <si>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</si>
  <si>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</si>
  <si>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</si>
  <si>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</si>
  <si>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</si>
  <si>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</si>
  <si>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</si>
  <si>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</si>
  <si>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</si>
  <si>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</si>
  <si>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</si>
  <si>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</si>
  <si>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</si>
  <si>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</si>
  <si>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</si>
  <si>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</si>
  <si>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</si>
  <si>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</si>
  <si>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</si>
  <si>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</si>
  <si>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</si>
  <si>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</si>
  <si>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</si>
  <si>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</si>
  <si>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</si>
  <si>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</si>
  <si>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</si>
  <si>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</si>
  <si>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</si>
  <si>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</si>
  <si>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</si>
  <si>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</si>
  <si>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</si>
  <si>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</si>
  <si>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</si>
  <si>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</si>
  <si>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</si>
  <si>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</si>
  <si>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</si>
  <si>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</si>
  <si>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</si>
  <si>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</si>
  <si>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</si>
  <si>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</si>
  <si>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</si>
  <si>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</si>
  <si>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</si>
  <si>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</si>
  <si>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</si>
  <si>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</si>
  <si>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</si>
  <si>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</si>
  <si>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</si>
  <si>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</si>
  <si>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</si>
  <si>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</si>
  <si>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</si>
  <si>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</si>
  <si>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</si>
  <si>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</si>
  <si>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</si>
  <si>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</si>
  <si>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</si>
  <si>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</si>
  <si>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</si>
  <si>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</si>
  <si>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</si>
  <si>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</si>
  <si>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</si>
  <si>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</si>
  <si>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</si>
  <si>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</si>
  <si>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</si>
  <si>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</si>
  <si>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</si>
  <si>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</si>
  <si>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</si>
  <si>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</si>
  <si>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</si>
  <si>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</si>
  <si>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</si>
  <si>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</si>
  <si>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</si>
  <si>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</si>
  <si>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</si>
  <si>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</si>
  <si>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</si>
  <si>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</si>
  <si>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</si>
  <si>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</si>
  <si>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</si>
  <si>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</si>
  <si>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</si>
  <si>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</si>
  <si>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</si>
  <si>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</si>
  <si>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</si>
  <si>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</si>
  <si>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</si>
  <si>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</si>
  <si>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</si>
  <si>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</si>
  <si>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</si>
  <si>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</si>
  <si>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</si>
  <si>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</si>
  <si>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</si>
  <si>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</si>
  <si>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</si>
  <si>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</si>
  <si>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</si>
  <si>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</si>
  <si>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</si>
  <si>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</si>
  <si>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</si>
  <si>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</si>
  <si>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</si>
  <si>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</si>
  <si>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</si>
  <si>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</si>
  <si>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</si>
  <si>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</si>
  <si>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</si>
  <si>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</si>
  <si>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</si>
  <si>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</si>
  <si>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</si>
  <si>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</si>
  <si>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</si>
  <si>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</si>
  <si>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</si>
  <si>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</si>
  <si>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</si>
  <si>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</si>
  <si>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</si>
  <si>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</si>
  <si>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</si>
  <si>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</si>
  <si>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</si>
  <si>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</si>
  <si>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</si>
  <si>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</si>
  <si>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</si>
  <si>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</si>
  <si>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</si>
  <si>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</si>
  <si>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</si>
  <si>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</si>
  <si>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</si>
  <si>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</si>
  <si>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</si>
  <si>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</si>
  <si>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</si>
  <si>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</si>
  <si>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</si>
  <si>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</si>
  <si>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</si>
  <si>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</si>
  <si>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</si>
  <si>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</si>
  <si>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</si>
  <si>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</si>
  <si>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</si>
  <si>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</si>
  <si>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</si>
  <si>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</si>
  <si>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</si>
  <si>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</si>
  <si>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</si>
  <si>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</si>
  <si>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</si>
  <si>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</si>
  <si>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</si>
  <si>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</si>
  <si>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</si>
  <si>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</si>
  <si>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</si>
  <si>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</si>
  <si>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</si>
  <si>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</si>
  <si>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</si>
  <si>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</si>
  <si>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</si>
  <si>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</si>
  <si>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</si>
  <si>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</si>
  <si>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</si>
  <si>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</si>
  <si>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</si>
  <si>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</si>
  <si>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</si>
  <si>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</si>
  <si>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</si>
  <si>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</si>
  <si>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</si>
  <si>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</si>
  <si>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</si>
  <si>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</si>
  <si>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</si>
  <si>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</si>
  <si>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</si>
  <si>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</si>
  <si>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</si>
  <si>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</si>
  <si>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</si>
  <si>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</si>
  <si>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</si>
  <si>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</si>
  <si>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</si>
  <si>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</si>
  <si>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</si>
  <si>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</si>
  <si>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</si>
  <si>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</si>
  <si>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</si>
  <si>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</si>
  <si>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</si>
  <si>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</si>
  <si>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</si>
  <si>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</si>
  <si>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</si>
  <si>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</si>
  <si>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</si>
  <si>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</si>
  <si>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</si>
  <si>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</si>
  <si>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</si>
  <si>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</si>
  <si>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</si>
  <si>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</si>
  <si>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</si>
  <si>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</si>
  <si>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</si>
  <si>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</si>
  <si>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</si>
  <si>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</si>
  <si>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</si>
  <si>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</si>
  <si>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</si>
  <si>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</si>
  <si>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</si>
  <si>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</si>
  <si>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</si>
  <si>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</si>
  <si>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</si>
  <si>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</si>
  <si>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</si>
  <si>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</si>
  <si>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</si>
  <si>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</si>
  <si>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</si>
  <si>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</si>
  <si>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</si>
  <si>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</si>
  <si>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</si>
  <si>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</si>
  <si>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</si>
  <si>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</si>
  <si>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</si>
  <si>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</si>
  <si>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</si>
  <si>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</si>
  <si>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</si>
  <si>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</si>
  <si>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</si>
  <si>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</si>
  <si>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</si>
  <si>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</si>
  <si>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</si>
  <si>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</si>
  <si>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</si>
  <si>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</si>
  <si>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</si>
  <si>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</si>
  <si>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</si>
  <si>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</si>
  <si>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</si>
  <si>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</si>
  <si>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</si>
  <si>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</si>
  <si>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</si>
  <si>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</si>
  <si>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</si>
  <si>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</si>
  <si>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</si>
  <si>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</si>
  <si>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</si>
  <si>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</si>
  <si>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</si>
  <si>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</si>
  <si>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</si>
  <si>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</si>
  <si>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</si>
  <si>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</si>
  <si>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</si>
  <si>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</si>
  <si>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</si>
  <si>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</si>
  <si>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</si>
  <si>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</si>
  <si>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</si>
  <si>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</si>
  <si>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</si>
  <si>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</si>
  <si>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</si>
  <si>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</si>
  <si>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</si>
  <si>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</si>
  <si>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</si>
  <si>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</si>
  <si>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</si>
  <si>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</si>
  <si>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</si>
  <si>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</si>
  <si>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</si>
  <si>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</si>
  <si>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</si>
  <si>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</si>
  <si>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</si>
  <si>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</si>
  <si>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</si>
  <si>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</si>
  <si>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</si>
  <si>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</si>
  <si>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</si>
  <si>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</si>
  <si>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</si>
  <si>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</si>
  <si>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</si>
  <si>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</si>
  <si>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</si>
  <si>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</si>
  <si>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</si>
  <si>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</si>
  <si>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</si>
  <si>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</si>
  <si>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</si>
  <si>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</si>
  <si>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</si>
  <si>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</si>
  <si>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</si>
  <si>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</si>
  <si>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</si>
  <si>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</si>
  <si>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</si>
  <si>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</si>
  <si>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</si>
  <si>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</si>
  <si>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</si>
  <si>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</si>
  <si>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</si>
  <si>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</si>
  <si>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</si>
  <si>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</si>
  <si>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</si>
  <si>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</si>
  <si>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</si>
  <si>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</si>
  <si>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</si>
  <si>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</si>
  <si>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</si>
  <si>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</si>
  <si>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</si>
  <si>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</si>
  <si>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</si>
  <si>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</si>
  <si>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</si>
  <si>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</si>
  <si>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</si>
  <si>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</si>
  <si>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</si>
  <si>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</si>
  <si>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</si>
  <si>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</si>
  <si>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</si>
  <si>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</si>
  <si>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</si>
  <si>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</si>
  <si>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</si>
  <si>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</si>
  <si>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</si>
  <si>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</si>
  <si>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</si>
  <si>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</si>
  <si>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</si>
  <si>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</si>
  <si>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</si>
  <si>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</si>
  <si>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</si>
  <si>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</si>
  <si>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</si>
  <si>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</si>
  <si>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</si>
  <si>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</si>
  <si>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</si>
  <si>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</si>
  <si>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</si>
  <si>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</si>
  <si>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</si>
  <si>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</si>
  <si>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</si>
  <si>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</si>
  <si>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</si>
  <si>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</si>
  <si>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</si>
  <si>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</si>
  <si>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</si>
  <si>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</si>
  <si>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</si>
  <si>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</si>
  <si>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</si>
  <si>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</si>
  <si>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</si>
  <si>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</si>
  <si>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</si>
  <si>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</si>
  <si>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</si>
  <si>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</si>
  <si>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</si>
  <si>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</si>
  <si>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</si>
  <si>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</si>
  <si>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</si>
  <si>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</si>
  <si>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</si>
  <si>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</si>
  <si>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</si>
  <si>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</si>
  <si>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</si>
  <si>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</si>
  <si>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</si>
  <si>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</si>
  <si>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</si>
  <si>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</si>
  <si>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</si>
  <si>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</si>
  <si>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</si>
  <si>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</si>
  <si>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</si>
  <si>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</si>
  <si>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</si>
  <si>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</si>
  <si>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</si>
  <si>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</si>
  <si>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</si>
  <si>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</si>
  <si>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</si>
  <si>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</si>
  <si>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</si>
  <si>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</si>
  <si>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</si>
  <si>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</si>
  <si>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</si>
  <si>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</si>
  <si>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</si>
  <si>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</si>
  <si>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</si>
  <si>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</si>
  <si>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</si>
  <si>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</si>
  <si>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</si>
  <si>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</si>
  <si>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</si>
  <si>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</si>
  <si>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</si>
  <si>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</si>
  <si>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</si>
  <si>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</si>
  <si>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</si>
  <si>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</si>
  <si>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</si>
  <si>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</si>
  <si>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</si>
  <si>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</si>
  <si>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</si>
  <si>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</si>
  <si>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</si>
  <si>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</si>
  <si>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</si>
  <si>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</si>
  <si>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</si>
  <si>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</si>
  <si>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</si>
  <si>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</si>
  <si>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</si>
  <si>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</si>
  <si>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</si>
  <si>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</si>
  <si>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</si>
  <si>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</si>
  <si>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</si>
  <si>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</si>
  <si>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</si>
  <si>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</si>
  <si>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</si>
  <si>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</si>
  <si>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</si>
  <si>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</si>
  <si>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</si>
  <si>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</si>
  <si>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</si>
  <si>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</si>
  <si>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</si>
  <si>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</si>
  <si>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</si>
  <si>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</si>
  <si>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</si>
  <si>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</si>
  <si>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</si>
  <si>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</si>
  <si>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</si>
  <si>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</si>
  <si>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</si>
  <si>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</si>
  <si>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</si>
  <si>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</si>
  <si>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</si>
  <si>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</si>
  <si>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</si>
  <si>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</si>
  <si>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</si>
  <si>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</si>
  <si>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</si>
  <si>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</si>
  <si>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</si>
  <si>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</si>
  <si>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</si>
  <si>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</si>
  <si>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</si>
  <si>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</si>
  <si>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</si>
  <si>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</si>
  <si>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</si>
  <si>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</si>
  <si>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</si>
  <si>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</si>
  <si>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</si>
  <si>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</si>
  <si>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</si>
  <si>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</si>
  <si>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</si>
  <si>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</si>
  <si>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</si>
  <si>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</si>
  <si>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</si>
  <si>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</si>
  <si>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</si>
  <si>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</si>
  <si>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</si>
  <si>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</si>
  <si>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</si>
  <si>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</si>
  <si>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</si>
  <si>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</si>
  <si>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</si>
  <si>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</si>
  <si>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</si>
  <si>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</si>
  <si>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</si>
  <si>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</si>
  <si>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</si>
  <si>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</si>
  <si>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</si>
  <si>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</si>
  <si>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</si>
  <si>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</si>
  <si>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</si>
  <si>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</si>
  <si>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</si>
  <si>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</si>
  <si>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</si>
  <si>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</si>
  <si>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</si>
  <si>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</si>
  <si>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</si>
  <si>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</si>
  <si>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</si>
  <si>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</si>
  <si>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</si>
  <si>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</si>
  <si>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</si>
  <si>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</si>
  <si>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</si>
  <si>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</si>
  <si>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</si>
  <si>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</si>
  <si>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</si>
  <si>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</si>
  <si>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</si>
  <si>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</si>
  <si>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</si>
  <si>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</si>
  <si>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</si>
  <si>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</si>
  <si>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</si>
  <si>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</si>
  <si>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</si>
  <si>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</si>
  <si>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</si>
  <si>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</si>
  <si>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</si>
  <si>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</si>
  <si>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</si>
  <si>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</si>
  <si>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</si>
  <si>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</si>
  <si>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</si>
  <si>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</si>
  <si>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</si>
  <si>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</si>
  <si>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</si>
  <si>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</si>
  <si>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</si>
  <si>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</si>
  <si>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</si>
  <si>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</si>
  <si>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</si>
  <si>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</si>
  <si>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</si>
  <si>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</si>
  <si>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</si>
  <si>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</si>
  <si>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</si>
  <si>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</si>
  <si>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</si>
  <si>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</si>
  <si>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</si>
  <si>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</si>
  <si>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</si>
  <si>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</si>
  <si>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</si>
  <si>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</si>
  <si>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</si>
  <si>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</si>
  <si>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</si>
  <si>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</si>
  <si>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</si>
  <si>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</si>
  <si>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</si>
  <si>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</si>
  <si>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</si>
  <si>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</si>
  <si>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</si>
  <si>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</si>
  <si>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</si>
  <si>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</si>
  <si>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</si>
  <si>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</si>
  <si>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</si>
  <si>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</si>
  <si>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</si>
  <si>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</si>
  <si>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</si>
  <si>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</si>
  <si>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</si>
  <si>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</si>
  <si>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</si>
  <si>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</si>
  <si>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</si>
  <si>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</si>
  <si>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</si>
  <si>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</si>
  <si>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</si>
  <si>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</si>
  <si>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</si>
  <si>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</si>
  <si>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</si>
  <si>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</si>
  <si>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</si>
  <si>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</si>
  <si>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</si>
  <si>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</si>
  <si>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</si>
  <si>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</si>
  <si>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</si>
  <si>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</si>
  <si>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</si>
  <si>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</si>
  <si>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</si>
  <si>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</si>
  <si>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</si>
  <si>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</si>
  <si>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</si>
  <si>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</si>
  <si>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</si>
  <si>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</si>
  <si>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</si>
  <si>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</si>
  <si>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</si>
  <si>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</si>
  <si>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</si>
  <si>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</si>
  <si>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</si>
  <si>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</si>
  <si>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</si>
  <si>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</si>
  <si>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</si>
  <si>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</si>
  <si>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</si>
  <si>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</si>
  <si>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</si>
  <si>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</si>
  <si>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</si>
  <si>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</si>
  <si>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</si>
  <si>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</si>
  <si>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</si>
  <si>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</si>
  <si>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</si>
  <si>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</si>
  <si>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</si>
  <si>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</si>
  <si>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</si>
  <si>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</si>
  <si>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</si>
  <si>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</si>
  <si>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</si>
  <si>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</si>
  <si>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</si>
  <si>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</si>
  <si>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</si>
  <si>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</si>
  <si>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</si>
  <si>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</si>
  <si>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</si>
  <si>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</si>
  <si>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</si>
  <si>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</si>
  <si>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</si>
  <si>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</si>
  <si>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</si>
  <si>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</si>
  <si>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</si>
  <si>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</si>
  <si>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</si>
  <si>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</si>
  <si>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</si>
  <si>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</si>
  <si>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</si>
  <si>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</si>
  <si>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</si>
  <si>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</si>
  <si>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</si>
  <si>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</si>
  <si>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</si>
  <si>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</si>
  <si>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</si>
  <si>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</si>
  <si>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</si>
  <si>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</si>
  <si>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</si>
  <si>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</si>
  <si>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</si>
  <si>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</si>
  <si>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</si>
  <si>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</si>
  <si>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</si>
  <si>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</si>
  <si>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</si>
  <si>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</si>
  <si>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</si>
  <si>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</si>
  <si>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</si>
  <si>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</si>
  <si>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</si>
  <si>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</si>
  <si>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</si>
  <si>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</si>
  <si>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</si>
  <si>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</si>
  <si>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</si>
  <si>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</si>
  <si>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</si>
  <si>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</si>
  <si>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</si>
  <si>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</si>
  <si>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</si>
  <si>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</si>
  <si>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</si>
  <si>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</si>
  <si>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</si>
  <si>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</si>
  <si>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</si>
  <si>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</si>
  <si>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</si>
  <si>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</si>
  <si>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</si>
  <si>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</si>
  <si>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</si>
  <si>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</si>
  <si>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</si>
  <si>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</si>
  <si>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</si>
  <si>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</si>
  <si>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</si>
  <si>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</si>
  <si>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</si>
  <si>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</si>
  <si>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</si>
  <si>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</si>
  <si>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</si>
  <si>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</si>
  <si>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</si>
  <si>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</si>
  <si>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</si>
  <si>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</si>
  <si>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</si>
  <si>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</si>
  <si>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</si>
  <si>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</si>
  <si>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</si>
  <si>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</si>
  <si>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</si>
  <si>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</si>
  <si>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</si>
  <si>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</si>
  <si>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</si>
  <si>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</si>
  <si>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</si>
  <si>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</si>
  <si>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</si>
  <si>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</si>
  <si>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</si>
  <si>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</si>
  <si>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</si>
  <si>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</si>
  <si>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</si>
  <si>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</si>
  <si>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</si>
  <si>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</si>
  <si>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</si>
  <si>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</si>
  <si>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</si>
  <si>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</si>
  <si>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</si>
  <si>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</si>
  <si>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</si>
  <si>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</si>
  <si>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</si>
  <si>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</si>
  <si>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</si>
  <si>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</si>
  <si>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</si>
  <si>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</si>
  <si>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</si>
  <si>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</si>
  <si>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</si>
  <si>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</si>
  <si>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</si>
  <si>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</si>
  <si>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</si>
  <si>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</si>
  <si>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</si>
  <si>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</si>
  <si>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</si>
  <si>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</si>
  <si>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</si>
  <si>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</si>
  <si>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</si>
  <si>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</si>
  <si>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</si>
  <si>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</si>
  <si>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</si>
  <si>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</si>
  <si>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</si>
  <si>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</si>
  <si>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</si>
  <si>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</si>
  <si>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</si>
  <si>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</si>
  <si>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</si>
  <si>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</si>
  <si>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</si>
  <si>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</si>
  <si>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</si>
  <si>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</si>
  <si>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</si>
  <si>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</si>
  <si>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</si>
  <si>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</si>
  <si>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</si>
  <si>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</si>
  <si>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</si>
  <si>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</si>
  <si>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</si>
  <si>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</si>
  <si>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</si>
  <si>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</si>
  <si>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</si>
  <si>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</si>
  <si>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</si>
  <si>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</si>
  <si>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</si>
  <si>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</si>
  <si>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</si>
  <si>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</si>
  <si>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</si>
  <si>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</si>
  <si>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</si>
  <si>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</si>
  <si>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</si>
  <si>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</si>
  <si>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</si>
  <si>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</si>
  <si>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</si>
  <si>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</si>
  <si>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</si>
  <si>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</si>
  <si>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</si>
  <si>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</si>
  <si>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</si>
  <si>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</si>
  <si>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</si>
  <si>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</si>
  <si>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</si>
  <si>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</si>
  <si>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</si>
  <si>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</si>
  <si>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</si>
  <si>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</si>
  <si>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</si>
  <si>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</si>
  <si>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</si>
  <si>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</si>
  <si>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</si>
  <si>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</si>
  <si>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</si>
  <si>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</si>
  <si>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</si>
  <si>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</si>
  <si>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</si>
  <si>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</si>
  <si>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</si>
  <si>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</si>
  <si>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</si>
  <si>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</si>
  <si>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</si>
  <si>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</si>
  <si>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</si>
  <si>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</si>
  <si>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</si>
  <si>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</si>
  <si>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</si>
  <si>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</si>
  <si>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</si>
  <si>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</si>
  <si>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</si>
  <si>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</si>
  <si>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</si>
  <si>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</si>
  <si>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</si>
  <si>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</si>
  <si>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</si>
  <si>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</si>
  <si>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</si>
  <si>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</si>
  <si>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</si>
  <si>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</si>
  <si>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</si>
  <si>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</si>
  <si>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</si>
  <si>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</si>
  <si>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</si>
  <si>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</si>
  <si>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</si>
  <si>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</si>
  <si>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</si>
  <si>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</si>
  <si>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</si>
  <si>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</si>
  <si>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</si>
  <si>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</si>
  <si>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</si>
  <si>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</si>
  <si>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</si>
  <si>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</si>
  <si>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</si>
  <si>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</si>
  <si>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</si>
  <si>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</si>
  <si>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</si>
  <si>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</si>
  <si>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</si>
  <si>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</si>
  <si>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</si>
  <si>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</si>
  <si>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</si>
  <si>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</si>
  <si>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</si>
  <si>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</si>
  <si>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</si>
  <si>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</si>
  <si>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</si>
  <si>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</si>
  <si>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</si>
  <si>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</si>
  <si>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</si>
  <si>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</si>
  <si>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</si>
  <si>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</si>
  <si>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</si>
  <si>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</si>
  <si>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</si>
  <si>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</si>
  <si>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</si>
  <si>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</si>
  <si>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</si>
  <si>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</si>
  <si>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</si>
  <si>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</si>
  <si>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</si>
  <si>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</si>
  <si>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</si>
  <si>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</si>
  <si>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</si>
  <si>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</si>
  <si>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</si>
  <si>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</si>
  <si>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</si>
  <si>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</si>
  <si>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</si>
  <si>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</si>
  <si>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</si>
  <si>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</si>
  <si>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</si>
  <si>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</si>
  <si>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</si>
  <si>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</si>
  <si>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</si>
  <si>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</si>
  <si>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</si>
  <si>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</si>
  <si>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</si>
  <si>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</si>
  <si>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</si>
  <si>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</si>
  <si>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</si>
  <si>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</si>
  <si>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</si>
  <si>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</si>
  <si>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</si>
  <si>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</si>
  <si>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</si>
  <si>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</si>
  <si>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</si>
  <si>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</si>
  <si>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</si>
  <si>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</si>
  <si>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</si>
  <si>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tblInfusenBer</t>
  </si>
  <si>
    <t>tblMedDiscTijdenValues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</si>
  <si>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</si>
  <si>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</si>
  <si>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</si>
  <si>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</si>
  <si>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</si>
  <si>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</si>
  <si>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</si>
  <si>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</si>
  <si>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</si>
  <si>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</si>
  <si>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</si>
  <si>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</si>
  <si>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</si>
  <si>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</si>
  <si>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</si>
  <si>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</si>
  <si>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</si>
  <si>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</si>
  <si>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</si>
  <si>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</si>
  <si>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</si>
  <si>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</si>
  <si>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</si>
  <si>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</si>
  <si>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</si>
  <si>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</si>
  <si>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</si>
  <si>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</si>
  <si>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</si>
  <si>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</si>
  <si>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</si>
  <si>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</si>
  <si>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</si>
  <si>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</si>
  <si>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</si>
  <si>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</si>
  <si>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</si>
  <si>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</si>
  <si>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</si>
  <si>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</si>
  <si>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</si>
  <si>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</si>
  <si>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</si>
  <si>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</si>
  <si>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</si>
  <si>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</si>
  <si>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</si>
  <si>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</si>
  <si>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</si>
  <si>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</si>
  <si>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</si>
  <si>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</si>
  <si>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</si>
  <si>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</si>
  <si>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</si>
  <si>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</si>
  <si>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</si>
  <si>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</si>
  <si>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</si>
  <si>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</si>
  <si>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</si>
  <si>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</si>
  <si>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</si>
  <si>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</si>
  <si>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</si>
  <si>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</si>
  <si>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</si>
  <si>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</si>
  <si>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</si>
  <si>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</si>
  <si>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</si>
  <si>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</si>
  <si>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</si>
  <si>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</si>
  <si>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</si>
  <si>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</si>
  <si>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</si>
  <si>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</si>
  <si>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</si>
  <si>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</si>
  <si>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</si>
  <si>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</si>
  <si>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</si>
  <si>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</si>
  <si>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</si>
  <si>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</si>
  <si>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</si>
  <si>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</si>
  <si>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</si>
  <si>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</si>
  <si>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</si>
  <si>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</si>
  <si>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</si>
  <si>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</si>
  <si>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</si>
  <si>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</si>
  <si>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</si>
  <si>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</si>
  <si>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</si>
  <si>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</si>
  <si>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</si>
  <si>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</si>
  <si>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</si>
  <si>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</si>
  <si>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</si>
  <si>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</si>
  <si>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</si>
  <si>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</si>
  <si>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</si>
  <si>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</si>
  <si>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</si>
  <si>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</si>
  <si>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</si>
  <si>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</si>
  <si>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</si>
  <si>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</si>
  <si>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</si>
  <si>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</si>
  <si>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</si>
  <si>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</si>
  <si>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</si>
  <si>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</si>
  <si>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</si>
  <si>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</si>
  <si>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</si>
  <si>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</si>
  <si>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</si>
  <si>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</si>
  <si>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</si>
  <si>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</si>
  <si>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</si>
  <si>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</si>
  <si>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</si>
  <si>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</si>
  <si>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</si>
  <si>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</si>
  <si>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</si>
  <si>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</si>
  <si>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</si>
  <si>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</si>
  <si>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</si>
  <si>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</si>
  <si>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</si>
  <si>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</si>
  <si>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</si>
  <si>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</si>
  <si>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</si>
  <si>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</si>
  <si>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</si>
  <si>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</si>
  <si>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</si>
  <si>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</si>
  <si>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</si>
  <si>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</si>
  <si>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</si>
  <si>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</si>
  <si>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</si>
  <si>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</si>
  <si>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</si>
  <si>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</si>
  <si>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</si>
  <si>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</si>
  <si>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</si>
  <si>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</si>
  <si>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</si>
  <si>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</si>
  <si>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</si>
  <si>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</si>
  <si>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</si>
  <si>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</si>
  <si>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</si>
  <si>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</si>
  <si>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</si>
  <si>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</si>
  <si>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</si>
  <si>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</si>
  <si>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</si>
  <si>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</si>
  <si>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</si>
  <si>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</si>
  <si>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</si>
  <si>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</si>
  <si>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</si>
  <si>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</si>
  <si>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</si>
  <si>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</si>
  <si>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</si>
  <si>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</si>
  <si>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</si>
  <si>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</si>
  <si>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</si>
  <si>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</si>
  <si>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</si>
  <si>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</si>
  <si>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</si>
  <si>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</si>
  <si>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</si>
  <si>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</si>
  <si>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</si>
  <si>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</si>
  <si>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</si>
  <si>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</si>
  <si>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</si>
  <si>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</si>
  <si>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</si>
  <si>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</si>
  <si>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</si>
  <si>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</si>
  <si>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</si>
  <si>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</si>
  <si>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</si>
  <si>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</si>
  <si>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</si>
  <si>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</si>
  <si>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</si>
  <si>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</si>
  <si>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</si>
  <si>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</si>
  <si>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</si>
  <si>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</si>
  <si>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</si>
  <si>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</si>
  <si>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</si>
  <si>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</si>
  <si>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</si>
  <si>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</si>
  <si>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</si>
  <si>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</si>
  <si>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</si>
  <si>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</si>
  <si>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</si>
  <si>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</si>
  <si>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</si>
  <si>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</si>
  <si>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</si>
  <si>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</si>
  <si>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</si>
  <si>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</si>
  <si>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</si>
  <si>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</si>
  <si>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</si>
  <si>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</si>
  <si>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</si>
  <si>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</si>
  <si>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</si>
  <si>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</si>
  <si>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</si>
  <si>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</si>
  <si>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</si>
  <si>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</si>
  <si>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</si>
  <si>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</si>
  <si>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</si>
  <si>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</si>
  <si>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</si>
  <si>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</si>
  <si>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</si>
  <si>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</si>
  <si>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</si>
  <si>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</si>
  <si>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</si>
  <si>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</si>
  <si>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</si>
  <si>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</si>
  <si>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</si>
  <si>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</si>
  <si>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</si>
  <si>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</si>
  <si>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</si>
  <si>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</si>
  <si>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</si>
  <si>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</si>
  <si>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</si>
  <si>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</si>
  <si>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</si>
  <si>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</si>
  <si>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</si>
  <si>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</si>
  <si>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</si>
  <si>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</si>
  <si>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</si>
  <si>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</si>
  <si>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</si>
  <si>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</si>
  <si>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</si>
  <si>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</si>
  <si>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</si>
  <si>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</si>
  <si>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</si>
  <si>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</si>
  <si>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</si>
  <si>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</si>
  <si>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</si>
  <si>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</si>
  <si>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</si>
  <si>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</si>
  <si>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</si>
  <si>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</si>
  <si>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</si>
  <si>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</si>
  <si>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</si>
  <si>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</si>
  <si>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</si>
  <si>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</si>
  <si>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</si>
  <si>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</si>
  <si>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</si>
  <si>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</si>
  <si>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</si>
  <si>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</si>
  <si>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</si>
  <si>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</si>
  <si>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</si>
  <si>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</si>
  <si>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</si>
  <si>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</si>
  <si>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</si>
  <si>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</si>
  <si>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</si>
  <si>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</si>
  <si>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</si>
  <si>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</si>
  <si>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</si>
  <si>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</si>
  <si>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</si>
  <si>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</si>
  <si>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</si>
  <si>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</si>
  <si>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</si>
  <si>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</si>
  <si>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</si>
  <si>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</si>
  <si>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</si>
  <si>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</si>
  <si>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</si>
  <si>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</si>
  <si>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</si>
  <si>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</si>
  <si>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</si>
  <si>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</si>
  <si>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</si>
  <si>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</si>
  <si>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</si>
  <si>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</si>
  <si>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</si>
  <si>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</si>
  <si>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</si>
  <si>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</si>
  <si>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</si>
  <si>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</si>
  <si>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</si>
  <si>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</si>
  <si>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</si>
  <si>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</si>
  <si>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</si>
  <si>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</si>
  <si>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</si>
  <si>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</si>
  <si>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</si>
  <si>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</si>
  <si>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</si>
  <si>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</si>
  <si>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</si>
  <si>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</si>
  <si>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</si>
  <si>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</si>
  <si>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</si>
  <si>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</si>
  <si>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</si>
  <si>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</si>
  <si>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</si>
  <si>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</si>
  <si>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</si>
  <si>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</si>
  <si>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</si>
  <si>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</si>
  <si>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</si>
  <si>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</si>
  <si>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</si>
  <si>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</si>
  <si>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</si>
  <si>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</si>
  <si>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</si>
  <si>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</si>
  <si>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</si>
  <si>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</si>
  <si>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</si>
  <si>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</si>
  <si>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</si>
  <si>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</si>
  <si>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</si>
  <si>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</si>
  <si>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</si>
  <si>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</si>
  <si>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</si>
  <si>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</si>
  <si>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</si>
  <si>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</si>
  <si>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</si>
  <si>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</si>
  <si>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</si>
  <si>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</si>
  <si>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</si>
  <si>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</si>
  <si>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</si>
  <si>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</si>
  <si>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</si>
  <si>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</si>
  <si>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</si>
  <si>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</si>
  <si>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</si>
  <si>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</si>
  <si>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</si>
  <si>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</si>
  <si>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</si>
  <si>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</si>
  <si>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</si>
  <si>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</si>
  <si>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</si>
  <si>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</si>
  <si>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</si>
  <si>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</si>
  <si>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</si>
  <si>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</si>
  <si>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</si>
  <si>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</si>
  <si>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</si>
  <si>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</si>
  <si>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</si>
  <si>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</si>
  <si>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</si>
  <si>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</si>
  <si>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</si>
  <si>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</si>
  <si>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</si>
  <si>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</si>
  <si>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</si>
  <si>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</si>
  <si>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</si>
  <si>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</si>
  <si>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</si>
  <si>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</si>
  <si>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</si>
  <si>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</si>
  <si>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</si>
  <si>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</si>
  <si>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</si>
  <si>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</si>
  <si>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</si>
  <si>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</si>
  <si>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</si>
  <si>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</si>
  <si>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</si>
  <si>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</si>
  <si>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</si>
  <si>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</si>
  <si>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</si>
  <si>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</si>
  <si>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</si>
  <si>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</si>
  <si>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</si>
  <si>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</si>
  <si>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</si>
  <si>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</si>
  <si>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</si>
  <si>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</si>
  <si>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</si>
  <si>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</si>
  <si>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</si>
  <si>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</si>
  <si>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</si>
  <si>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</si>
  <si>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</si>
  <si>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</si>
  <si>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</si>
  <si>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</si>
  <si>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</si>
  <si>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</si>
  <si>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</si>
  <si>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</si>
  <si>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</si>
  <si>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</si>
  <si>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</si>
  <si>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</si>
  <si>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</si>
  <si>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</si>
  <si>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</si>
  <si>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</si>
  <si>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</si>
  <si>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</si>
  <si>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</si>
  <si>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</si>
  <si>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</si>
  <si>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</si>
  <si>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</si>
  <si>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</si>
  <si>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</si>
  <si>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</si>
  <si>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</si>
  <si>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</si>
  <si>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</si>
  <si>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</si>
  <si>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</si>
  <si>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</si>
  <si>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</si>
  <si>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</si>
  <si>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</si>
  <si>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</si>
  <si>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</si>
  <si>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</si>
  <si>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</si>
  <si>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</si>
  <si>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</si>
  <si>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</si>
  <si>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</si>
  <si>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</si>
  <si>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</si>
  <si>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</si>
  <si>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</si>
  <si>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</si>
  <si>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</si>
  <si>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</si>
  <si>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</si>
  <si>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</si>
  <si>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</si>
  <si>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</si>
  <si>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</si>
  <si>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</si>
  <si>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</si>
  <si>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</si>
  <si>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</si>
  <si>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</si>
  <si>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</si>
  <si>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</si>
  <si>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</si>
  <si>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</si>
  <si>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</si>
  <si>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</si>
  <si>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</si>
  <si>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</si>
  <si>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</si>
  <si>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</si>
  <si>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</si>
  <si>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</si>
  <si>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</si>
  <si>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</si>
  <si>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</si>
  <si>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</si>
  <si>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</si>
  <si>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</si>
  <si>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</si>
  <si>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</si>
  <si>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</si>
  <si>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</si>
  <si>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</si>
  <si>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</si>
  <si>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</si>
  <si>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</si>
  <si>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</si>
  <si>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</si>
  <si>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</si>
  <si>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</si>
  <si>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</si>
  <si>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</si>
  <si>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</si>
  <si>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</si>
  <si>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</si>
  <si>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</si>
  <si>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</si>
  <si>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</si>
  <si>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</si>
  <si>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</si>
  <si>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</si>
  <si>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</si>
  <si>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</si>
  <si>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</si>
  <si>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</si>
  <si>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</si>
  <si>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</si>
  <si>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</si>
  <si>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</si>
  <si>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</si>
  <si>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</si>
  <si>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</si>
  <si>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</si>
  <si>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</si>
  <si>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</si>
  <si>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</si>
  <si>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</si>
  <si>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</si>
  <si>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</si>
  <si>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</si>
  <si>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</si>
  <si>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</si>
  <si>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</si>
  <si>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</si>
  <si>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</si>
  <si>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</si>
  <si>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</si>
  <si>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</si>
  <si>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</si>
  <si>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</si>
  <si>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</si>
  <si>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</si>
  <si>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</si>
  <si>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</si>
  <si>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</si>
  <si>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</si>
  <si>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</si>
  <si>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</si>
  <si>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</si>
  <si>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</si>
  <si>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</si>
  <si>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</si>
  <si>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</si>
  <si>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</si>
  <si>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</si>
  <si>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</si>
  <si>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</si>
  <si>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</si>
  <si>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</si>
  <si>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</si>
  <si>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</si>
  <si>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</si>
  <si>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</si>
  <si>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</si>
  <si>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</si>
  <si>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</si>
  <si>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</si>
  <si>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</si>
  <si>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</si>
  <si>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PedBerTPN!$E$5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</si>
  <si>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</si>
  <si>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</si>
  <si>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</si>
  <si>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</si>
  <si>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</si>
  <si>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</si>
  <si>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</si>
  <si>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</si>
  <si>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</si>
  <si>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</si>
  <si>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</si>
  <si>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</si>
  <si>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</si>
  <si>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</si>
  <si>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</si>
  <si>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</si>
  <si>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</si>
  <si>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</si>
  <si>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</si>
  <si>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</si>
  <si>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</si>
  <si>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</si>
  <si>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</si>
  <si>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</si>
  <si>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</si>
  <si>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</si>
  <si>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</si>
  <si>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</si>
  <si>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</si>
  <si>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</si>
  <si>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</si>
  <si>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</si>
  <si>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</si>
  <si>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</si>
  <si>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</si>
  <si>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</si>
  <si>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</si>
  <si>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</si>
  <si>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</si>
  <si>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</si>
  <si>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PedTblIV!$F$2:$F$5</t>
  </si>
  <si>
    <t>PedTblIV!$E$2:$E$5</t>
  </si>
  <si>
    <t>PedBerTPN!$K$27:$K$40</t>
  </si>
  <si>
    <t>PedBerTPN!$A$27:$I$28</t>
  </si>
  <si>
    <t>PedBerTPN!$B$4</t>
  </si>
  <si>
    <t>PedBerTPN!$A$29:$I$29</t>
  </si>
  <si>
    <t>PedBerTPN!$A$30:$I$30</t>
  </si>
  <si>
    <t>PedBerTPN!$A$31:$I$31</t>
  </si>
  <si>
    <t>PedBerTPN!$A$32:$I$32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</si>
  <si>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</si>
  <si>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</si>
  <si>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</si>
  <si>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</si>
  <si>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</si>
  <si>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</si>
  <si>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</si>
  <si>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</si>
  <si>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</si>
  <si>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</si>
  <si>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</si>
  <si>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</si>
  <si>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</si>
  <si>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</si>
  <si>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</si>
  <si>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</si>
  <si>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</si>
  <si>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</si>
  <si>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</si>
  <si>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</si>
  <si>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</si>
  <si>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</si>
  <si>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</si>
  <si>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</si>
  <si>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</si>
  <si>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</si>
  <si>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</si>
  <si>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</si>
  <si>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</si>
  <si>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</si>
  <si>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</si>
  <si>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</si>
  <si>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</si>
  <si>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</si>
  <si>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</si>
  <si>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</si>
  <si>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</si>
  <si>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</si>
  <si>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</si>
  <si>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</si>
  <si>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</si>
  <si>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</si>
  <si>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</si>
  <si>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</si>
  <si>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</si>
  <si>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</si>
  <si>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</si>
  <si>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</si>
  <si>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</si>
  <si>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</si>
  <si>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</si>
  <si>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</si>
  <si>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</si>
  <si>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</si>
  <si>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</si>
  <si>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</si>
  <si>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</si>
  <si>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</si>
  <si>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</si>
  <si>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</si>
  <si>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</si>
  <si>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</si>
  <si>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</si>
  <si>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</si>
  <si>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</si>
  <si>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</si>
  <si>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</si>
  <si>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</si>
  <si>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</si>
  <si>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</si>
  <si>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</si>
  <si>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</si>
  <si>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</si>
  <si>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</si>
  <si>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</si>
  <si>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</si>
  <si>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</si>
  <si>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</si>
  <si>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</si>
  <si>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</si>
  <si>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</si>
  <si>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</si>
  <si>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</si>
  <si>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</si>
  <si>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</si>
  <si>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</si>
  <si>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</si>
  <si>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</si>
  <si>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</si>
  <si>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</si>
  <si>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</si>
  <si>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</si>
  <si>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</si>
  <si>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</si>
  <si>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</si>
  <si>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</si>
  <si>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</si>
  <si>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</si>
  <si>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</si>
  <si>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</si>
  <si>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</si>
  <si>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</si>
  <si>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</si>
  <si>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</si>
  <si>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</si>
  <si>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</si>
  <si>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</si>
  <si>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</si>
  <si>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</si>
  <si>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</si>
  <si>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</si>
  <si>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</si>
  <si>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</si>
  <si>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</si>
  <si>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</si>
  <si>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</si>
  <si>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</si>
  <si>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</si>
  <si>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</si>
  <si>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</si>
  <si>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</si>
  <si>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</si>
  <si>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</si>
  <si>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</si>
  <si>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</si>
  <si>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</si>
  <si>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</si>
  <si>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</si>
  <si>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</si>
  <si>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</si>
  <si>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</si>
  <si>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</si>
  <si>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</si>
  <si>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</si>
  <si>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</si>
  <si>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</si>
  <si>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</si>
  <si>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</si>
  <si>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</si>
  <si>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</si>
  <si>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</si>
  <si>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</si>
  <si>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</si>
  <si>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</si>
  <si>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</si>
  <si>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</si>
  <si>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</si>
  <si>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</si>
  <si>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</si>
  <si>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</si>
  <si>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</si>
  <si>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</si>
  <si>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</si>
  <si>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</si>
  <si>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</si>
  <si>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</si>
  <si>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</si>
  <si>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</si>
  <si>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</si>
  <si>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</si>
  <si>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</si>
  <si>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</si>
  <si>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</si>
  <si>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</si>
  <si>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</si>
  <si>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</si>
  <si>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</si>
  <si>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</si>
  <si>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</si>
  <si>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</si>
  <si>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</si>
  <si>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</si>
  <si>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</si>
  <si>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</si>
  <si>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</si>
  <si>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</si>
  <si>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</si>
  <si>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</si>
  <si>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</si>
  <si>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</si>
  <si>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</si>
  <si>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</si>
  <si>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</si>
  <si>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</si>
  <si>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</si>
  <si>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</si>
  <si>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</si>
  <si>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</si>
  <si>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</si>
  <si>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</si>
  <si>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</si>
  <si>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</si>
  <si>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</si>
  <si>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</si>
  <si>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</si>
  <si>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</si>
  <si>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</si>
  <si>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</si>
  <si>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</si>
  <si>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</si>
  <si>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</si>
  <si>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</si>
  <si>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</si>
  <si>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</si>
  <si>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</si>
  <si>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</si>
  <si>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</si>
  <si>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</si>
  <si>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</si>
  <si>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</si>
  <si>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</si>
  <si>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</si>
  <si>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</si>
  <si>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</si>
  <si>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</si>
  <si>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</si>
  <si>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</si>
  <si>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</si>
  <si>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</si>
  <si>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</si>
  <si>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</si>
  <si>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</si>
  <si>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</si>
  <si>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</si>
  <si>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</si>
  <si>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</si>
  <si>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</si>
  <si>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</si>
  <si>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</si>
  <si>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</si>
  <si>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</si>
  <si>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</si>
  <si>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</si>
  <si>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</si>
  <si>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</si>
  <si>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</si>
  <si>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</si>
  <si>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</si>
  <si>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</si>
  <si>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</si>
  <si>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</si>
  <si>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</si>
  <si>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</si>
  <si>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</si>
  <si>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</si>
  <si>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</si>
  <si>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</si>
  <si>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</si>
  <si>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</si>
  <si>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</si>
  <si>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</si>
  <si>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</si>
  <si>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</si>
  <si>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</si>
  <si>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</si>
  <si>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</si>
  <si>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</si>
  <si>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</si>
  <si>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</si>
  <si>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</si>
  <si>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</si>
  <si>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</si>
  <si>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</si>
  <si>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</si>
  <si>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</si>
  <si>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</si>
  <si>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</si>
  <si>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</si>
  <si>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</si>
  <si>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</si>
  <si>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</si>
  <si>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</si>
  <si>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</si>
  <si>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</si>
  <si>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</si>
  <si>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</si>
  <si>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</si>
  <si>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</si>
  <si>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</si>
  <si>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</si>
  <si>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</si>
  <si>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</si>
  <si>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</si>
  <si>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</si>
  <si>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</si>
  <si>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</si>
  <si>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</si>
  <si>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</si>
  <si>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</si>
  <si>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</si>
  <si>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</si>
  <si>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</si>
  <si>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</si>
  <si>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</si>
  <si>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</si>
  <si>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</si>
  <si>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</si>
  <si>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</si>
  <si>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</si>
  <si>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</si>
  <si>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</si>
  <si>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</si>
  <si>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</si>
  <si>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</si>
  <si>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</si>
  <si>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</si>
  <si>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</si>
  <si>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</si>
  <si>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</si>
  <si>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</si>
  <si>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</si>
  <si>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</si>
  <si>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</si>
  <si>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</si>
  <si>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</si>
  <si>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</si>
  <si>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</si>
  <si>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</si>
  <si>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</si>
  <si>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</si>
  <si>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</si>
  <si>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</si>
  <si>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</si>
  <si>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</si>
  <si>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</si>
  <si>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</si>
  <si>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</si>
  <si>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</si>
  <si>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</si>
  <si>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</si>
  <si>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</si>
  <si>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</si>
  <si>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</si>
  <si>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</si>
  <si>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</si>
  <si>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</si>
  <si>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</si>
  <si>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</si>
  <si>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</si>
  <si>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</si>
  <si>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</si>
  <si>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</si>
  <si>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</si>
  <si>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</si>
  <si>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</si>
  <si>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</si>
  <si>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</si>
  <si>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</si>
  <si>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</si>
  <si>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</si>
  <si>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</si>
  <si>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</si>
  <si>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</si>
  <si>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</si>
  <si>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</si>
  <si>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</si>
  <si>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</si>
  <si>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</si>
  <si>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</si>
  <si>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</si>
  <si>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</si>
  <si>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</si>
  <si>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</si>
  <si>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</si>
  <si>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</si>
  <si>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</si>
  <si>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</si>
  <si>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</si>
  <si>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</si>
  <si>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</si>
  <si>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</si>
  <si>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</si>
  <si>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</si>
  <si>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</si>
  <si>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</si>
  <si>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</si>
  <si>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</si>
  <si>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</si>
  <si>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</si>
  <si>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</si>
  <si>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</si>
  <si>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</si>
  <si>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</si>
  <si>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</si>
  <si>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</si>
  <si>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</si>
  <si>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</si>
  <si>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</si>
  <si>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</si>
  <si>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</si>
  <si>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</si>
  <si>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</si>
  <si>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</si>
  <si>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</si>
  <si>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</si>
  <si>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</si>
  <si>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</si>
  <si>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</si>
  <si>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</si>
  <si>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</si>
  <si>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</si>
  <si>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</si>
  <si>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</si>
  <si>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</si>
  <si>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</si>
  <si>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</si>
  <si>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</si>
  <si>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</si>
  <si>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</si>
  <si>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</si>
  <si>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</si>
  <si>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</si>
  <si>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</si>
  <si>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</si>
  <si>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</si>
  <si>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</si>
  <si>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</si>
  <si>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</si>
  <si>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</si>
  <si>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</si>
  <si>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</si>
  <si>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</si>
  <si>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</si>
  <si>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</si>
  <si>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</si>
  <si>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</si>
  <si>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</si>
  <si>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</si>
  <si>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</si>
  <si>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</si>
  <si>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</si>
  <si>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</si>
  <si>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</si>
  <si>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</si>
  <si>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</si>
  <si>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</si>
  <si>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</si>
  <si>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</si>
  <si>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</si>
  <si>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</si>
  <si>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</si>
  <si>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</si>
  <si>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</si>
  <si>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</si>
  <si>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</si>
  <si>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</si>
  <si>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</si>
  <si>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</si>
  <si>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</si>
  <si>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</si>
  <si>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</si>
  <si>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</si>
  <si>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</si>
  <si>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</si>
  <si>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</si>
  <si>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</si>
  <si>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</si>
  <si>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</si>
  <si>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</si>
  <si>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</si>
  <si>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</si>
  <si>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</si>
  <si>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</si>
  <si>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</si>
  <si>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</si>
  <si>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</si>
  <si>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</si>
  <si>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</si>
  <si>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</si>
  <si>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</si>
  <si>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</si>
  <si>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</si>
  <si>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</si>
  <si>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</si>
  <si>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</si>
  <si>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</si>
  <si>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</si>
  <si>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</si>
  <si>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</si>
  <si>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</si>
  <si>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</si>
  <si>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</si>
  <si>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</si>
  <si>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</si>
  <si>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</si>
  <si>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</si>
  <si>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</si>
  <si>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</si>
  <si>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</si>
  <si>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</si>
  <si>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</si>
  <si>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</si>
  <si>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</si>
  <si>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</si>
  <si>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</si>
  <si>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</si>
  <si>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</si>
  <si>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</si>
  <si>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</si>
  <si>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</si>
  <si>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</si>
  <si>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</si>
  <si>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</si>
  <si>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</si>
  <si>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</si>
  <si>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</si>
  <si>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</si>
  <si>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</si>
  <si>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</si>
  <si>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</si>
  <si>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</si>
  <si>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</si>
  <si>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</si>
  <si>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</si>
  <si>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</si>
  <si>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</si>
  <si>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</si>
  <si>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</si>
  <si>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</si>
  <si>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</si>
  <si>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</si>
  <si>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</si>
  <si>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</si>
  <si>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</si>
  <si>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</si>
  <si>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</si>
  <si>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</si>
  <si>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</si>
  <si>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</si>
  <si>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</si>
  <si>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</si>
  <si>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</si>
  <si>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</si>
  <si>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</si>
  <si>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</si>
  <si>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</si>
  <si>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</si>
  <si>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</si>
  <si>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</si>
  <si>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</si>
  <si>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</si>
  <si>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</si>
  <si>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</si>
  <si>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</si>
  <si>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</si>
  <si>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</si>
  <si>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</si>
  <si>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</si>
  <si>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</si>
  <si>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</si>
  <si>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</si>
  <si>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</si>
  <si>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</si>
  <si>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</si>
  <si>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</si>
  <si>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</si>
  <si>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</si>
  <si>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</si>
  <si>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</si>
  <si>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</si>
  <si>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</si>
  <si>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</si>
  <si>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</si>
  <si>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</si>
  <si>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</si>
  <si>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</si>
  <si>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</si>
  <si>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</si>
  <si>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</si>
  <si>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</si>
  <si>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</si>
  <si>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</si>
  <si>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</si>
  <si>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</si>
  <si>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</si>
  <si>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</si>
  <si>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</si>
  <si>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</si>
  <si>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</si>
  <si>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</si>
  <si>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</si>
  <si>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</si>
  <si>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</si>
  <si>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</si>
  <si>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</si>
  <si>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</si>
  <si>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</si>
  <si>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</si>
  <si>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</si>
  <si>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</si>
  <si>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</si>
  <si>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</si>
  <si>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</si>
  <si>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</si>
  <si>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</si>
  <si>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</si>
  <si>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</si>
  <si>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</si>
  <si>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</si>
  <si>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</si>
  <si>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</si>
  <si>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</si>
  <si>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</si>
  <si>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</si>
  <si>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</si>
  <si>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</si>
  <si>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</si>
  <si>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</si>
  <si>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</si>
  <si>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</si>
  <si>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</si>
  <si>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</si>
  <si>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</si>
  <si>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</si>
  <si>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</si>
  <si>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</si>
  <si>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</si>
  <si>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</si>
  <si>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</si>
  <si>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</si>
  <si>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</si>
  <si>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</si>
  <si>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</si>
  <si>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</si>
  <si>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</si>
  <si>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</si>
  <si>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</si>
  <si>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</si>
  <si>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</si>
  <si>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</si>
  <si>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</si>
  <si>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</si>
  <si>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</si>
  <si>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</si>
  <si>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</si>
  <si>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</si>
  <si>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</si>
  <si>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</si>
  <si>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</si>
  <si>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</si>
  <si>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</si>
  <si>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</si>
  <si>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</si>
  <si>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</si>
  <si>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</si>
  <si>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</si>
  <si>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</si>
  <si>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</si>
  <si>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</si>
  <si>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</si>
  <si>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</si>
  <si>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</si>
  <si>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</si>
  <si>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</si>
  <si>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</si>
  <si>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</si>
  <si>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</si>
  <si>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</si>
  <si>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</si>
  <si>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</si>
  <si>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</si>
  <si>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</si>
  <si>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</si>
  <si>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</si>
  <si>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</si>
  <si>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</si>
  <si>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</si>
  <si>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</si>
  <si>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</si>
  <si>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</si>
  <si>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</si>
  <si>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</si>
  <si>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</si>
  <si>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</si>
  <si>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</si>
  <si>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</si>
  <si>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</si>
  <si>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</si>
  <si>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</si>
  <si>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</si>
  <si>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</si>
  <si>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</si>
  <si>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</si>
  <si>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</si>
  <si>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</si>
  <si>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</si>
  <si>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</si>
  <si>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</si>
  <si>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</si>
  <si>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</si>
  <si>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</si>
  <si>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</si>
  <si>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</si>
  <si>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</si>
  <si>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</si>
  <si>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</si>
  <si>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</si>
  <si>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</si>
  <si>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</si>
  <si>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</si>
  <si>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</si>
  <si>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</si>
  <si>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</si>
  <si>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</si>
  <si>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</si>
  <si>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</si>
  <si>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</si>
  <si>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</si>
  <si>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</si>
  <si>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</si>
  <si>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</si>
  <si>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</si>
  <si>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</si>
  <si>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</si>
  <si>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</si>
  <si>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</si>
  <si>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</si>
  <si>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</si>
  <si>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</si>
  <si>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</si>
  <si>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</si>
  <si>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</si>
  <si>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</si>
  <si>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</si>
  <si>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</si>
  <si>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</si>
  <si>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</si>
  <si>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</si>
  <si>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</si>
  <si>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</si>
  <si>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</si>
  <si>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</si>
  <si>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</si>
  <si>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</si>
  <si>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</si>
  <si>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</si>
  <si>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</si>
  <si>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</si>
  <si>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</si>
  <si>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</si>
  <si>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</si>
  <si>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</si>
  <si>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</si>
  <si>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</si>
  <si>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</si>
  <si>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</si>
  <si>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</si>
  <si>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</si>
  <si>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</si>
  <si>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</si>
  <si>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</si>
  <si>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</si>
  <si>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</si>
  <si>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</si>
  <si>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</si>
  <si>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</si>
  <si>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</si>
  <si>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</si>
  <si>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</si>
  <si>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</si>
  <si>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</si>
  <si>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</si>
  <si>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</si>
  <si>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</si>
  <si>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</si>
  <si>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</si>
  <si>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</si>
  <si>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</si>
  <si>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</si>
  <si>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</si>
  <si>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</si>
  <si>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</si>
  <si>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</si>
  <si>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</si>
  <si>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</si>
  <si>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</si>
  <si>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</si>
  <si>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</si>
  <si>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</si>
  <si>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</si>
  <si>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</si>
  <si>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</si>
  <si>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</si>
  <si>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</si>
  <si>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</si>
  <si>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</si>
  <si>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</si>
  <si>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</si>
  <si>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</si>
  <si>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</si>
  <si>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</si>
  <si>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</si>
  <si>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</si>
  <si>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</si>
  <si>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</si>
  <si>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</si>
  <si>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</si>
  <si>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</si>
  <si>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</si>
  <si>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</si>
  <si>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</si>
  <si>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</si>
  <si>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</si>
  <si>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</si>
  <si>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</si>
  <si>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</si>
  <si>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</si>
  <si>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</si>
  <si>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</si>
  <si>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</si>
  <si>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</si>
  <si>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</si>
  <si>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</si>
  <si>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</si>
  <si>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</si>
  <si>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</si>
  <si>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</si>
  <si>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</si>
  <si>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</si>
  <si>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</si>
  <si>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</si>
  <si>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</si>
  <si>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</si>
  <si>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</si>
  <si>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</si>
  <si>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</si>
  <si>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</si>
  <si>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</si>
  <si>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</si>
  <si>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</si>
  <si>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</si>
  <si>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</si>
  <si>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</si>
  <si>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</si>
  <si>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</si>
  <si>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</si>
  <si>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</si>
  <si>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</si>
  <si>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</si>
  <si>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</si>
  <si>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</si>
  <si>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</si>
  <si>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</si>
  <si>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</si>
  <si>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</si>
  <si>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</si>
  <si>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</si>
  <si>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</si>
  <si>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</si>
  <si>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</si>
  <si>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</si>
  <si>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</si>
  <si>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</si>
  <si>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</si>
  <si>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</si>
  <si>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</si>
  <si>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</si>
  <si>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</si>
  <si>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</si>
  <si>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</si>
  <si>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</si>
  <si>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</si>
  <si>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</si>
  <si>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</si>
  <si>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</si>
  <si>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</si>
  <si>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</si>
  <si>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</si>
  <si>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</si>
  <si>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</si>
  <si>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</si>
  <si>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</si>
  <si>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</si>
  <si>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</si>
  <si>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</si>
  <si>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</si>
  <si>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</si>
  <si>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</si>
  <si>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</si>
  <si>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</si>
  <si>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</si>
  <si>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</si>
  <si>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</si>
  <si>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</si>
  <si>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</si>
  <si>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</si>
  <si>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</si>
  <si>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</si>
  <si>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</si>
  <si>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</si>
  <si>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</si>
  <si>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</si>
  <si>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</si>
  <si>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</si>
  <si>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</si>
  <si>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</si>
  <si>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</si>
  <si>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</si>
  <si>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</si>
  <si>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</si>
  <si>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</si>
  <si>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</si>
  <si>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</si>
  <si>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</si>
  <si>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</si>
  <si>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</si>
  <si>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</si>
  <si>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</si>
  <si>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</si>
  <si>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</si>
  <si>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</si>
  <si>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</si>
  <si>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</si>
  <si>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</si>
  <si>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</si>
  <si>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</si>
  <si>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</si>
  <si>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</si>
  <si>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</si>
  <si>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</si>
  <si>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</si>
  <si>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</si>
  <si>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</si>
  <si>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</si>
  <si>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</si>
  <si>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</si>
  <si>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</si>
  <si>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</si>
  <si>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</si>
  <si>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</si>
  <si>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</si>
  <si>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</si>
  <si>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</si>
  <si>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</si>
  <si>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</si>
  <si>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</si>
  <si>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</si>
  <si>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</si>
  <si>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</si>
  <si>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</si>
  <si>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</si>
  <si>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</si>
  <si>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</si>
  <si>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</si>
  <si>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</si>
  <si>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</si>
  <si>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</si>
  <si>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</si>
  <si>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</si>
  <si>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</si>
  <si>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</si>
  <si>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</si>
  <si>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</si>
  <si>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</si>
  <si>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</si>
  <si>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</si>
  <si>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</si>
  <si>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</si>
  <si>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</si>
  <si>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</si>
  <si>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</si>
  <si>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</si>
  <si>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</si>
  <si>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</si>
  <si>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</si>
  <si>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</si>
  <si>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</si>
  <si>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</si>
  <si>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</si>
  <si>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</si>
  <si>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</si>
  <si>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</si>
  <si>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</si>
  <si>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</si>
  <si>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</si>
  <si>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</si>
  <si>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</si>
  <si>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</si>
  <si>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</si>
  <si>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</si>
  <si>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</si>
  <si>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</si>
  <si>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</si>
  <si>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</si>
  <si>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</si>
  <si>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</si>
  <si>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</si>
  <si>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</si>
  <si>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</si>
  <si>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</si>
  <si>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</si>
  <si>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</si>
  <si>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</si>
  <si>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</si>
  <si>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</si>
  <si>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</si>
  <si>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</si>
  <si>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</si>
  <si>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</si>
  <si>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</si>
  <si>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</si>
  <si>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</si>
  <si>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</si>
  <si>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</si>
  <si>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</si>
  <si>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</si>
  <si>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</si>
  <si>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</si>
  <si>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</si>
  <si>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</si>
  <si>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</si>
  <si>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</si>
  <si>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</si>
  <si>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</si>
  <si>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</si>
  <si>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</si>
  <si>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</si>
  <si>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</si>
  <si>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</si>
  <si>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</si>
  <si>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</si>
  <si>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</si>
  <si>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</si>
  <si>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</si>
  <si>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</si>
  <si>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</si>
  <si>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</si>
  <si>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</si>
  <si>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</si>
  <si>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</si>
  <si>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</si>
  <si>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</si>
  <si>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</si>
  <si>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</si>
  <si>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</si>
  <si>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</si>
  <si>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</si>
  <si>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</si>
  <si>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</si>
  <si>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</si>
  <si>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</si>
  <si>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</si>
  <si>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</si>
  <si>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</si>
  <si>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</si>
  <si>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</si>
  <si>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</si>
  <si>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</si>
  <si>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</si>
  <si>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</si>
  <si>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</si>
  <si>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</si>
  <si>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</si>
  <si>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</si>
  <si>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</si>
  <si>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</si>
  <si>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</si>
  <si>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</si>
  <si>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</si>
  <si>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</si>
  <si>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</si>
  <si>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</si>
  <si>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</si>
  <si>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</si>
  <si>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</si>
  <si>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</si>
  <si>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</si>
  <si>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</si>
  <si>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</si>
  <si>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</si>
  <si>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</si>
  <si>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</si>
  <si>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</si>
  <si>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</si>
  <si>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</si>
  <si>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</si>
  <si>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</si>
  <si>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</si>
  <si>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</si>
  <si>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</si>
  <si>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</si>
  <si>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</si>
  <si>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</si>
  <si>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</si>
  <si>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</si>
  <si>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</si>
  <si>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</si>
  <si>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</si>
  <si>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</si>
  <si>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</si>
  <si>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</si>
  <si>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</si>
  <si>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</si>
  <si>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</si>
  <si>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</si>
  <si>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</si>
  <si>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</si>
  <si>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</si>
  <si>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</si>
  <si>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</si>
  <si>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</si>
  <si>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</si>
  <si>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</si>
  <si>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</si>
  <si>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</si>
  <si>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</si>
  <si>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</si>
  <si>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</si>
  <si>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</si>
  <si>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</si>
  <si>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</si>
  <si>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</si>
  <si>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</si>
  <si>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</si>
  <si>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</si>
  <si>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</si>
  <si>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</si>
  <si>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</si>
  <si>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</si>
  <si>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</si>
  <si>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</si>
  <si>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</si>
  <si>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</si>
  <si>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</si>
  <si>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</si>
  <si>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</si>
  <si>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</si>
  <si>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</si>
  <si>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</si>
  <si>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</si>
  <si>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</si>
  <si>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</si>
  <si>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</si>
  <si>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</si>
  <si>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</si>
  <si>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</si>
  <si>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</si>
  <si>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</si>
  <si>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</si>
  <si>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</si>
  <si>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</si>
  <si>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</si>
  <si>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</si>
  <si>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</si>
  <si>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</si>
  <si>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</si>
  <si>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</si>
  <si>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</si>
  <si>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</si>
  <si>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</si>
  <si>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</si>
  <si>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</si>
  <si>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</si>
  <si>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</si>
  <si>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</si>
  <si>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</si>
  <si>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</si>
  <si>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</si>
  <si>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</si>
  <si>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</si>
  <si>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</si>
  <si>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</si>
  <si>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</si>
  <si>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</si>
  <si>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</si>
  <si>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</si>
  <si>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</si>
  <si>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</si>
  <si>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</si>
  <si>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</si>
  <si>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</si>
  <si>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</si>
  <si>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</si>
  <si>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</si>
  <si>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</si>
  <si>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</si>
  <si>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</si>
  <si>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</si>
  <si>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</si>
  <si>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</si>
  <si>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</si>
  <si>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</si>
  <si>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</si>
  <si>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</si>
  <si>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</si>
  <si>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</si>
  <si>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</si>
  <si>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</si>
  <si>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</si>
  <si>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</si>
  <si>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</si>
  <si>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</si>
  <si>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</si>
  <si>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</si>
  <si>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</si>
  <si>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</si>
  <si>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</si>
  <si>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</si>
  <si>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</si>
  <si>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</si>
  <si>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</si>
  <si>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</si>
  <si>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</si>
  <si>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</si>
  <si>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</si>
  <si>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</si>
  <si>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</si>
  <si>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</si>
  <si>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</si>
  <si>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</si>
  <si>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</si>
  <si>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</si>
  <si>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</si>
  <si>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</si>
  <si>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</si>
  <si>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</si>
  <si>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</si>
  <si>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</si>
  <si>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</si>
  <si>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</si>
  <si>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</si>
  <si>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</si>
  <si>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</si>
  <si>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</si>
  <si>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</si>
  <si>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</si>
  <si>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</si>
  <si>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</si>
  <si>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</si>
  <si>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</si>
  <si>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</si>
  <si>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</si>
  <si>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</si>
  <si>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</si>
  <si>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</si>
  <si>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</si>
  <si>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</si>
  <si>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</si>
  <si>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</si>
  <si>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</si>
  <si>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</si>
  <si>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</si>
  <si>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</si>
  <si>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</si>
  <si>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</si>
  <si>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</si>
  <si>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</si>
  <si>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</si>
  <si>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</si>
  <si>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</si>
  <si>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</si>
  <si>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</si>
  <si>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</si>
  <si>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</si>
  <si>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</si>
  <si>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</si>
  <si>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</si>
  <si>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</si>
  <si>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</si>
  <si>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</si>
  <si>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</si>
  <si>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</si>
  <si>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</si>
  <si>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</si>
  <si>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</si>
  <si>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</si>
  <si>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</si>
  <si>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</si>
  <si>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</si>
  <si>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</si>
  <si>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</si>
  <si>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</si>
  <si>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</si>
  <si>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</si>
  <si>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</si>
  <si>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</si>
  <si>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</si>
  <si>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</si>
  <si>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</si>
  <si>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</si>
  <si>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</si>
  <si>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</si>
  <si>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</si>
  <si>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</si>
  <si>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</si>
  <si>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</si>
  <si>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</si>
  <si>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</si>
  <si>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</si>
  <si>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</si>
  <si>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</si>
  <si>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</si>
  <si>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</si>
  <si>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</si>
  <si>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</si>
  <si>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</si>
  <si>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</si>
  <si>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</si>
  <si>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</si>
  <si>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</si>
  <si>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</si>
  <si>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</si>
  <si>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</si>
  <si>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</si>
  <si>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</si>
  <si>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</si>
  <si>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</si>
  <si>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</si>
  <si>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</si>
  <si>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</si>
  <si>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</si>
  <si>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</si>
  <si>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</si>
  <si>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</si>
  <si>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</si>
  <si>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</si>
  <si>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</si>
  <si>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</si>
  <si>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</si>
  <si>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</si>
  <si>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</si>
  <si>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</si>
  <si>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</si>
  <si>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</si>
  <si>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</si>
  <si>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</si>
  <si>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</si>
  <si>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</si>
  <si>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</si>
  <si>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</si>
  <si>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</si>
  <si>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</si>
  <si>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</si>
  <si>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</si>
  <si>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</si>
  <si>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</si>
  <si>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</si>
  <si>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</si>
  <si>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</si>
  <si>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</si>
  <si>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</si>
  <si>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</si>
  <si>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</si>
  <si>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</si>
  <si>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</si>
  <si>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</si>
  <si>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</si>
  <si>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</si>
  <si>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</si>
  <si>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</si>
  <si>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</si>
  <si>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</si>
  <si>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</si>
  <si>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</si>
  <si>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</si>
  <si>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</si>
  <si>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</si>
  <si>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</si>
  <si>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</si>
  <si>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</si>
  <si>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</si>
  <si>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</si>
  <si>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</si>
  <si>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</si>
  <si>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</si>
  <si>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</si>
  <si>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</si>
  <si>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</si>
  <si>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</si>
  <si>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</si>
  <si>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</si>
  <si>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</si>
  <si>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</si>
  <si>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</si>
  <si>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</si>
  <si>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</si>
  <si>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</si>
  <si>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</si>
  <si>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</si>
  <si>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</si>
  <si>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</si>
  <si>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</si>
  <si>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</si>
  <si>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</si>
  <si>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</si>
  <si>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</si>
  <si>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</si>
  <si>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</si>
  <si>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</si>
  <si>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</si>
  <si>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</si>
  <si>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</si>
  <si>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</si>
  <si>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</si>
  <si>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</si>
  <si>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</si>
  <si>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</si>
  <si>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</si>
  <si>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</si>
  <si>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</si>
  <si>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</si>
  <si>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</si>
  <si>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</si>
  <si>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</si>
  <si>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</si>
  <si>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</si>
  <si>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</si>
  <si>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</si>
  <si>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</si>
  <si>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</si>
  <si>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</si>
  <si>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</si>
  <si>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</si>
  <si>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</si>
  <si>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</si>
  <si>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</si>
  <si>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</si>
  <si>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</si>
  <si>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</si>
  <si>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</si>
  <si>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</si>
  <si>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</si>
  <si>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</si>
  <si>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</si>
  <si>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</si>
  <si>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</si>
  <si>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</si>
  <si>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</si>
  <si>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</si>
  <si>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</si>
  <si>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</si>
  <si>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</si>
  <si>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</si>
  <si>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</si>
  <si>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</si>
  <si>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</si>
  <si>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</si>
  <si>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</si>
  <si>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</si>
  <si>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</si>
  <si>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</si>
  <si>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</si>
  <si>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</si>
  <si>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</si>
  <si>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</si>
  <si>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</si>
  <si>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</si>
  <si>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</si>
  <si>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</si>
  <si>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</si>
  <si>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</si>
  <si>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</si>
  <si>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</si>
  <si>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</si>
  <si>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</si>
  <si>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</si>
  <si>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</si>
  <si>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</si>
  <si>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</si>
  <si>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</si>
  <si>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</si>
  <si>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</si>
  <si>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</si>
  <si>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</si>
  <si>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</si>
  <si>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</si>
  <si>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</si>
  <si>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</si>
  <si>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</si>
  <si>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</si>
  <si>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</si>
  <si>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</si>
  <si>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</si>
  <si>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</si>
  <si>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</si>
  <si>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</si>
  <si>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</si>
  <si>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</si>
  <si>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</si>
  <si>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</si>
  <si>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</si>
  <si>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</si>
  <si>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</si>
  <si>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</si>
  <si>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</si>
  <si>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</si>
  <si>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</si>
  <si>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</si>
  <si>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</si>
  <si>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</si>
  <si>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</si>
  <si>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</si>
  <si>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</si>
  <si>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</si>
  <si>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</si>
  <si>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</si>
  <si>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</si>
  <si>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</si>
  <si>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</si>
  <si>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</si>
  <si>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</si>
  <si>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</si>
  <si>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</si>
  <si>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</si>
  <si>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</si>
  <si>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</si>
  <si>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</si>
  <si>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</si>
  <si>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</si>
  <si>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</si>
  <si>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</si>
  <si>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</si>
  <si>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</si>
  <si>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</si>
  <si>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</si>
  <si>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</si>
  <si>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</si>
  <si>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</si>
  <si>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</si>
  <si>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</si>
  <si>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</si>
  <si>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</si>
  <si>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</si>
  <si>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</si>
  <si>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</si>
  <si>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</si>
  <si>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</si>
  <si>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</si>
  <si>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</si>
  <si>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</si>
  <si>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</si>
  <si>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</si>
  <si>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</si>
  <si>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</si>
  <si>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</si>
  <si>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</si>
  <si>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</si>
  <si>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</si>
  <si>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</si>
  <si>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</si>
  <si>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</si>
  <si>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</si>
  <si>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</si>
  <si>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</si>
  <si>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</si>
  <si>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</si>
  <si>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</si>
  <si>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</si>
  <si>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</si>
  <si>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</si>
  <si>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</si>
  <si>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</si>
  <si>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</si>
  <si>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</si>
  <si>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</si>
  <si>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</si>
  <si>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</si>
  <si>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</si>
  <si>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</si>
  <si>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</si>
  <si>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</si>
  <si>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</si>
  <si>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</si>
  <si>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</si>
  <si>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</si>
  <si>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</si>
  <si>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</si>
  <si>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</si>
  <si>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</si>
  <si>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</si>
  <si>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</si>
  <si>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</si>
  <si>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</si>
  <si>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</si>
  <si>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</si>
  <si>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</si>
  <si>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</si>
  <si>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</si>
  <si>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</si>
  <si>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</si>
  <si>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</si>
  <si>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</si>
  <si>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</si>
  <si>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</si>
  <si>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</si>
  <si>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</si>
  <si>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</si>
  <si>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</si>
  <si>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</si>
  <si>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</si>
  <si>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</si>
  <si>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</si>
  <si>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</si>
  <si>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</si>
  <si>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</si>
  <si>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</si>
  <si>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</si>
  <si>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</si>
  <si>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</si>
  <si>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</si>
  <si>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</si>
  <si>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</si>
  <si>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</si>
  <si>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</si>
  <si>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</si>
  <si>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</si>
  <si>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</si>
  <si>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</si>
  <si>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</si>
  <si>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</si>
  <si>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</si>
  <si>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</si>
  <si>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</si>
  <si>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</si>
  <si>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</si>
  <si>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</si>
  <si>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</si>
  <si>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</si>
  <si>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</si>
  <si>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</si>
  <si>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</si>
  <si>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</si>
  <si>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</si>
  <si>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</si>
  <si>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</si>
  <si>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</si>
  <si>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</si>
  <si>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</si>
  <si>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</si>
  <si>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</si>
  <si>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</si>
  <si>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</si>
  <si>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</si>
  <si>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</si>
  <si>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</si>
  <si>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</si>
  <si>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</si>
  <si>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</si>
  <si>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</si>
  <si>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</si>
  <si>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</si>
  <si>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</si>
  <si>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</si>
  <si>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</si>
  <si>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</si>
  <si>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</si>
  <si>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</si>
  <si>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</si>
  <si>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</si>
  <si>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</si>
  <si>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</si>
  <si>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</si>
  <si>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</si>
  <si>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</si>
  <si>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</si>
  <si>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</si>
  <si>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</si>
  <si>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</si>
  <si>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</si>
  <si>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</si>
  <si>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</si>
  <si>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</si>
  <si>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</si>
  <si>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</si>
  <si>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</si>
  <si>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</si>
  <si>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</si>
  <si>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</si>
  <si>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</si>
  <si>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</si>
  <si>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</si>
  <si>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</si>
  <si>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</si>
  <si>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</si>
  <si>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</si>
  <si>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</si>
  <si>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</si>
  <si>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</si>
  <si>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</si>
  <si>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</si>
  <si>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</si>
  <si>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</si>
  <si>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</si>
  <si>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</si>
  <si>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</si>
  <si>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</si>
  <si>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</si>
  <si>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</si>
  <si>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</si>
  <si>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</si>
  <si>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</si>
  <si>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</si>
  <si>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</si>
  <si>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</si>
  <si>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</si>
  <si>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</si>
  <si>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</si>
  <si>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</si>
  <si>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</si>
  <si>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</si>
  <si>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</si>
  <si>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</si>
  <si>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</si>
  <si>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</si>
  <si>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</si>
  <si>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</si>
  <si>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</si>
  <si>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</si>
  <si>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</si>
  <si>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</si>
  <si>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</si>
  <si>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</si>
  <si>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</si>
  <si>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</si>
  <si>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</si>
  <si>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</si>
  <si>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</si>
  <si>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</si>
  <si>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</si>
  <si>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</si>
  <si>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</si>
  <si>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</si>
  <si>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</si>
  <si>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</si>
  <si>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</si>
  <si>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</si>
  <si>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</si>
  <si>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</si>
  <si>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</si>
  <si>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</si>
  <si>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</si>
  <si>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</si>
  <si>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</si>
  <si>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</si>
  <si>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</si>
  <si>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</si>
  <si>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</si>
  <si>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</si>
  <si>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</si>
  <si>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</si>
  <si>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</si>
  <si>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</si>
  <si>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</si>
  <si>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</si>
  <si>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</si>
  <si>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</si>
  <si>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</si>
  <si>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</si>
  <si>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</si>
  <si>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</si>
  <si>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</si>
  <si>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</si>
  <si>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</si>
  <si>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</si>
  <si>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</si>
  <si>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</si>
  <si>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</si>
  <si>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</si>
  <si>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</si>
  <si>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</si>
  <si>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</si>
  <si>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</si>
  <si>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</si>
  <si>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</si>
  <si>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</si>
  <si>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</si>
  <si>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</si>
  <si>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</si>
  <si>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</si>
  <si>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</si>
  <si>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</si>
  <si>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</si>
  <si>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</si>
  <si>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</si>
  <si>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</si>
  <si>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</si>
  <si>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</si>
  <si>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</si>
  <si>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</si>
  <si>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</si>
  <si>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</si>
  <si>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</si>
  <si>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</si>
  <si>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</si>
  <si>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</si>
  <si>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</si>
  <si>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</si>
  <si>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</si>
  <si>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</si>
  <si>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</si>
  <si>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</si>
  <si>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</si>
  <si>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</si>
  <si>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</si>
  <si>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</si>
  <si>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</si>
  <si>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</si>
  <si>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</si>
  <si>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</si>
  <si>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</si>
  <si>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</si>
  <si>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</si>
  <si>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</si>
  <si>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</si>
  <si>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</si>
  <si>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</si>
  <si>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</si>
  <si>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</si>
  <si>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</si>
  <si>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</si>
  <si>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</si>
  <si>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</si>
  <si>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</si>
  <si>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</si>
  <si>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</si>
  <si>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</si>
  <si>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</si>
  <si>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</si>
  <si>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</si>
  <si>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</si>
  <si>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</si>
  <si>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</si>
  <si>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</si>
  <si>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</si>
  <si>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</si>
  <si>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</si>
  <si>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</si>
  <si>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</si>
  <si>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</si>
  <si>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</si>
  <si>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</si>
  <si>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</si>
  <si>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</si>
  <si>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</si>
  <si>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</si>
  <si>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</si>
  <si>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</si>
  <si>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</si>
  <si>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</si>
  <si>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</si>
  <si>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</si>
  <si>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</si>
  <si>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</si>
  <si>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</si>
  <si>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</si>
  <si>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</si>
  <si>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</si>
  <si>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</si>
  <si>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</si>
  <si>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</si>
  <si>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</si>
  <si>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</si>
  <si>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</si>
  <si>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</si>
  <si>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</si>
  <si>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</si>
  <si>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</si>
  <si>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</si>
  <si>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</si>
  <si>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</si>
  <si>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</si>
  <si>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</si>
  <si>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</si>
  <si>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</si>
  <si>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</si>
  <si>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</si>
  <si>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</si>
  <si>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</si>
  <si>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</si>
  <si>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</si>
  <si>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</si>
  <si>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</si>
  <si>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</si>
  <si>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</si>
  <si>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</si>
  <si>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</si>
  <si>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</si>
  <si>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</si>
  <si>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</si>
  <si>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</si>
  <si>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</si>
  <si>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</si>
  <si>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</si>
  <si>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</si>
  <si>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</si>
  <si>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</si>
  <si>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</si>
  <si>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</si>
  <si>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</si>
  <si>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</si>
  <si>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</si>
  <si>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</si>
  <si>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</si>
  <si>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</si>
  <si>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</si>
  <si>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</si>
  <si>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</si>
  <si>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</si>
  <si>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</si>
  <si>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</si>
  <si>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</si>
  <si>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</si>
  <si>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</si>
  <si>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</si>
  <si>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</si>
  <si>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</si>
  <si>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</si>
  <si>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</si>
  <si>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</si>
  <si>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</si>
  <si>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</si>
  <si>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</si>
  <si>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</si>
  <si>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</si>
  <si>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</si>
  <si>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</si>
  <si>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</si>
  <si>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</si>
  <si>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</si>
  <si>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</si>
  <si>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</si>
  <si>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</si>
  <si>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</si>
  <si>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</si>
  <si>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</si>
  <si>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</si>
  <si>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</si>
  <si>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</si>
  <si>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</si>
  <si>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</si>
  <si>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</si>
  <si>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</si>
  <si>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</si>
  <si>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</si>
  <si>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</si>
  <si>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</si>
  <si>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</si>
  <si>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</si>
  <si>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</si>
  <si>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</si>
  <si>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</si>
  <si>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</si>
  <si>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</si>
  <si>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</si>
  <si>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</si>
  <si>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</si>
  <si>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</si>
  <si>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</si>
  <si>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</si>
  <si>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</si>
  <si>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</si>
  <si>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</si>
  <si>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</si>
  <si>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</si>
  <si>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</si>
  <si>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</si>
  <si>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</si>
  <si>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</si>
  <si>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</si>
  <si>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</si>
  <si>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</si>
  <si>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</si>
  <si>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</si>
  <si>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</si>
  <si>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</si>
  <si>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</si>
  <si>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</si>
  <si>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</si>
  <si>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</si>
  <si>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</si>
  <si>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</si>
  <si>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</si>
  <si>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</si>
  <si>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</si>
  <si>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</si>
  <si>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</si>
  <si>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</si>
  <si>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</si>
  <si>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</si>
  <si>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</si>
  <si>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</si>
  <si>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</si>
  <si>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</si>
  <si>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</si>
  <si>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</si>
  <si>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</si>
  <si>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</si>
  <si>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</si>
  <si>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</si>
  <si>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PedBerAfspr!$B$47</t>
  </si>
  <si>
    <t>PedBerAfspr!$B$49</t>
  </si>
  <si>
    <t>PedBerAfspr!$B$48</t>
  </si>
  <si>
    <t>PedBerAfspr!$B$50</t>
  </si>
  <si>
    <t>GlobBerMedDisc!$P$33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</si>
  <si>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</si>
  <si>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</si>
  <si>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</si>
  <si>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</si>
  <si>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</si>
  <si>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</si>
  <si>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</si>
  <si>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</si>
  <si>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</si>
  <si>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</si>
  <si>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</si>
  <si>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</si>
  <si>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</si>
  <si>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</si>
  <si>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</si>
  <si>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</si>
  <si>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</si>
  <si>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</si>
  <si>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</si>
  <si>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</si>
  <si>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</si>
  <si>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</si>
  <si>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</si>
  <si>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</si>
  <si>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</si>
  <si>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</si>
  <si>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</si>
  <si>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</si>
  <si>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</si>
  <si>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</si>
  <si>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</si>
  <si>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</si>
  <si>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</si>
  <si>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</si>
  <si>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</si>
  <si>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</si>
  <si>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</si>
  <si>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</si>
  <si>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</si>
  <si>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</si>
  <si>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</si>
  <si>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</si>
  <si>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</si>
  <si>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</si>
  <si>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</si>
  <si>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</si>
  <si>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</si>
  <si>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</si>
  <si>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</si>
  <si>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</si>
  <si>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</si>
  <si>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</si>
  <si>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</si>
  <si>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</si>
  <si>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</si>
  <si>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</si>
  <si>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</si>
  <si>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</si>
  <si>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</si>
  <si>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</si>
  <si>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</si>
  <si>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</si>
  <si>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</si>
  <si>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</si>
  <si>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</si>
  <si>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</si>
  <si>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</si>
  <si>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</si>
  <si>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</si>
  <si>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</si>
  <si>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</si>
  <si>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</si>
  <si>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</si>
  <si>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</si>
  <si>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</si>
  <si>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</si>
  <si>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</si>
  <si>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</si>
  <si>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</si>
  <si>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</si>
  <si>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</si>
  <si>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</si>
  <si>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</si>
  <si>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</si>
  <si>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</si>
  <si>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</si>
  <si>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</si>
  <si>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</si>
  <si>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</si>
  <si>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</si>
  <si>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</si>
  <si>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</si>
  <si>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</si>
  <si>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</si>
  <si>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</si>
  <si>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</si>
  <si>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</si>
  <si>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</si>
  <si>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</si>
  <si>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</si>
  <si>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</si>
  <si>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</si>
  <si>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</si>
  <si>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</si>
  <si>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</si>
  <si>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</si>
  <si>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</si>
  <si>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</si>
  <si>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</si>
  <si>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</si>
  <si>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</si>
  <si>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</si>
  <si>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</si>
  <si>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</si>
  <si>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</si>
  <si>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</si>
  <si>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</si>
  <si>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</si>
  <si>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</si>
  <si>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</si>
  <si>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</si>
  <si>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</si>
  <si>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</si>
  <si>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</si>
  <si>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</si>
  <si>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</si>
  <si>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</si>
  <si>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</si>
  <si>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</si>
  <si>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</si>
  <si>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</si>
  <si>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</si>
  <si>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</si>
  <si>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</si>
  <si>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</si>
  <si>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</si>
  <si>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</si>
  <si>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</si>
  <si>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</si>
  <si>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</si>
  <si>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</si>
  <si>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</si>
  <si>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</si>
  <si>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</si>
  <si>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</si>
  <si>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</si>
  <si>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</si>
  <si>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</si>
  <si>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</si>
  <si>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</si>
  <si>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</si>
  <si>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</si>
  <si>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</si>
  <si>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</si>
  <si>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</si>
  <si>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</si>
  <si>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</si>
  <si>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</si>
  <si>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</si>
  <si>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</si>
  <si>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</si>
  <si>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</si>
  <si>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</si>
  <si>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</si>
  <si>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</si>
  <si>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</si>
  <si>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</si>
  <si>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</si>
  <si>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</si>
  <si>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</si>
  <si>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</si>
  <si>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</si>
  <si>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</si>
  <si>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</si>
  <si>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</si>
  <si>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</si>
  <si>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</si>
  <si>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</si>
  <si>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</si>
  <si>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</si>
  <si>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</si>
  <si>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</si>
  <si>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</si>
  <si>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</si>
  <si>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</si>
  <si>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</si>
  <si>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</si>
  <si>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</si>
  <si>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</si>
  <si>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</si>
  <si>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</si>
  <si>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</si>
  <si>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</si>
  <si>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</si>
  <si>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</si>
  <si>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</si>
  <si>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</si>
  <si>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</si>
  <si>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</si>
  <si>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</si>
  <si>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</si>
  <si>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</si>
  <si>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</si>
  <si>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</si>
  <si>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</si>
  <si>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</si>
  <si>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</si>
  <si>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</si>
  <si>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</si>
  <si>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</si>
  <si>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</si>
  <si>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</si>
  <si>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</si>
  <si>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</si>
  <si>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</si>
  <si>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</si>
  <si>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</si>
  <si>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</si>
  <si>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</si>
  <si>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</si>
  <si>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</si>
  <si>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</si>
  <si>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</si>
  <si>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</si>
  <si>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</si>
  <si>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</si>
  <si>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</si>
  <si>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</si>
  <si>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</si>
  <si>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</si>
  <si>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</si>
  <si>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</si>
  <si>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</si>
  <si>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</si>
  <si>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</si>
  <si>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</si>
  <si>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</si>
  <si>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</si>
  <si>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</si>
  <si>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</si>
  <si>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</si>
  <si>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</si>
  <si>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</si>
  <si>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</si>
  <si>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</si>
  <si>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</si>
  <si>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</si>
  <si>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</si>
  <si>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</si>
  <si>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</si>
  <si>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</si>
  <si>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</si>
  <si>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</si>
  <si>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</si>
  <si>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</si>
  <si>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</si>
  <si>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</si>
  <si>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</si>
  <si>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</si>
  <si>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</si>
  <si>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</si>
  <si>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</si>
  <si>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</si>
  <si>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</si>
  <si>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</si>
  <si>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</si>
  <si>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</si>
  <si>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</si>
  <si>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</si>
  <si>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</si>
  <si>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</si>
  <si>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</si>
  <si>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</si>
  <si>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</si>
  <si>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</si>
  <si>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</si>
  <si>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</si>
  <si>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</si>
  <si>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</si>
  <si>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</si>
  <si>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</si>
  <si>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</si>
  <si>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</si>
  <si>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</si>
  <si>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</si>
  <si>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</si>
  <si>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</si>
  <si>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</si>
  <si>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</si>
  <si>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</si>
  <si>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</si>
  <si>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</si>
  <si>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</si>
  <si>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</si>
  <si>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</si>
  <si>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</si>
  <si>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</si>
  <si>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</si>
  <si>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</si>
  <si>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</si>
  <si>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</si>
  <si>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</si>
  <si>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</si>
  <si>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</si>
  <si>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</si>
  <si>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</si>
  <si>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</si>
  <si>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</si>
  <si>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</si>
  <si>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</si>
  <si>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</si>
  <si>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</si>
  <si>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</si>
  <si>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</si>
  <si>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</si>
  <si>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</si>
  <si>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</si>
  <si>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</si>
  <si>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</si>
  <si>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</si>
  <si>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</si>
  <si>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</si>
  <si>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</si>
  <si>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</si>
  <si>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</si>
  <si>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</si>
  <si>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</si>
  <si>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</si>
  <si>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</si>
  <si>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</si>
  <si>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</si>
  <si>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</si>
  <si>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</si>
  <si>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</si>
  <si>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</si>
  <si>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</si>
  <si>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</si>
  <si>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</si>
  <si>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</si>
  <si>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</si>
  <si>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</si>
  <si>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</si>
  <si>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</si>
  <si>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</si>
  <si>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</si>
  <si>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</si>
  <si>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</si>
  <si>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</si>
  <si>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</si>
  <si>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</si>
  <si>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</si>
  <si>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</si>
  <si>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</si>
  <si>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</si>
  <si>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</si>
  <si>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</si>
  <si>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</si>
  <si>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</si>
  <si>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</si>
  <si>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</si>
  <si>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</si>
  <si>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</si>
  <si>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</si>
  <si>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</si>
  <si>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</si>
  <si>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</si>
  <si>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</si>
  <si>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</si>
  <si>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</si>
  <si>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</si>
  <si>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</si>
  <si>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</si>
  <si>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</si>
  <si>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</si>
  <si>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</si>
  <si>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</si>
  <si>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</si>
  <si>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</si>
  <si>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</si>
  <si>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</si>
  <si>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</si>
  <si>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</si>
  <si>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</si>
  <si>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</si>
  <si>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</si>
  <si>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</si>
  <si>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</si>
  <si>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</si>
  <si>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</si>
  <si>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</si>
  <si>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</si>
  <si>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</si>
  <si>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</si>
  <si>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</si>
  <si>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</si>
  <si>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</si>
  <si>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</si>
  <si>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</si>
  <si>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</si>
  <si>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</si>
  <si>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</si>
  <si>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</si>
  <si>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</si>
  <si>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</si>
  <si>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</si>
  <si>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</si>
  <si>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</si>
  <si>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</si>
  <si>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</si>
  <si>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</si>
  <si>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</si>
  <si>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</si>
  <si>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</si>
  <si>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</si>
  <si>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</si>
  <si>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</si>
  <si>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</si>
  <si>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</si>
  <si>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</si>
  <si>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</si>
  <si>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</si>
  <si>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</si>
  <si>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</si>
  <si>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</si>
  <si>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</si>
  <si>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</si>
  <si>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</si>
  <si>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</si>
  <si>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</si>
  <si>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</si>
  <si>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</si>
  <si>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</si>
  <si>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</si>
  <si>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</si>
  <si>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</si>
  <si>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</si>
  <si>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</si>
  <si>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</si>
  <si>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</si>
  <si>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</si>
  <si>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</si>
  <si>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</si>
  <si>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</si>
  <si>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</si>
  <si>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</si>
  <si>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</si>
  <si>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</si>
  <si>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</si>
  <si>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</si>
  <si>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</si>
  <si>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</si>
  <si>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</si>
  <si>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</si>
  <si>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</si>
  <si>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</si>
  <si>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</si>
  <si>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</si>
  <si>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</si>
  <si>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</si>
  <si>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</si>
  <si>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</si>
  <si>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</si>
  <si>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</si>
  <si>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</si>
  <si>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</si>
  <si>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</si>
  <si>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</si>
  <si>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</si>
  <si>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</si>
  <si>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</si>
  <si>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</si>
  <si>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</si>
  <si>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</si>
  <si>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</si>
  <si>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</si>
  <si>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</si>
  <si>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</si>
  <si>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</si>
  <si>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</si>
  <si>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</si>
  <si>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</si>
  <si>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</si>
  <si>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</si>
  <si>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</si>
  <si>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</si>
  <si>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</si>
  <si>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</si>
  <si>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</si>
  <si>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</si>
  <si>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</si>
  <si>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</si>
  <si>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</si>
  <si>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</si>
  <si>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</si>
  <si>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</si>
  <si>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</si>
  <si>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</si>
  <si>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</si>
  <si>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</si>
  <si>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</si>
  <si>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</si>
  <si>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</si>
  <si>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</si>
  <si>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</si>
  <si>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</si>
  <si>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</si>
  <si>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</si>
  <si>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</si>
  <si>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</si>
  <si>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</si>
  <si>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</si>
  <si>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</si>
  <si>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</si>
  <si>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</si>
  <si>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</si>
  <si>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</si>
  <si>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</si>
  <si>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</si>
  <si>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</si>
  <si>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</si>
  <si>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</si>
  <si>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</si>
  <si>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</si>
  <si>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</si>
  <si>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</si>
  <si>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</si>
  <si>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</si>
  <si>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</si>
  <si>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</si>
  <si>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</si>
  <si>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</si>
  <si>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</si>
  <si>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</si>
  <si>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</si>
  <si>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</si>
  <si>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</si>
  <si>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</si>
  <si>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</si>
  <si>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</si>
  <si>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</si>
  <si>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</si>
  <si>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</si>
  <si>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</si>
  <si>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</si>
  <si>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</si>
  <si>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</si>
  <si>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</si>
  <si>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</si>
  <si>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</si>
  <si>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</si>
  <si>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</si>
  <si>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</si>
  <si>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</si>
  <si>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</si>
  <si>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</si>
  <si>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</si>
  <si>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</si>
  <si>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</si>
  <si>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</si>
  <si>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</si>
  <si>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</si>
  <si>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</si>
  <si>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</si>
  <si>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</si>
  <si>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</si>
  <si>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</si>
  <si>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</si>
  <si>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</si>
  <si>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</si>
  <si>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</si>
  <si>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</si>
  <si>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</si>
  <si>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</si>
  <si>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</si>
  <si>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</si>
  <si>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</si>
  <si>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</si>
  <si>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</si>
  <si>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</si>
  <si>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</si>
  <si>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</si>
  <si>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</si>
  <si>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</si>
  <si>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</si>
  <si>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</si>
  <si>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</si>
  <si>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</si>
  <si>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</si>
  <si>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</si>
  <si>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</si>
  <si>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</si>
  <si>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</si>
  <si>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</si>
  <si>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</si>
  <si>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</si>
  <si>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</si>
  <si>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</si>
  <si>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</si>
  <si>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</si>
  <si>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</si>
  <si>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</si>
  <si>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</si>
  <si>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</si>
  <si>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</si>
  <si>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</si>
  <si>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</si>
  <si>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</si>
  <si>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</si>
  <si>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</si>
  <si>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</si>
  <si>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</si>
  <si>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</si>
  <si>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</si>
  <si>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</si>
  <si>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</si>
  <si>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</si>
  <si>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</si>
  <si>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</si>
  <si>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</si>
  <si>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</si>
  <si>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</si>
  <si>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</si>
  <si>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</si>
  <si>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</si>
  <si>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</si>
  <si>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</si>
  <si>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</si>
  <si>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</si>
  <si>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</si>
  <si>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</si>
  <si>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</si>
  <si>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</si>
  <si>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</si>
  <si>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</si>
  <si>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</si>
  <si>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</si>
  <si>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</si>
  <si>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</si>
  <si>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</si>
  <si>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</si>
  <si>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</si>
  <si>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</si>
  <si>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</si>
  <si>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</si>
  <si>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</si>
  <si>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</si>
  <si>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</si>
  <si>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</si>
  <si>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</si>
  <si>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</si>
  <si>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</si>
  <si>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</si>
  <si>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</si>
  <si>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</si>
  <si>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</si>
  <si>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</si>
  <si>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</si>
  <si>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</si>
  <si>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</si>
  <si>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</si>
  <si>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</si>
  <si>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</si>
  <si>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</si>
  <si>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</si>
  <si>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</si>
  <si>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</si>
  <si>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</si>
  <si>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</si>
  <si>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</si>
  <si>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</si>
  <si>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</si>
  <si>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</si>
  <si>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</si>
  <si>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</si>
  <si>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</si>
  <si>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</si>
  <si>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</si>
  <si>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</si>
  <si>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</si>
  <si>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</si>
  <si>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</si>
  <si>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</si>
  <si>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</si>
  <si>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</si>
  <si>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</si>
  <si>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</si>
  <si>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</si>
  <si>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</si>
  <si>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</si>
  <si>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</si>
  <si>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</si>
  <si>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</si>
  <si>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</si>
  <si>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</si>
  <si>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</si>
  <si>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</si>
  <si>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</si>
  <si>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</si>
  <si>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</si>
  <si>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</si>
  <si>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</si>
  <si>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</si>
  <si>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</si>
  <si>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</si>
  <si>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</si>
  <si>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</si>
  <si>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</si>
  <si>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</si>
  <si>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</si>
  <si>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</si>
  <si>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</si>
  <si>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</si>
  <si>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</si>
  <si>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</si>
  <si>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</si>
  <si>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</si>
  <si>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</si>
  <si>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</si>
  <si>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</si>
  <si>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</si>
  <si>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</si>
  <si>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</si>
  <si>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</si>
  <si>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</si>
  <si>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</si>
  <si>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</si>
  <si>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</si>
  <si>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</si>
  <si>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</si>
  <si>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</si>
  <si>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</si>
  <si>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</si>
  <si>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</si>
  <si>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</si>
  <si>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</si>
  <si>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</si>
  <si>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</si>
  <si>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</si>
  <si>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</si>
  <si>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</si>
  <si>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</si>
  <si>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</si>
  <si>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</si>
  <si>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</si>
  <si>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</si>
  <si>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</si>
  <si>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</si>
  <si>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</si>
  <si>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</si>
  <si>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</si>
  <si>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</si>
  <si>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</si>
  <si>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</si>
  <si>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</si>
  <si>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</si>
  <si>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</si>
  <si>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</si>
  <si>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</si>
  <si>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</si>
  <si>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</si>
  <si>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</si>
  <si>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</si>
  <si>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</si>
  <si>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</si>
  <si>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</si>
  <si>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</si>
  <si>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</si>
  <si>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</si>
  <si>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</si>
  <si>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</si>
  <si>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</si>
  <si>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</si>
  <si>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</si>
  <si>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</si>
  <si>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</si>
  <si>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</si>
  <si>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</si>
  <si>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</si>
  <si>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</si>
  <si>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</si>
  <si>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</si>
  <si>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</si>
  <si>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</si>
  <si>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</si>
  <si>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</si>
  <si>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</si>
  <si>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</si>
  <si>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</si>
  <si>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</si>
  <si>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</si>
  <si>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</si>
  <si>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</si>
  <si>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</si>
  <si>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</si>
  <si>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</si>
  <si>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</si>
  <si>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</si>
  <si>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</si>
  <si>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</si>
  <si>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</si>
  <si>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</si>
  <si>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</si>
  <si>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</si>
  <si>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</si>
  <si>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</si>
  <si>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</si>
  <si>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</si>
  <si>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</si>
  <si>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</si>
  <si>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</si>
  <si>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</si>
  <si>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</si>
  <si>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</si>
  <si>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</si>
  <si>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</si>
  <si>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</si>
  <si>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</si>
  <si>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</si>
  <si>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</si>
  <si>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</si>
  <si>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</si>
  <si>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</si>
  <si>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</si>
  <si>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</si>
  <si>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</si>
  <si>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</si>
  <si>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</si>
  <si>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</si>
  <si>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</si>
  <si>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</si>
  <si>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</si>
  <si>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</si>
  <si>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</si>
  <si>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</si>
  <si>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</si>
  <si>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</si>
  <si>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</si>
  <si>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</si>
  <si>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</si>
  <si>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</si>
  <si>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</si>
  <si>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</si>
  <si>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</si>
  <si>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</si>
  <si>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</si>
  <si>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</si>
  <si>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</si>
  <si>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</si>
  <si>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</si>
  <si>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</si>
  <si>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Tlb_Ped_Poeder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</si>
  <si>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</si>
  <si>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</si>
  <si>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</si>
  <si>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</si>
  <si>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</si>
  <si>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</si>
  <si>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</si>
  <si>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</si>
  <si>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</si>
  <si>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</si>
  <si>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</si>
  <si>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</si>
  <si>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</si>
  <si>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</si>
  <si>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</si>
  <si>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</si>
  <si>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</si>
  <si>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tblVoedingBasisLijst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</si>
  <si>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</si>
  <si>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</si>
  <si>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</si>
  <si>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</si>
  <si>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</si>
  <si>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</si>
  <si>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</si>
  <si>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</si>
  <si>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</si>
  <si>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</si>
  <si>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</si>
  <si>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</si>
  <si>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</si>
  <si>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</si>
  <si>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</si>
  <si>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</si>
  <si>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</si>
  <si>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</si>
  <si>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</si>
  <si>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</si>
  <si>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</si>
  <si>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</si>
  <si>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</si>
  <si>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</si>
  <si>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</si>
  <si>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</si>
  <si>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</si>
  <si>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</si>
  <si>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</si>
  <si>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</si>
  <si>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</si>
  <si>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</si>
  <si>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</si>
  <si>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</si>
  <si>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</si>
  <si>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</si>
  <si>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</si>
  <si>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</si>
  <si>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</si>
  <si>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</si>
  <si>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</si>
  <si>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</si>
  <si>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</si>
  <si>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</si>
  <si>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</si>
  <si>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</si>
  <si>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</si>
  <si>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</si>
  <si>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</si>
  <si>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</si>
  <si>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</si>
  <si>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</si>
  <si>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</si>
  <si>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</si>
  <si>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</si>
  <si>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</si>
  <si>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</si>
  <si>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</si>
  <si>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</si>
  <si>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</si>
  <si>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</si>
  <si>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</si>
  <si>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</si>
  <si>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</si>
  <si>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</si>
  <si>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</si>
  <si>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</si>
  <si>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</si>
  <si>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</si>
  <si>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</si>
  <si>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</si>
  <si>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</si>
  <si>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</si>
  <si>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</si>
  <si>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</si>
  <si>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</si>
  <si>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</si>
  <si>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</si>
  <si>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</si>
  <si>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</si>
  <si>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</si>
  <si>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</si>
  <si>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</si>
  <si>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</si>
  <si>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</si>
  <si>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</si>
  <si>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</si>
  <si>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</si>
  <si>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</si>
  <si>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</si>
  <si>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</si>
  <si>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</si>
  <si>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</si>
  <si>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</si>
  <si>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</si>
  <si>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</si>
  <si>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</si>
  <si>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</si>
  <si>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</si>
  <si>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</si>
  <si>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</si>
  <si>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</si>
  <si>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</si>
  <si>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</si>
  <si>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</si>
  <si>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</si>
  <si>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</si>
  <si>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</si>
  <si>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</si>
  <si>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</si>
  <si>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</si>
  <si>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</si>
  <si>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</si>
  <si>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</si>
  <si>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</si>
  <si>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</si>
  <si>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</si>
  <si>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</si>
  <si>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</si>
  <si>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</si>
  <si>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</si>
  <si>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</si>
  <si>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</si>
  <si>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</si>
  <si>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</si>
  <si>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</si>
  <si>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</si>
  <si>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</si>
  <si>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</si>
  <si>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</si>
  <si>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</si>
  <si>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</si>
  <si>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</si>
  <si>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</si>
  <si>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</si>
  <si>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</si>
  <si>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</si>
  <si>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</si>
  <si>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</si>
  <si>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</si>
  <si>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</si>
  <si>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</si>
  <si>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</si>
  <si>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</si>
  <si>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</si>
  <si>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</si>
  <si>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</si>
  <si>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</si>
  <si>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</si>
  <si>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</si>
  <si>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</si>
  <si>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</si>
  <si>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</si>
  <si>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</si>
  <si>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</si>
  <si>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</si>
  <si>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PedTblParEnt!$A$12:$M$26</t>
  </si>
  <si>
    <t>PedTblParEnt!$A$4:$M$10</t>
  </si>
  <si>
    <t>PedTblEnt!$D$4:$Q$28</t>
  </si>
  <si>
    <t>PedTblMedIV!$A$4:$B$35</t>
  </si>
  <si>
    <t>PedTblEnt!#REF!</t>
  </si>
  <si>
    <t>PedTblEnt!$A$2:$A$6</t>
  </si>
  <si>
    <t>GlobTblEnt!$A$2:$M$38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</si>
  <si>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</si>
  <si>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</si>
  <si>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</si>
  <si>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</si>
  <si>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</si>
  <si>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</si>
  <si>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</si>
  <si>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</si>
  <si>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</si>
  <si>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</si>
  <si>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</si>
  <si>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</si>
  <si>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</si>
  <si>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</si>
  <si>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</si>
  <si>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</si>
  <si>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</si>
  <si>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</si>
  <si>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</si>
  <si>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</si>
  <si>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</si>
  <si>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PatDetails!$B$15</t>
  </si>
  <si>
    <t>F:=IF(IsEmptyDate(_Pat_OpnDatum),"",DateToString(_Pat_OpnDatum)&amp;" "&amp;B22)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</si>
  <si>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</si>
  <si>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</si>
  <si>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</si>
  <si>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</si>
  <si>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</si>
  <si>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</si>
  <si>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</si>
  <si>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</si>
  <si>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</si>
  <si>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</si>
  <si>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</si>
  <si>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</si>
  <si>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</si>
  <si>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</si>
  <si>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</si>
  <si>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</si>
  <si>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</si>
  <si>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</si>
  <si>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</si>
  <si>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</si>
  <si>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</si>
  <si>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</si>
  <si>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</si>
  <si>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</si>
  <si>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</si>
  <si>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</si>
  <si>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</si>
  <si>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</si>
  <si>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</si>
  <si>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</si>
  <si>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</si>
  <si>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</si>
  <si>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</si>
  <si>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</si>
  <si>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</si>
  <si>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</si>
  <si>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</si>
  <si>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</si>
  <si>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</si>
  <si>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</si>
  <si>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</si>
  <si>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</si>
  <si>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</si>
  <si>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</si>
  <si>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</si>
  <si>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</si>
  <si>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</si>
  <si>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</si>
  <si>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</si>
  <si>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</si>
  <si>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</si>
  <si>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</si>
  <si>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</si>
  <si>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</si>
  <si>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</si>
  <si>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</si>
  <si>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</si>
  <si>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</si>
  <si>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</si>
  <si>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</si>
  <si>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</si>
  <si>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</si>
  <si>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</si>
  <si>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</si>
  <si>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</si>
  <si>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</si>
  <si>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</si>
  <si>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</si>
  <si>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</si>
  <si>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</si>
  <si>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</si>
  <si>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</si>
  <si>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</si>
  <si>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</si>
  <si>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</si>
  <si>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</si>
  <si>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</si>
  <si>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</si>
  <si>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</si>
  <si>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</si>
  <si>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</si>
  <si>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</si>
  <si>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</si>
  <si>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</si>
  <si>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</si>
  <si>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</si>
  <si>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</si>
  <si>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</si>
  <si>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</si>
  <si>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</si>
  <si>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</si>
  <si>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</si>
  <si>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</si>
  <si>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</si>
  <si>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</si>
  <si>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</si>
  <si>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</si>
  <si>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</si>
  <si>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</si>
  <si>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</si>
  <si>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</si>
  <si>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</si>
  <si>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NeoTblLijst!#REF!</t>
  </si>
  <si>
    <t>NeoTblLijst!$F$2:$F$3</t>
  </si>
  <si>
    <t>NeoTblLijst!$C$2:$C$4</t>
  </si>
  <si>
    <t>NeoTblLijst!$D$2:$D$12</t>
  </si>
  <si>
    <t>NeoTblLijst!$A$2:$A$17</t>
  </si>
  <si>
    <t>PedTblMedIV!$B$4:$S$35</t>
  </si>
  <si>
    <t>PedTblMedIV!$U$4:$U$7</t>
  </si>
  <si>
    <t>NeoBerInfB!$AJ$23</t>
  </si>
  <si>
    <t>F:=IF(B23&gt;1,CONCATENATE(J23," ",K23," in ",L23," ",M23,", ",N23," = ",G23," ",O23," (in ",Q23, ")"),"")</t>
  </si>
  <si>
    <t>NeoBerInfB!$AJ$24</t>
  </si>
  <si>
    <t>F:=IF(B24&gt;1,CONCATENATE(J24," ",K24," in ",L24," ",M24,", ",N24," = ",G24," ",O24," (in ",Q24, ")"),"")</t>
  </si>
  <si>
    <t>NeoBerInfB!$AJ$25</t>
  </si>
  <si>
    <t>F:=IF(B25&gt;1,CONCATENATE(J25," ",K25," in ",L25," ",M25,", ",N25," = ",G25," ",O25," (in ",Q25, ")"),"")</t>
  </si>
  <si>
    <t>NeoBerInfB!$AJ$26</t>
  </si>
  <si>
    <t>F:=IF(B26&gt;1,CONCATENATE(J26," ",K26," in ",L26," ",M26,", ",N26," = ",G26," ",O26," (in ",Q26, ")"),"")</t>
  </si>
  <si>
    <t>NeoBerInfB!$AJ$27</t>
  </si>
  <si>
    <t>F:=IF(B27&gt;1,CONCATENATE(J27," ",K27," in ",L27," ",M27,", ",N27," = ",G27," ",O27," (in ",Q27, ")"),"")</t>
  </si>
  <si>
    <t>NeoBerInfB!$AJ$28</t>
  </si>
  <si>
    <t>F:=IF(B28&gt;1,CONCATENATE(J28," ",K28," in ",L28," ",M28,", ",N28," = ",G28," ",O28," (in ",Q28, ")"),"")</t>
  </si>
  <si>
    <t>NeoBerInfB!$AJ$29</t>
  </si>
  <si>
    <t>F:=IF(B29&gt;1,CONCATENATE(J29," ",K29," in ",L29," ",M29,", ",N29," = ",G29," ",O29," (in ",Q29, ")"),"")</t>
  </si>
  <si>
    <t>NeoBerInfB!$AJ$30</t>
  </si>
  <si>
    <t>F:=IF(B30&gt;1,CONCATENATE(J30," ",K30," in ",L30," ",M30,", ",N30," = ",G30," ",O30," (in ",Q30, ")"),"")</t>
  </si>
  <si>
    <t>NeoBerInfB!$AJ$31</t>
  </si>
  <si>
    <t>F:=IF(B31&gt;1,CONCATENATE(J31," ",K31," in ",L31," ",M31,", ",N31," = ",G31," ",O31," (in ",Q31, ")"),"")</t>
  </si>
  <si>
    <t>NeoBerInfB!$AJ$33</t>
  </si>
  <si>
    <t>F:=IF(M33="","",CONCATENATE(A33," ",M33," ",N33))</t>
  </si>
  <si>
    <t>NeoBerInfB!$AJ$34</t>
  </si>
  <si>
    <t>F:=IF(M34="","",CONCATENATE(A34," ",M34," ",N34))</t>
  </si>
  <si>
    <t>NeoBerInfB!$AJ$35</t>
  </si>
  <si>
    <t>F:=IF(M35="","",CONCATENATE(A35," ",M35," ",N35))</t>
  </si>
  <si>
    <t>NeoBerInfB!$AJ$36</t>
  </si>
  <si>
    <t>F:=IF(B36="","",B36)</t>
  </si>
  <si>
    <t>NeoBerInfB!$AJ$37</t>
  </si>
  <si>
    <t>F:=IF(B37="","",B37)</t>
  </si>
  <si>
    <t>NeoBerInfB!$AJ$40</t>
  </si>
  <si>
    <t>F:=IF(C40&lt;&gt;0,CONCATENATE("Intralipid 20% (incl.vitintra) ",ROUNDUP(C40/24,1)," ml/uur"),"")</t>
  </si>
  <si>
    <t>NeoBerInfB!$AJ$41</t>
  </si>
  <si>
    <t>NeoBerInfB!$AJ$42</t>
  </si>
  <si>
    <t>F:=IF(L42="","",M42&amp;" "&amp;L42)</t>
  </si>
  <si>
    <t>NeoBerInfB!$AJ$43</t>
  </si>
  <si>
    <t>F:=IF(L43="","",M43&amp;" "&amp;L43)</t>
  </si>
  <si>
    <t>NeoBerInfB!$AJ$44</t>
  </si>
  <si>
    <t>F:=IF(L44="","",M44&amp;" "&amp;L44)</t>
  </si>
  <si>
    <t>NeoBerInfB!$AJ$45</t>
  </si>
  <si>
    <t>F:=IF(L45="","",M45&amp;" "&amp;L45)</t>
  </si>
  <si>
    <t>NeoBerInfB!$AJ$46</t>
  </si>
  <si>
    <t>F:=IF(L46="","",M46&amp;" "&amp;L46)</t>
  </si>
  <si>
    <t>NeoBerInfB!$AJ$47</t>
  </si>
  <si>
    <t>F:=IF(L47="","",M47&amp;" "&amp;L47)</t>
  </si>
  <si>
    <t>NeoBerInfB!$AJ$48</t>
  </si>
  <si>
    <t>F:=IF(L48="","",M48&amp;" "&amp;L48)</t>
  </si>
  <si>
    <t>NeoBerInfB!$AJ$49</t>
  </si>
  <si>
    <t>F:=IF(L49="","",M49&amp;" "&amp;L49)</t>
  </si>
  <si>
    <t>NeoBerInfB!$AJ$50</t>
  </si>
  <si>
    <t>F:=IF(L50="","",M50&amp;" "&amp;L50)</t>
  </si>
  <si>
    <t>NeoBerInfB!$AJ$22</t>
  </si>
  <si>
    <t>F:=IF(B22&gt;0,CONCATENATE(A22," ",B22/10," ml/uur"),"")</t>
  </si>
  <si>
    <t>NeoBerInfB!$AJ$7</t>
  </si>
  <si>
    <t>NeoBerInfB!$AJ$9</t>
  </si>
  <si>
    <t>F:=IF(M9="","",CONCATENATE(M9," ",IF(F9&gt;0,F9&amp;" x "&amp;L9,""), IF(F10&gt;0," en "&amp;F10&amp;" x "&amp;L10,"")," ","(= ",T9," ml)"))</t>
  </si>
  <si>
    <t>NeoBerInfB!$AJ$11</t>
  </si>
  <si>
    <t>F:=IF(K11="","", CONCATENATE(M11," ",K11," = (",L11,")"))</t>
  </si>
  <si>
    <t>NeoBerInfB!$AJ$12</t>
  </si>
  <si>
    <t>F:=IF(K12="","", CONCATENATE(M12," ",K12," = (",L12,")"))</t>
  </si>
  <si>
    <t>NeoBerInfB!$AJ$13</t>
  </si>
  <si>
    <t>F:=IF(K13="","", CONCATENATE(M13," ",K13," = (",L13,")"))</t>
  </si>
  <si>
    <t>NeoBerInfB!$AJ$14</t>
  </si>
  <si>
    <t>F:=IF(K14="","", CONCATENATE(M14," ",K14," = (",L14,")"))</t>
  </si>
  <si>
    <t>NeoBerInfB!$AJ$15</t>
  </si>
  <si>
    <t>F:=IF(K15="","", CONCATENATE(M15," ",K15," = (",L15,")"))</t>
  </si>
  <si>
    <t>NeoBerInfB!$AJ$16</t>
  </si>
  <si>
    <t>F:=IF(K16="","", CONCATENATE(M16," ",K16," = (",L16,")"))</t>
  </si>
  <si>
    <t>NeoBerInfB!$AJ$17</t>
  </si>
  <si>
    <t>F:=IF(K17="","", CONCATENATE(M17," ",K17," = (",L17,")"))</t>
  </si>
  <si>
    <t>NeoBerInfB!$AJ$18</t>
  </si>
  <si>
    <t>F:=IF(K18="","", CONCATENATE(M18," ",K18," = (",L18,")"))</t>
  </si>
  <si>
    <t>NeoBerInfB!$AJ$19</t>
  </si>
  <si>
    <t>F:=IF(K19="","", CONCATENATE(M19," ",K19," = (",L19,")"))</t>
  </si>
  <si>
    <t>NeoBerInfB!$AJ$6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</si>
  <si>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</si>
  <si>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</si>
  <si>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</si>
  <si>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</si>
  <si>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F:=IF(NeoBerInfB!$T$44&gt;0,IF(_Neo_1700_TPN_DagKeuze=1,NeoBerInfB!$C$44-M10,0),"")</t>
  </si>
  <si>
    <t>F:=IF(NeoBerInfB!$T$44&gt;0,TRUNC(NeoBerInfB!$C$44),"")</t>
  </si>
  <si>
    <t>F:=IF(NeoBerInfB!$T$50&gt;0,(NeoBerInfB!$T$50-M16)*100,"")</t>
  </si>
  <si>
    <t>F:=IF(NeoBerInfB!$T$50&gt;0,TRUNC(NeoBerInfB!$T$50),"")</t>
  </si>
  <si>
    <t>F:=INDEX(Tbl_Neo_OplVlst,NeoBerInfB!D50+1,1)</t>
  </si>
  <si>
    <t>F:=IF(NeoBerInfB!$T$43&gt;0,IF(_Neo_1700_TPN_DagKeuze&lt;&gt;2,(NeoBerInfB!$C$43-M9)*100,0),"")</t>
  </si>
  <si>
    <t>F:=IF(NeoBerInfB!$T$43&gt;0,IF(_Neo_1700_TPN_DagKeuze&lt;&gt;2,TRUNC(NeoBerInfB!$C$43),0),"")</t>
  </si>
  <si>
    <t>F:=IF(NeoBerInfB!$T$45&gt;0,IF(_Neo_1700_TPN_DagKeuze=1,(NeoBerInfB!$C$45-M11)*100,0),"")</t>
  </si>
  <si>
    <t>F:=IF(NeoBerInfB!$T$45&gt;0,TRUNC(NeoBerInfB!$C$45),"")</t>
  </si>
  <si>
    <t>F:=IF(NeoBerInfB!$T$42&gt;0,IF(_Neo_1700_TPN_DagKeuze&lt;&gt;2,(NeoBerInfB!$C$42-M8)*100,0),"")</t>
  </si>
  <si>
    <t>F:=IF(NeoBerInfB!$T$42&gt;0,IF(Var_Neo_InfB_TPN_DagKeuze&lt;&gt;2,TRUNC(NeoBerInfB!$C$42),0),"")</t>
  </si>
  <si>
    <t>F:=IF(Var_Neo_InfB_TPN_DagKeuze=2,(NeoBerInfB!$C$48-M14)*100,"")</t>
  </si>
  <si>
    <t>F:=IF(Var_Neo_InfB_TPN_DagKeuze=2,TRUNC(NeoBerInfB!$C$48),"")</t>
  </si>
  <si>
    <t>F:=IF(NeoBerInfB!$T$47&gt;0,IF(_Neo_1700_TPN_DagKeuze&lt;&gt;1,(NeoBerInfB!$C$47-M13)*100,0),"")</t>
  </si>
  <si>
    <t>F:=IF(NeoBerInfB!$T$47&gt;0,TRUNC(NeoBerInfB!$C$47),"")</t>
  </si>
  <si>
    <t>F:=IF(Var_Neo_InfB_TPN_DagKeuze=3,(NeoBerInfB!$C$49-M15)*100,"")</t>
  </si>
  <si>
    <t>F:=IF(Var_Neo_InfB_TPN_DagKeuze=3,TRUNC(NeoBerInfB!$C$49),"")</t>
  </si>
  <si>
    <t>F:=IF(NeoBerInfB!$T$46&gt;0,IF(_Neo_1700_TPN_DagKeuze=1,(NeoBerInfB!$C$46-M12)*100,0),"")</t>
  </si>
  <si>
    <t>F:=IF(NeoBerInfB!$T$46&gt;0,TRUNC(NeoBerInfB!$C$46),"")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</si>
  <si>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</si>
  <si>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</si>
  <si>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</si>
  <si>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</si>
  <si>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</si>
  <si>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</si>
  <si>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</si>
  <si>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</si>
  <si>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</si>
  <si>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</si>
  <si>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</si>
  <si>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</si>
  <si>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</si>
  <si>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</si>
  <si>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</si>
  <si>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</si>
  <si>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</si>
  <si>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</si>
  <si>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</si>
  <si>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</si>
  <si>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</si>
  <si>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</si>
  <si>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</si>
  <si>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</si>
  <si>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</si>
  <si>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</si>
  <si>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</si>
  <si>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</si>
  <si>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</si>
  <si>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</si>
  <si>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</si>
  <si>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</si>
  <si>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</si>
  <si>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</si>
  <si>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</si>
  <si>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</si>
  <si>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</si>
  <si>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</si>
  <si>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</si>
  <si>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</si>
  <si>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</si>
  <si>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</si>
  <si>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</si>
  <si>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</si>
  <si>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</si>
  <si>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</si>
  <si>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</si>
  <si>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</si>
  <si>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</si>
  <si>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</si>
  <si>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</si>
  <si>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</si>
  <si>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</si>
  <si>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</si>
  <si>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</si>
  <si>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</si>
  <si>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</si>
  <si>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</si>
  <si>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</si>
  <si>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</si>
  <si>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</si>
  <si>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</si>
  <si>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</si>
  <si>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</si>
  <si>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</si>
  <si>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</si>
  <si>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</si>
  <si>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</si>
  <si>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</si>
  <si>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</si>
  <si>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</si>
  <si>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</si>
  <si>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</si>
  <si>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</si>
  <si>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</si>
  <si>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</si>
  <si>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</si>
  <si>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</si>
  <si>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</si>
  <si>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</si>
  <si>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</si>
  <si>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</si>
  <si>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</si>
  <si>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</si>
  <si>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</si>
  <si>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</si>
  <si>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</si>
  <si>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</si>
  <si>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</si>
  <si>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</si>
  <si>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</si>
  <si>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</si>
  <si>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</si>
  <si>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</si>
  <si>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</si>
  <si>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</si>
  <si>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</si>
  <si>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</si>
  <si>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</si>
  <si>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</si>
  <si>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</si>
  <si>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</si>
  <si>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F:=INDEX(tbl_Neo_NutrBMFWaard,F11)</t>
  </si>
  <si>
    <t>NeoBerInfB!$H$12</t>
  </si>
  <si>
    <t>F:=INDEX(tbl_Neo_NutrToevWaard,F12)</t>
  </si>
  <si>
    <t>NeoBerInfB!$H$13</t>
  </si>
  <si>
    <t>F:=INDEX(tbl_Neo_NutrToevWaard,F13)</t>
  </si>
  <si>
    <t>NeoBerInfB!$H$14</t>
  </si>
  <si>
    <t>F:=INDEX(tbl_Neo_NutrToevWaard,F14)</t>
  </si>
  <si>
    <t>NeoBerInfB!$H$15</t>
  </si>
  <si>
    <t>F:=INDEX(tbl_Neo_NutrToevWaard,F15)</t>
  </si>
  <si>
    <t>NeoBerInfB!$H$16</t>
  </si>
  <si>
    <t>F:=INDEX(tbl_Neo_NutrToevWaard,F16)</t>
  </si>
  <si>
    <t>NeoBerInfB!$H$17</t>
  </si>
  <si>
    <t>F:=INDEX(tbl_Neo_NutrToevWaard,F17)</t>
  </si>
  <si>
    <t>NeoBerInfB!$H$18</t>
  </si>
  <si>
    <t>F:=INDEX(tbl_Neo_NutrToevWaard,F18)</t>
  </si>
  <si>
    <t>NeoBerInfB!$H$19</t>
  </si>
  <si>
    <t>F:=INDEX(tbl_Neo_NutrToevWaard,F19)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</si>
  <si>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</si>
  <si>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</si>
  <si>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</si>
  <si>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</si>
  <si>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</si>
  <si>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</si>
  <si>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</si>
  <si>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</si>
  <si>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</si>
  <si>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</si>
  <si>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</si>
  <si>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</si>
  <si>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</si>
  <si>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</si>
  <si>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</si>
  <si>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</si>
  <si>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</si>
  <si>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</si>
  <si>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Actuele Afspraken</t>
  </si>
  <si>
    <t>_Neo_InfB_Ent_Extra</t>
  </si>
  <si>
    <t>Afspraken Programma 2017</t>
  </si>
  <si>
    <t>Informedica</t>
  </si>
  <si>
    <t>Medicatie 14</t>
  </si>
  <si>
    <t>Medicatie 15</t>
  </si>
  <si>
    <t>GlobTblParEnt!$A$5:$M$44</t>
  </si>
  <si>
    <t>PatData!$A$1:$B$781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</si>
  <si>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</si>
  <si>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</si>
  <si>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</si>
  <si>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</si>
  <si>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</si>
  <si>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</si>
  <si>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</si>
  <si>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</si>
  <si>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</si>
  <si>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</si>
  <si>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</si>
  <si>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</si>
  <si>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</si>
  <si>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</si>
  <si>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</si>
  <si>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</si>
  <si>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</si>
  <si>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</si>
  <si>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</si>
  <si>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</si>
  <si>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NeoBerInfB!$AJ$32</t>
  </si>
  <si>
    <t>F:=IF(B32&gt;1,CONCATENATE(J32," ",K32," in ",L32," ",M32,", ",N32," = ",G32," ",O32," (in ",Q32, ")"),"")</t>
  </si>
  <si>
    <t>F:=IF(AND(_Pat_Gewicht&gt;0,T54&gt;0),CONCATENATE("Vochtintake: ",T54/(_Pat_Gewicht/10)," ","ml/kg/dag"," ","(= ",T54," ml/dag)"),"")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</si>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</sst>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/>
      <top style="thick">
        <color rgb="FFF2F2F2"/>
      </top>
      <bottom/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34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0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32" xfId="0" applyFont="1" applyFill="1" applyBorder="1"/>
    <xf numFmtId="0" fontId="17" fillId="25" borderId="33" xfId="0" applyFont="1" applyFill="1" applyBorder="1"/>
    <xf numFmtId="0" fontId="17" fillId="25" borderId="34" xfId="0" applyFont="1" applyFill="1" applyBorder="1"/>
    <xf numFmtId="0" fontId="22" fillId="25" borderId="7" xfId="0" quotePrefix="1" applyNumberFormat="1" applyFont="1" applyFill="1" applyBorder="1"/>
    <xf numFmtId="0" fontId="22" fillId="25" borderId="35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/>
    <xf numFmtId="0" fontId="20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0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0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6" xfId="0" applyFont="1" applyFill="1" applyBorder="1" applyProtection="1"/>
    <xf numFmtId="0" fontId="12" fillId="0" borderId="36" xfId="0" applyFont="1" applyFill="1" applyBorder="1" applyProtection="1"/>
    <xf numFmtId="0" fontId="20" fillId="0" borderId="36" xfId="0" applyFont="1" applyFill="1" applyBorder="1" applyProtection="1"/>
    <xf numFmtId="0" fontId="16" fillId="24" borderId="37" xfId="0" applyFont="1" applyFill="1" applyBorder="1" applyProtection="1"/>
    <xf numFmtId="0" fontId="12" fillId="0" borderId="37" xfId="0" applyFont="1" applyFill="1" applyBorder="1" applyProtection="1"/>
    <xf numFmtId="0" fontId="20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3" xfId="0" applyFont="1" applyBorder="1" applyAlignment="1">
      <alignment vertical="top" wrapText="1"/>
    </xf>
    <xf numFmtId="0" fontId="19" fillId="0" borderId="33" xfId="0" applyFont="1" applyBorder="1" applyAlignment="1">
      <alignment horizontal="right" vertical="top" wrapText="1"/>
    </xf>
    <xf numFmtId="0" fontId="19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6" xfId="0" applyFont="1" applyFill="1" applyBorder="1" applyProtection="1"/>
    <xf numFmtId="0" fontId="48" fillId="0" borderId="0" xfId="0" applyFont="1" applyFill="1" applyBorder="1" applyProtection="1"/>
    <xf numFmtId="0" fontId="48" fillId="0" borderId="37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20" fillId="26" borderId="0" xfId="0" applyFont="1" applyFill="1" applyProtection="1"/>
    <xf numFmtId="0" fontId="11" fillId="26" borderId="0" xfId="0" applyFont="1" applyFill="1" applyProtection="1"/>
    <xf numFmtId="0" fontId="20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0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0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5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0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4" fillId="0" borderId="35" xfId="42" applyNumberFormat="1" applyFont="1" applyFill="1" applyBorder="1" applyAlignment="1">
      <alignment horizontal="right"/>
    </xf>
    <xf numFmtId="170" fontId="54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51" xfId="42" applyNumberFormat="1" applyFont="1" applyFill="1" applyBorder="1" applyAlignment="1">
      <alignment horizontal="right"/>
    </xf>
    <xf numFmtId="170" fontId="55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4" fillId="0" borderId="61" xfId="42" applyNumberFormat="1" applyFont="1" applyFill="1" applyBorder="1" applyAlignment="1">
      <alignment horizontal="right"/>
    </xf>
    <xf numFmtId="170" fontId="54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62" xfId="42" applyNumberFormat="1" applyFont="1" applyFill="1" applyBorder="1" applyAlignment="1">
      <alignment horizontal="right"/>
    </xf>
    <xf numFmtId="170" fontId="54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3" xfId="42" applyFont="1" applyFill="1" applyBorder="1" applyAlignment="1">
      <alignment horizontal="right"/>
    </xf>
    <xf numFmtId="0" fontId="52" fillId="0" borderId="32" xfId="42" applyFont="1" applyFill="1" applyBorder="1"/>
    <xf numFmtId="0" fontId="10" fillId="0" borderId="33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58" fillId="25" borderId="61" xfId="42" applyNumberFormat="1" applyFont="1" applyFill="1" applyBorder="1" applyAlignment="1">
      <alignment horizontal="right"/>
    </xf>
    <xf numFmtId="170" fontId="58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62" xfId="42" applyNumberFormat="1" applyFont="1" applyFill="1" applyBorder="1" applyAlignment="1">
      <alignment horizontal="right"/>
    </xf>
    <xf numFmtId="170" fontId="58" fillId="25" borderId="62" xfId="42" applyNumberFormat="1" applyFont="1" applyFill="1" applyBorder="1" applyAlignment="1">
      <alignment horizontal="right"/>
    </xf>
    <xf numFmtId="0" fontId="27" fillId="25" borderId="57" xfId="42" applyFont="1" applyFill="1" applyBorder="1"/>
    <xf numFmtId="0" fontId="27" fillId="25" borderId="40" xfId="42" applyFont="1" applyFill="1" applyBorder="1"/>
    <xf numFmtId="0" fontId="59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51" xfId="42" applyFont="1" applyFill="1" applyBorder="1"/>
    <xf numFmtId="1" fontId="58" fillId="0" borderId="33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58" fillId="0" borderId="62" xfId="42" applyNumberFormat="1" applyFont="1" applyBorder="1" applyAlignment="1">
      <alignment horizontal="right"/>
    </xf>
    <xf numFmtId="170" fontId="58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7" fillId="0" borderId="57" xfId="42" applyFont="1" applyBorder="1"/>
    <xf numFmtId="0" fontId="27" fillId="0" borderId="40" xfId="42" applyFont="1" applyBorder="1"/>
    <xf numFmtId="0" fontId="59" fillId="0" borderId="40" xfId="42" applyFont="1" applyBorder="1"/>
    <xf numFmtId="0" fontId="27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59" fillId="0" borderId="51" xfId="42" applyFont="1" applyBorder="1"/>
    <xf numFmtId="1" fontId="58" fillId="0" borderId="51" xfId="42" applyNumberFormat="1" applyFont="1" applyBorder="1" applyAlignment="1">
      <alignment horizontal="right"/>
    </xf>
    <xf numFmtId="170" fontId="58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2" fillId="0" borderId="33" xfId="42" applyFont="1" applyBorder="1"/>
    <xf numFmtId="0" fontId="10" fillId="0" borderId="34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63" xfId="0" applyBorder="1"/>
    <xf numFmtId="0" fontId="6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6" fillId="0" borderId="0" xfId="42" applyFont="1" applyFill="1" applyBorder="1"/>
    <xf numFmtId="171" fontId="10" fillId="0" borderId="0" xfId="42" applyNumberFormat="1" applyFont="1" applyFill="1" applyBorder="1" applyAlignment="1">
      <alignment horizontal="left"/>
    </xf>
    <xf numFmtId="171" fontId="6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6" fillId="0" borderId="0" xfId="42" applyFont="1" applyFill="1"/>
    <xf numFmtId="0" fontId="10" fillId="25" borderId="0" xfId="42" applyFont="1" applyFill="1" applyBorder="1"/>
    <xf numFmtId="0" fontId="63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1" fillId="0" borderId="0" xfId="0" applyFont="1" applyFill="1" applyProtection="1"/>
    <xf numFmtId="0" fontId="64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5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64" xfId="0" applyFont="1" applyBorder="1"/>
    <xf numFmtId="0" fontId="10" fillId="0" borderId="64" xfId="0" applyFont="1" applyBorder="1"/>
    <xf numFmtId="0" fontId="0" fillId="0" borderId="64" xfId="0" applyBorder="1"/>
    <xf numFmtId="0" fontId="12" fillId="0" borderId="0" xfId="43" applyFont="1"/>
    <xf numFmtId="0" fontId="10" fillId="0" borderId="0" xfId="43"/>
    <xf numFmtId="0" fontId="10" fillId="0" borderId="63" xfId="43" applyBorder="1"/>
    <xf numFmtId="0" fontId="12" fillId="0" borderId="64" xfId="43" applyFont="1" applyBorder="1"/>
    <xf numFmtId="0" fontId="10" fillId="0" borderId="0" xfId="43" applyFont="1"/>
    <xf numFmtId="0" fontId="10" fillId="0" borderId="64" xfId="43" applyFont="1" applyBorder="1"/>
    <xf numFmtId="0" fontId="10" fillId="0" borderId="0" xfId="43" applyFont="1" applyBorder="1"/>
    <xf numFmtId="0" fontId="10" fillId="0" borderId="64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63" xfId="0" applyBorder="1" applyProtection="1">
      <protection locked="0"/>
    </xf>
    <xf numFmtId="0" fontId="10" fillId="0" borderId="0" xfId="43" applyProtection="1">
      <protection locked="0"/>
    </xf>
    <xf numFmtId="0" fontId="10" fillId="0" borderId="63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20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0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64" xfId="42" applyBorder="1"/>
    <xf numFmtId="0" fontId="10" fillId="0" borderId="63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2" fillId="0" borderId="0" xfId="0" applyFont="1" applyAlignment="1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9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70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71" fillId="0" borderId="0" xfId="0" applyFont="1" applyFill="1" applyBorder="1"/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22" fillId="0" borderId="0" xfId="0" applyFont="1" applyFill="1" applyBorder="1"/>
    <xf numFmtId="0" fontId="19" fillId="0" borderId="27" xfId="0" applyFont="1" applyFill="1" applyBorder="1"/>
    <xf numFmtId="0" fontId="19" fillId="0" borderId="28" xfId="0" applyFont="1" applyFill="1" applyBorder="1"/>
    <xf numFmtId="0" fontId="19" fillId="0" borderId="29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29" xfId="0" applyFont="1" applyFill="1" applyBorder="1"/>
    <xf numFmtId="0" fontId="19" fillId="0" borderId="39" xfId="0" applyFont="1" applyFill="1" applyBorder="1"/>
    <xf numFmtId="0" fontId="19" fillId="0" borderId="39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63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48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6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48" fillId="0" borderId="36" xfId="42" applyFont="1" applyFill="1" applyBorder="1" applyProtection="1"/>
    <xf numFmtId="0" fontId="48" fillId="0" borderId="0" xfId="42" applyFont="1" applyFill="1" applyBorder="1" applyProtection="1"/>
    <xf numFmtId="0" fontId="48" fillId="0" borderId="37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5" fillId="0" borderId="0" xfId="42" applyFont="1"/>
    <xf numFmtId="0" fontId="12" fillId="0" borderId="65" xfId="42" applyFont="1" applyFill="1" applyBorder="1" applyProtection="1"/>
    <xf numFmtId="0" fontId="10" fillId="27" borderId="0" xfId="42" applyFill="1" applyProtection="1">
      <protection locked="0"/>
    </xf>
    <xf numFmtId="0" fontId="10" fillId="27" borderId="0" xfId="42" applyFill="1"/>
    <xf numFmtId="0" fontId="10" fillId="28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7" borderId="0" xfId="0" applyFill="1"/>
    <xf numFmtId="0" fontId="10" fillId="27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9" fillId="29" borderId="0" xfId="0" applyFont="1" applyFill="1"/>
    <xf numFmtId="0" fontId="80" fillId="30" borderId="0" xfId="0" applyFont="1" applyFill="1"/>
    <xf numFmtId="0" fontId="80" fillId="31" borderId="0" xfId="0" applyFont="1" applyFill="1"/>
    <xf numFmtId="0" fontId="80" fillId="32" borderId="0" xfId="0" applyFont="1" applyFill="1"/>
    <xf numFmtId="0" fontId="80" fillId="33" borderId="0" xfId="0" applyFont="1" applyFill="1"/>
    <xf numFmtId="0" fontId="81" fillId="34" borderId="0" xfId="0" applyFont="1" applyFill="1"/>
    <xf numFmtId="0" fontId="80" fillId="35" borderId="0" xfId="0" applyFont="1" applyFill="1"/>
    <xf numFmtId="0" fontId="49" fillId="36" borderId="70" xfId="0" applyFont="1" applyFill="1" applyBorder="1" applyProtection="1"/>
    <xf numFmtId="0" fontId="49" fillId="36" borderId="71" xfId="0" applyFont="1" applyFill="1" applyBorder="1" applyProtection="1"/>
    <xf numFmtId="0" fontId="80" fillId="30" borderId="0" xfId="0" applyFont="1" applyFill="1" applyBorder="1" applyProtection="1"/>
    <xf numFmtId="0" fontId="80" fillId="30" borderId="0" xfId="0" applyFont="1" applyFill="1" applyBorder="1"/>
    <xf numFmtId="0" fontId="80" fillId="30" borderId="0" xfId="0" applyFont="1" applyFill="1" applyBorder="1" applyAlignment="1">
      <alignment horizontal="center"/>
    </xf>
    <xf numFmtId="0" fontId="80" fillId="31" borderId="0" xfId="0" applyFont="1" applyFill="1" applyBorder="1" applyAlignment="1">
      <alignment horizontal="left"/>
    </xf>
    <xf numFmtId="15" fontId="80" fillId="31" borderId="0" xfId="0" applyNumberFormat="1" applyFont="1" applyFill="1" applyBorder="1" applyAlignment="1">
      <alignment horizontal="left"/>
    </xf>
    <xf numFmtId="0" fontId="80" fillId="31" borderId="0" xfId="0" applyFont="1" applyFill="1" applyBorder="1" applyAlignment="1"/>
    <xf numFmtId="15" fontId="80" fillId="31" borderId="0" xfId="0" applyNumberFormat="1" applyFont="1" applyFill="1" applyBorder="1" applyAlignment="1" applyProtection="1">
      <alignment horizontal="left"/>
      <protection locked="0"/>
    </xf>
    <xf numFmtId="0" fontId="80" fillId="31" borderId="0" xfId="0" applyFont="1" applyFill="1" applyBorder="1" applyAlignment="1" applyProtection="1">
      <alignment horizontal="left"/>
      <protection locked="0"/>
    </xf>
    <xf numFmtId="0" fontId="82" fillId="31" borderId="0" xfId="0" applyFont="1" applyFill="1" applyBorder="1" applyAlignment="1">
      <alignment horizontal="left"/>
    </xf>
    <xf numFmtId="49" fontId="80" fillId="31" borderId="0" xfId="0" applyNumberFormat="1" applyFont="1" applyFill="1" applyBorder="1" applyAlignment="1">
      <alignment horizontal="left"/>
    </xf>
    <xf numFmtId="1" fontId="80" fillId="31" borderId="0" xfId="0" applyNumberFormat="1" applyFont="1" applyFill="1" applyBorder="1" applyAlignment="1">
      <alignment horizontal="left"/>
    </xf>
    <xf numFmtId="0" fontId="80" fillId="33" borderId="0" xfId="0" applyFont="1" applyFill="1" applyBorder="1" applyProtection="1"/>
    <xf numFmtId="0" fontId="10" fillId="29" borderId="0" xfId="0" applyFont="1" applyFill="1" applyBorder="1" applyProtection="1"/>
    <xf numFmtId="0" fontId="12" fillId="29" borderId="0" xfId="0" applyFont="1" applyFill="1" applyBorder="1" applyProtection="1"/>
    <xf numFmtId="0" fontId="67" fillId="29" borderId="0" xfId="0" applyFont="1" applyFill="1" applyBorder="1" applyProtection="1"/>
    <xf numFmtId="0" fontId="11" fillId="29" borderId="0" xfId="0" applyFont="1" applyFill="1" applyProtection="1"/>
    <xf numFmtId="0" fontId="20" fillId="29" borderId="0" xfId="0" applyFont="1" applyFill="1" applyBorder="1" applyProtection="1">
      <protection locked="0"/>
    </xf>
    <xf numFmtId="0" fontId="20" fillId="29" borderId="0" xfId="0" applyFont="1" applyFill="1" applyBorder="1" applyProtection="1"/>
    <xf numFmtId="0" fontId="12" fillId="29" borderId="0" xfId="0" applyFont="1" applyFill="1" applyBorder="1" applyAlignment="1">
      <alignment horizontal="left"/>
    </xf>
    <xf numFmtId="0" fontId="20" fillId="29" borderId="0" xfId="0" applyFont="1" applyFill="1" applyBorder="1" applyAlignment="1"/>
    <xf numFmtId="1" fontId="12" fillId="29" borderId="0" xfId="0" applyNumberFormat="1" applyFont="1" applyFill="1" applyBorder="1" applyAlignment="1">
      <alignment horizontal="left"/>
    </xf>
    <xf numFmtId="0" fontId="15" fillId="29" borderId="0" xfId="0" applyFont="1" applyFill="1" applyProtection="1"/>
    <xf numFmtId="0" fontId="15" fillId="29" borderId="0" xfId="0" applyFont="1" applyFill="1" applyBorder="1" applyProtection="1"/>
    <xf numFmtId="0" fontId="51" fillId="29" borderId="0" xfId="0" applyFont="1" applyFill="1" applyBorder="1" applyProtection="1"/>
    <xf numFmtId="0" fontId="20" fillId="29" borderId="0" xfId="0" applyFont="1" applyFill="1" applyProtection="1"/>
    <xf numFmtId="0" fontId="73" fillId="29" borderId="0" xfId="0" applyFont="1" applyFill="1" applyBorder="1" applyAlignment="1" applyProtection="1">
      <alignment horizontal="center"/>
    </xf>
    <xf numFmtId="0" fontId="72" fillId="29" borderId="0" xfId="0" applyFont="1" applyFill="1" applyBorder="1" applyProtection="1"/>
    <xf numFmtId="0" fontId="12" fillId="29" borderId="0" xfId="0" applyFont="1" applyFill="1" applyBorder="1" applyAlignment="1" applyProtection="1">
      <alignment horizontal="center"/>
    </xf>
    <xf numFmtId="0" fontId="28" fillId="29" borderId="0" xfId="0" applyFont="1" applyFill="1" applyBorder="1" applyProtection="1"/>
    <xf numFmtId="0" fontId="14" fillId="29" borderId="0" xfId="0" applyFont="1" applyFill="1" applyBorder="1" applyProtection="1"/>
    <xf numFmtId="0" fontId="20" fillId="29" borderId="0" xfId="0" applyFont="1" applyFill="1" applyBorder="1" applyAlignment="1">
      <alignment horizontal="center"/>
    </xf>
    <xf numFmtId="0" fontId="80" fillId="31" borderId="0" xfId="0" applyFont="1" applyFill="1" applyBorder="1"/>
    <xf numFmtId="0" fontId="80" fillId="33" borderId="0" xfId="0" applyFont="1" applyFill="1" applyBorder="1"/>
    <xf numFmtId="0" fontId="81" fillId="34" borderId="0" xfId="0" applyFont="1" applyFill="1" applyBorder="1"/>
    <xf numFmtId="0" fontId="80" fillId="35" borderId="0" xfId="0" applyFont="1" applyFill="1" applyBorder="1"/>
    <xf numFmtId="0" fontId="49" fillId="36" borderId="0" xfId="0" applyFont="1" applyFill="1"/>
    <xf numFmtId="0" fontId="67" fillId="29" borderId="0" xfId="0" applyFont="1" applyFill="1"/>
    <xf numFmtId="0" fontId="51" fillId="29" borderId="0" xfId="0" applyFont="1" applyFill="1" applyBorder="1" applyAlignment="1">
      <alignment horizontal="left"/>
    </xf>
    <xf numFmtId="0" fontId="51" fillId="29" borderId="0" xfId="0" applyFont="1" applyFill="1" applyBorder="1" applyAlignment="1"/>
    <xf numFmtId="0" fontId="51" fillId="29" borderId="0" xfId="0" applyFont="1" applyFill="1" applyBorder="1"/>
    <xf numFmtId="0" fontId="67" fillId="29" borderId="0" xfId="0" applyFont="1" applyFill="1" applyBorder="1"/>
    <xf numFmtId="0" fontId="74" fillId="29" borderId="0" xfId="0" applyFont="1" applyFill="1" applyBorder="1" applyProtection="1"/>
    <xf numFmtId="0" fontId="72" fillId="29" borderId="0" xfId="0" applyFont="1" applyFill="1" applyBorder="1" applyAlignment="1" applyProtection="1">
      <alignment horizontal="left"/>
    </xf>
    <xf numFmtId="0" fontId="78" fillId="29" borderId="0" xfId="0" applyFont="1" applyFill="1" applyBorder="1" applyAlignment="1" applyProtection="1">
      <alignment horizontal="center"/>
      <protection locked="0"/>
    </xf>
    <xf numFmtId="0" fontId="67" fillId="29" borderId="0" xfId="0" applyFont="1" applyFill="1" applyBorder="1" applyAlignment="1">
      <alignment horizontal="left"/>
    </xf>
    <xf numFmtId="0" fontId="11" fillId="29" borderId="0" xfId="0" applyFont="1" applyFill="1" applyBorder="1"/>
    <xf numFmtId="1" fontId="51" fillId="29" borderId="0" xfId="0" applyNumberFormat="1" applyFont="1" applyFill="1" applyBorder="1" applyAlignment="1">
      <alignment horizontal="left"/>
    </xf>
    <xf numFmtId="0" fontId="20" fillId="29" borderId="0" xfId="0" applyFont="1" applyFill="1"/>
    <xf numFmtId="0" fontId="61" fillId="29" borderId="0" xfId="0" applyFont="1" applyFill="1"/>
    <xf numFmtId="0" fontId="12" fillId="29" borderId="0" xfId="0" applyFont="1" applyFill="1"/>
    <xf numFmtId="0" fontId="61" fillId="29" borderId="0" xfId="0" applyFont="1" applyFill="1" applyBorder="1"/>
    <xf numFmtId="0" fontId="74" fillId="29" borderId="0" xfId="0" applyFont="1" applyFill="1"/>
    <xf numFmtId="0" fontId="20" fillId="29" borderId="0" xfId="0" applyFont="1" applyFill="1" applyAlignment="1">
      <alignment horizontal="right"/>
    </xf>
    <xf numFmtId="0" fontId="20" fillId="29" borderId="0" xfId="0" applyFont="1" applyFill="1" applyBorder="1"/>
    <xf numFmtId="0" fontId="20" fillId="29" borderId="38" xfId="0" applyFont="1" applyFill="1" applyBorder="1"/>
    <xf numFmtId="0" fontId="20" fillId="29" borderId="0" xfId="0" applyNumberFormat="1" applyFont="1" applyFill="1" applyBorder="1" applyAlignment="1"/>
    <xf numFmtId="49" fontId="20" fillId="29" borderId="0" xfId="0" applyNumberFormat="1" applyFont="1" applyFill="1" applyBorder="1" applyAlignment="1">
      <alignment horizontal="left" vertical="top" wrapText="1"/>
    </xf>
    <xf numFmtId="0" fontId="20" fillId="29" borderId="0" xfId="0" applyFont="1" applyFill="1" applyBorder="1" applyAlignment="1">
      <alignment shrinkToFit="1"/>
    </xf>
    <xf numFmtId="0" fontId="67" fillId="29" borderId="0" xfId="0" applyFont="1" applyFill="1" applyBorder="1" applyAlignment="1">
      <alignment shrinkToFit="1"/>
    </xf>
    <xf numFmtId="0" fontId="72" fillId="29" borderId="0" xfId="0" applyFont="1" applyFill="1"/>
    <xf numFmtId="0" fontId="12" fillId="29" borderId="0" xfId="0" applyFont="1" applyFill="1" applyAlignment="1">
      <alignment horizontal="center"/>
    </xf>
    <xf numFmtId="0" fontId="75" fillId="29" borderId="0" xfId="0" applyFont="1" applyFill="1"/>
    <xf numFmtId="0" fontId="51" fillId="29" borderId="0" xfId="0" applyFont="1" applyFill="1" applyBorder="1" applyAlignment="1">
      <alignment horizontal="right"/>
    </xf>
    <xf numFmtId="0" fontId="72" fillId="29" borderId="0" xfId="0" applyFont="1" applyFill="1" applyBorder="1"/>
    <xf numFmtId="0" fontId="72" fillId="29" borderId="0" xfId="0" applyFont="1" applyFill="1" applyBorder="1" applyAlignment="1">
      <alignment horizontal="left"/>
    </xf>
    <xf numFmtId="0" fontId="74" fillId="29" borderId="0" xfId="0" applyFont="1" applyFill="1" applyBorder="1"/>
    <xf numFmtId="0" fontId="12" fillId="29" borderId="0" xfId="0" applyFont="1" applyFill="1" applyBorder="1"/>
    <xf numFmtId="0" fontId="16" fillId="29" borderId="0" xfId="0" applyFont="1" applyFill="1" applyBorder="1"/>
    <xf numFmtId="0" fontId="72" fillId="29" borderId="0" xfId="0" applyFont="1" applyFill="1" applyBorder="1" applyProtection="1">
      <protection locked="0" hidden="1"/>
    </xf>
    <xf numFmtId="0" fontId="72" fillId="29" borderId="0" xfId="0" applyFont="1" applyFill="1" applyBorder="1" applyAlignment="1">
      <alignment horizontal="right"/>
    </xf>
    <xf numFmtId="0" fontId="20" fillId="29" borderId="0" xfId="0" applyFont="1" applyFill="1" applyBorder="1" applyProtection="1">
      <protection locked="0" hidden="1"/>
    </xf>
    <xf numFmtId="0" fontId="20" fillId="29" borderId="67" xfId="0" applyFont="1" applyFill="1" applyBorder="1"/>
    <xf numFmtId="0" fontId="20" fillId="29" borderId="68" xfId="0" applyFont="1" applyFill="1" applyBorder="1"/>
    <xf numFmtId="0" fontId="75" fillId="29" borderId="0" xfId="0" applyFont="1" applyFill="1" applyBorder="1" applyAlignment="1">
      <alignment horizontal="right"/>
    </xf>
    <xf numFmtId="0" fontId="72" fillId="29" borderId="0" xfId="0" applyFont="1" applyFill="1" applyBorder="1" applyAlignment="1" applyProtection="1">
      <alignment horizontal="right"/>
      <protection locked="0" hidden="1"/>
    </xf>
    <xf numFmtId="0" fontId="76" fillId="29" borderId="0" xfId="0" applyFont="1" applyFill="1" applyBorder="1"/>
    <xf numFmtId="0" fontId="67" fillId="29" borderId="0" xfId="0" applyFont="1" applyFill="1" applyBorder="1" applyProtection="1">
      <protection locked="0" hidden="1"/>
    </xf>
    <xf numFmtId="0" fontId="72" fillId="29" borderId="0" xfId="0" applyFont="1" applyFill="1" applyBorder="1" applyAlignment="1">
      <alignment horizontal="center"/>
    </xf>
    <xf numFmtId="0" fontId="20" fillId="29" borderId="0" xfId="0" applyFont="1" applyFill="1" applyProtection="1">
      <protection locked="0"/>
    </xf>
    <xf numFmtId="0" fontId="10" fillId="29" borderId="0" xfId="42" applyFont="1" applyFill="1" applyBorder="1" applyProtection="1">
      <protection locked="0"/>
    </xf>
    <xf numFmtId="0" fontId="10" fillId="29" borderId="0" xfId="42" applyFont="1" applyFill="1"/>
    <xf numFmtId="0" fontId="10" fillId="29" borderId="0" xfId="42" applyFont="1" applyFill="1" applyBorder="1"/>
    <xf numFmtId="0" fontId="16" fillId="29" borderId="0" xfId="42" applyFont="1" applyFill="1"/>
    <xf numFmtId="0" fontId="63" fillId="29" borderId="0" xfId="42" applyFont="1" applyFill="1" applyBorder="1"/>
    <xf numFmtId="0" fontId="10" fillId="29" borderId="0" xfId="42" applyFill="1"/>
    <xf numFmtId="0" fontId="10" fillId="29" borderId="0" xfId="42" applyFont="1" applyFill="1" applyProtection="1">
      <protection locked="0"/>
    </xf>
    <xf numFmtId="0" fontId="13" fillId="29" borderId="0" xfId="0" applyFont="1" applyFill="1" applyProtection="1"/>
    <xf numFmtId="0" fontId="61" fillId="29" borderId="0" xfId="0" applyFont="1" applyFill="1" applyProtection="1"/>
    <xf numFmtId="0" fontId="16" fillId="29" borderId="0" xfId="0" applyFont="1" applyFill="1" applyBorder="1" applyAlignment="1" applyProtection="1">
      <alignment horizontal="center"/>
    </xf>
    <xf numFmtId="0" fontId="18" fillId="29" borderId="0" xfId="0" applyFont="1" applyFill="1" applyProtection="1"/>
    <xf numFmtId="0" fontId="16" fillId="29" borderId="0" xfId="0" applyFont="1" applyFill="1" applyBorder="1" applyProtection="1"/>
    <xf numFmtId="0" fontId="48" fillId="29" borderId="0" xfId="0" applyFont="1" applyFill="1" applyBorder="1" applyProtection="1"/>
    <xf numFmtId="0" fontId="20" fillId="29" borderId="0" xfId="0" applyFont="1" applyFill="1" applyBorder="1" applyAlignment="1" applyProtection="1">
      <alignment horizontal="left" vertical="center" wrapText="1"/>
    </xf>
    <xf numFmtId="0" fontId="20" fillId="29" borderId="0" xfId="0" applyFont="1" applyFill="1" applyBorder="1" applyAlignment="1" applyProtection="1">
      <alignment horizontal="center" vertical="center"/>
    </xf>
    <xf numFmtId="0" fontId="13" fillId="29" borderId="0" xfId="0" applyFont="1" applyFill="1" applyAlignment="1" applyProtection="1">
      <alignment horizontal="center" vertical="center"/>
    </xf>
    <xf numFmtId="0" fontId="48" fillId="29" borderId="0" xfId="0" applyFont="1" applyFill="1" applyProtection="1"/>
    <xf numFmtId="0" fontId="19" fillId="29" borderId="0" xfId="0" applyFont="1" applyFill="1" applyBorder="1" applyProtection="1"/>
    <xf numFmtId="0" fontId="10" fillId="29" borderId="0" xfId="43" applyFont="1" applyFill="1" applyProtection="1">
      <protection locked="0"/>
    </xf>
    <xf numFmtId="0" fontId="10" fillId="29" borderId="0" xfId="43" applyFont="1" applyFill="1"/>
    <xf numFmtId="0" fontId="10" fillId="29" borderId="0" xfId="43" applyFont="1" applyFill="1" applyBorder="1"/>
    <xf numFmtId="0" fontId="10" fillId="29" borderId="0" xfId="43" applyFill="1" applyProtection="1">
      <protection locked="0"/>
    </xf>
    <xf numFmtId="0" fontId="10" fillId="29" borderId="0" xfId="43" applyFill="1"/>
    <xf numFmtId="0" fontId="0" fillId="29" borderId="0" xfId="0" applyFill="1"/>
    <xf numFmtId="0" fontId="10" fillId="29" borderId="0" xfId="43" applyFill="1" applyBorder="1" applyAlignment="1">
      <alignment vertical="top"/>
    </xf>
    <xf numFmtId="0" fontId="10" fillId="29" borderId="0" xfId="43" applyFill="1" applyBorder="1"/>
    <xf numFmtId="0" fontId="10" fillId="29" borderId="0" xfId="43" applyFill="1" applyAlignment="1">
      <alignment vertical="center"/>
    </xf>
    <xf numFmtId="0" fontId="10" fillId="29" borderId="0" xfId="43" applyFont="1" applyFill="1" applyAlignment="1">
      <alignment vertical="top" wrapText="1"/>
    </xf>
    <xf numFmtId="0" fontId="10" fillId="29" borderId="0" xfId="43" applyFont="1" applyFill="1" applyAlignment="1">
      <alignment horizontal="left" vertical="top"/>
    </xf>
    <xf numFmtId="0" fontId="10" fillId="29" borderId="0" xfId="0" applyFont="1" applyFill="1"/>
    <xf numFmtId="0" fontId="61" fillId="29" borderId="0" xfId="43" applyFont="1" applyFill="1"/>
    <xf numFmtId="0" fontId="49" fillId="36" borderId="70" xfId="0" applyFont="1" applyFill="1" applyBorder="1" applyAlignment="1">
      <alignment horizontal="center"/>
    </xf>
    <xf numFmtId="0" fontId="49" fillId="36" borderId="70" xfId="0" applyFont="1" applyFill="1" applyBorder="1"/>
    <xf numFmtId="0" fontId="49" fillId="36" borderId="71" xfId="0" applyFont="1" applyFill="1" applyBorder="1"/>
    <xf numFmtId="0" fontId="80" fillId="30" borderId="0" xfId="0" applyFont="1" applyFill="1" applyBorder="1" applyAlignment="1">
      <alignment horizontal="left"/>
    </xf>
    <xf numFmtId="0" fontId="82" fillId="30" borderId="0" xfId="0" applyFont="1" applyFill="1" applyBorder="1"/>
    <xf numFmtId="0" fontId="80" fillId="30" borderId="0" xfId="0" applyFont="1" applyFill="1" applyBorder="1" applyAlignment="1">
      <alignment horizontal="right"/>
    </xf>
    <xf numFmtId="0" fontId="80" fillId="30" borderId="0" xfId="0" applyFont="1" applyFill="1" applyBorder="1" applyAlignment="1" applyProtection="1">
      <alignment horizontal="right"/>
      <protection locked="0" hidden="1"/>
    </xf>
    <xf numFmtId="0" fontId="80" fillId="30" borderId="0" xfId="42" applyFont="1" applyFill="1" applyBorder="1"/>
    <xf numFmtId="0" fontId="80" fillId="30" borderId="0" xfId="42" applyFont="1" applyFill="1"/>
    <xf numFmtId="0" fontId="80" fillId="30" borderId="36" xfId="0" applyFont="1" applyFill="1" applyBorder="1" applyProtection="1"/>
    <xf numFmtId="0" fontId="80" fillId="30" borderId="37" xfId="0" applyFont="1" applyFill="1" applyBorder="1" applyProtection="1"/>
    <xf numFmtId="0" fontId="80" fillId="30" borderId="36" xfId="0" applyFont="1" applyFill="1" applyBorder="1" applyAlignment="1" applyProtection="1">
      <alignment horizontal="right"/>
    </xf>
    <xf numFmtId="0" fontId="80" fillId="30" borderId="0" xfId="0" applyFont="1" applyFill="1" applyAlignment="1">
      <alignment horizontal="left" vertical="center"/>
    </xf>
    <xf numFmtId="0" fontId="80" fillId="30" borderId="0" xfId="43" applyFont="1" applyFill="1" applyBorder="1"/>
    <xf numFmtId="0" fontId="80" fillId="30" borderId="0" xfId="43" applyFont="1" applyFill="1"/>
    <xf numFmtId="0" fontId="80" fillId="31" borderId="0" xfId="0" applyFont="1" applyFill="1" applyProtection="1">
      <protection locked="0"/>
    </xf>
    <xf numFmtId="14" fontId="80" fillId="31" borderId="0" xfId="0" applyNumberFormat="1" applyFont="1" applyFill="1"/>
    <xf numFmtId="0" fontId="80" fillId="31" borderId="0" xfId="0" applyFont="1" applyFill="1" applyAlignment="1">
      <alignment horizontal="left"/>
    </xf>
    <xf numFmtId="14" fontId="80" fillId="31" borderId="0" xfId="0" applyNumberFormat="1" applyFont="1" applyFill="1" applyAlignment="1">
      <alignment horizontal="left"/>
    </xf>
    <xf numFmtId="0" fontId="80" fillId="31" borderId="0" xfId="0" applyFont="1" applyFill="1" applyAlignment="1">
      <alignment horizontal="right"/>
    </xf>
    <xf numFmtId="0" fontId="80" fillId="31" borderId="0" xfId="0" applyFont="1" applyFill="1" applyBorder="1" applyProtection="1">
      <protection locked="0"/>
    </xf>
    <xf numFmtId="0" fontId="82" fillId="31" borderId="0" xfId="0" applyFont="1" applyFill="1" applyBorder="1"/>
    <xf numFmtId="0" fontId="80" fillId="31" borderId="0" xfId="0" applyFont="1" applyFill="1" applyAlignment="1" applyProtection="1">
      <alignment horizontal="left"/>
    </xf>
    <xf numFmtId="0" fontId="80" fillId="31" borderId="0" xfId="0" applyFont="1" applyFill="1" applyBorder="1" applyAlignment="1" applyProtection="1">
      <alignment horizontal="left"/>
    </xf>
    <xf numFmtId="165" fontId="80" fillId="31" borderId="0" xfId="0" applyNumberFormat="1" applyFont="1" applyFill="1" applyBorder="1" applyAlignment="1" applyProtection="1">
      <alignment horizontal="left"/>
    </xf>
    <xf numFmtId="166" fontId="80" fillId="31" borderId="0" xfId="0" applyNumberFormat="1" applyFont="1" applyFill="1" applyBorder="1" applyAlignment="1" applyProtection="1">
      <alignment horizontal="left"/>
    </xf>
    <xf numFmtId="0" fontId="80" fillId="31" borderId="0" xfId="0" applyFont="1" applyFill="1" applyBorder="1" applyAlignment="1" applyProtection="1">
      <alignment horizontal="center"/>
    </xf>
    <xf numFmtId="0" fontId="80" fillId="31" borderId="0" xfId="43" applyFont="1" applyFill="1"/>
    <xf numFmtId="0" fontId="80" fillId="31" borderId="0" xfId="43" applyFont="1" applyFill="1" applyBorder="1" applyAlignment="1">
      <alignment horizontal="left"/>
    </xf>
    <xf numFmtId="15" fontId="80" fillId="31" borderId="0" xfId="43" applyNumberFormat="1" applyFont="1" applyFill="1" applyBorder="1" applyAlignment="1">
      <alignment horizontal="left"/>
    </xf>
    <xf numFmtId="15" fontId="80" fillId="31" borderId="0" xfId="43" applyNumberFormat="1" applyFont="1" applyFill="1" applyBorder="1" applyAlignment="1" applyProtection="1">
      <alignment horizontal="left"/>
      <protection locked="0"/>
    </xf>
    <xf numFmtId="0" fontId="80" fillId="31" borderId="0" xfId="43" applyFont="1" applyFill="1" applyAlignment="1">
      <alignment horizontal="left"/>
    </xf>
    <xf numFmtId="0" fontId="80" fillId="31" borderId="0" xfId="43" applyFont="1" applyFill="1" applyBorder="1" applyAlignment="1" applyProtection="1">
      <alignment horizontal="left"/>
      <protection locked="0"/>
    </xf>
    <xf numFmtId="1" fontId="80" fillId="31" borderId="0" xfId="43" applyNumberFormat="1" applyFont="1" applyFill="1" applyBorder="1" applyAlignment="1">
      <alignment horizontal="left"/>
    </xf>
    <xf numFmtId="0" fontId="80" fillId="33" borderId="0" xfId="43" applyFont="1" applyFill="1"/>
    <xf numFmtId="0" fontId="81" fillId="34" borderId="0" xfId="42" applyFont="1" applyFill="1" applyBorder="1"/>
    <xf numFmtId="0" fontId="81" fillId="34" borderId="0" xfId="42" applyFont="1" applyFill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6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7" borderId="23" xfId="0" applyFill="1" applyBorder="1"/>
    <xf numFmtId="0" fontId="0" fillId="0" borderId="0" xfId="0" applyAlignment="1">
      <alignment horizontal="left"/>
    </xf>
    <xf numFmtId="0" fontId="10" fillId="27" borderId="0" xfId="0" applyFont="1" applyFill="1" applyAlignment="1">
      <alignment wrapText="1"/>
    </xf>
    <xf numFmtId="0" fontId="10" fillId="27" borderId="73" xfId="0" applyFont="1" applyFill="1" applyBorder="1"/>
    <xf numFmtId="0" fontId="10" fillId="27" borderId="74" xfId="0" applyFont="1" applyFill="1" applyBorder="1"/>
    <xf numFmtId="0" fontId="10" fillId="27" borderId="75" xfId="0" applyFont="1" applyFill="1" applyBorder="1" applyProtection="1">
      <protection locked="0"/>
    </xf>
    <xf numFmtId="0" fontId="10" fillId="27" borderId="76" xfId="0" applyFont="1" applyFill="1" applyBorder="1"/>
    <xf numFmtId="0" fontId="10" fillId="27" borderId="75" xfId="0" applyFont="1" applyFill="1" applyBorder="1" applyAlignment="1">
      <alignment wrapText="1"/>
    </xf>
    <xf numFmtId="0" fontId="10" fillId="27" borderId="76" xfId="0" applyFont="1" applyFill="1" applyBorder="1" applyAlignment="1">
      <alignment wrapText="1"/>
    </xf>
    <xf numFmtId="0" fontId="10" fillId="27" borderId="75" xfId="0" applyFont="1" applyFill="1" applyBorder="1"/>
    <xf numFmtId="0" fontId="10" fillId="0" borderId="76" xfId="0" applyFont="1" applyFill="1" applyBorder="1"/>
    <xf numFmtId="0" fontId="10" fillId="27" borderId="77" xfId="0" applyFont="1" applyFill="1" applyBorder="1"/>
    <xf numFmtId="0" fontId="10" fillId="27" borderId="78" xfId="0" applyFont="1" applyFill="1" applyBorder="1"/>
    <xf numFmtId="0" fontId="49" fillId="0" borderId="76" xfId="0" applyFont="1" applyFill="1" applyBorder="1"/>
    <xf numFmtId="0" fontId="0" fillId="27" borderId="0" xfId="0" applyFill="1" applyAlignment="1">
      <alignment horizontal="left"/>
    </xf>
    <xf numFmtId="0" fontId="10" fillId="27" borderId="0" xfId="42" applyFont="1" applyFill="1" applyAlignment="1" applyProtection="1">
      <alignment wrapText="1"/>
      <protection locked="0"/>
    </xf>
    <xf numFmtId="0" fontId="10" fillId="27" borderId="0" xfId="42" applyFont="1" applyFill="1" applyAlignment="1">
      <alignment wrapText="1"/>
    </xf>
    <xf numFmtId="0" fontId="0" fillId="27" borderId="0" xfId="0" applyFill="1" applyAlignment="1">
      <alignment wrapText="1"/>
    </xf>
    <xf numFmtId="0" fontId="10" fillId="27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6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7" borderId="0" xfId="0" applyFont="1" applyFill="1"/>
    <xf numFmtId="0" fontId="0" fillId="27" borderId="0" xfId="0" applyFont="1" applyFill="1"/>
    <xf numFmtId="0" fontId="68" fillId="27" borderId="0" xfId="42" applyFont="1" applyFill="1" applyBorder="1" applyAlignment="1">
      <alignment horizontal="center"/>
    </xf>
    <xf numFmtId="0" fontId="68" fillId="27" borderId="0" xfId="131" applyFont="1" applyFill="1" applyBorder="1" applyAlignment="1">
      <alignment horizontal="center"/>
    </xf>
    <xf numFmtId="0" fontId="10" fillId="27" borderId="0" xfId="0" applyFont="1" applyFill="1" applyAlignment="1">
      <alignment horizontal="left"/>
    </xf>
    <xf numFmtId="0" fontId="12" fillId="27" borderId="0" xfId="131" applyFont="1" applyFill="1" applyBorder="1"/>
    <xf numFmtId="0" fontId="10" fillId="27" borderId="0" xfId="131" applyFont="1" applyFill="1" applyBorder="1"/>
    <xf numFmtId="0" fontId="10" fillId="27" borderId="0" xfId="42" applyFont="1" applyFill="1" applyBorder="1"/>
    <xf numFmtId="0" fontId="12" fillId="27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7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7" borderId="0" xfId="132" applyFont="1" applyFill="1" applyBorder="1" applyAlignment="1">
      <alignment horizontal="right"/>
    </xf>
    <xf numFmtId="0" fontId="10" fillId="29" borderId="0" xfId="42" applyFont="1" applyFill="1" applyBorder="1" applyAlignment="1">
      <alignment horizontal="left" vertical="center"/>
    </xf>
    <xf numFmtId="0" fontId="10" fillId="29" borderId="0" xfId="42" applyFont="1" applyFill="1" applyBorder="1" applyAlignment="1" applyProtection="1">
      <alignment vertical="center"/>
      <protection locked="0"/>
    </xf>
    <xf numFmtId="0" fontId="10" fillId="29" borderId="0" xfId="42" applyFont="1" applyFill="1" applyBorder="1" applyAlignment="1">
      <alignment vertical="center"/>
    </xf>
    <xf numFmtId="0" fontId="85" fillId="29" borderId="0" xfId="42" applyFont="1" applyFill="1" applyBorder="1" applyAlignment="1">
      <alignment vertical="center"/>
    </xf>
    <xf numFmtId="0" fontId="30" fillId="29" borderId="0" xfId="0" applyFont="1" applyFill="1" applyBorder="1" applyAlignment="1">
      <alignment vertical="center"/>
    </xf>
    <xf numFmtId="0" fontId="80" fillId="31" borderId="0" xfId="42" applyFont="1" applyFill="1" applyBorder="1" applyAlignment="1" applyProtection="1">
      <alignment vertical="center"/>
      <protection locked="0"/>
    </xf>
    <xf numFmtId="0" fontId="89" fillId="33" borderId="0" xfId="42" applyFont="1" applyFill="1" applyBorder="1" applyAlignment="1">
      <alignment horizontal="center" vertical="center"/>
    </xf>
    <xf numFmtId="0" fontId="80" fillId="33" borderId="0" xfId="42" applyFont="1" applyFill="1" applyBorder="1" applyAlignment="1">
      <alignment horizontal="left" vertical="center"/>
    </xf>
    <xf numFmtId="0" fontId="88" fillId="30" borderId="0" xfId="0" applyFont="1" applyFill="1" applyBorder="1" applyAlignment="1">
      <alignment vertical="center"/>
    </xf>
    <xf numFmtId="0" fontId="10" fillId="29" borderId="0" xfId="42" applyFont="1" applyFill="1" applyBorder="1" applyAlignment="1">
      <alignment horizontal="center" vertical="center"/>
    </xf>
    <xf numFmtId="0" fontId="21" fillId="29" borderId="0" xfId="42" applyFont="1" applyFill="1" applyBorder="1" applyAlignment="1">
      <alignment horizontal="left" vertical="center"/>
    </xf>
    <xf numFmtId="0" fontId="80" fillId="33" borderId="0" xfId="42" applyFont="1" applyFill="1" applyBorder="1" applyAlignment="1">
      <alignment vertical="center"/>
    </xf>
    <xf numFmtId="0" fontId="87" fillId="33" borderId="0" xfId="42" applyFont="1" applyFill="1" applyBorder="1" applyAlignment="1">
      <alignment vertical="center"/>
    </xf>
    <xf numFmtId="0" fontId="80" fillId="33" borderId="0" xfId="42" applyFont="1" applyFill="1" applyBorder="1" applyAlignment="1" applyProtection="1">
      <alignment vertical="center"/>
      <protection locked="0"/>
    </xf>
    <xf numFmtId="0" fontId="19" fillId="29" borderId="0" xfId="42" applyFont="1" applyFill="1" applyBorder="1" applyAlignment="1">
      <alignment vertical="center"/>
    </xf>
    <xf numFmtId="0" fontId="80" fillId="31" borderId="0" xfId="42" applyFont="1" applyFill="1" applyBorder="1" applyAlignment="1">
      <alignment vertical="center"/>
    </xf>
    <xf numFmtId="2" fontId="80" fillId="31" borderId="0" xfId="42" applyNumberFormat="1" applyFont="1" applyFill="1" applyBorder="1" applyAlignment="1">
      <alignment vertical="center"/>
    </xf>
    <xf numFmtId="0" fontId="80" fillId="31" borderId="0" xfId="42" applyFont="1" applyFill="1" applyBorder="1" applyAlignment="1" applyProtection="1">
      <alignment vertical="center"/>
    </xf>
    <xf numFmtId="15" fontId="80" fillId="31" borderId="0" xfId="42" applyNumberFormat="1" applyFont="1" applyFill="1" applyBorder="1" applyAlignment="1">
      <alignment horizontal="left" vertical="center"/>
    </xf>
    <xf numFmtId="0" fontId="80" fillId="31" borderId="0" xfId="42" applyFont="1" applyFill="1" applyBorder="1" applyAlignment="1">
      <alignment horizontal="right" vertical="center"/>
    </xf>
    <xf numFmtId="0" fontId="80" fillId="31" borderId="0" xfId="42" applyFont="1" applyFill="1" applyBorder="1" applyAlignment="1">
      <alignment horizontal="center" vertical="center"/>
    </xf>
    <xf numFmtId="0" fontId="80" fillId="31" borderId="0" xfId="42" applyFont="1" applyFill="1" applyBorder="1" applyAlignment="1">
      <alignment horizontal="left" vertical="center"/>
    </xf>
    <xf numFmtId="0" fontId="80" fillId="32" borderId="0" xfId="42" applyFont="1" applyFill="1" applyBorder="1" applyAlignment="1">
      <alignment vertical="center"/>
    </xf>
    <xf numFmtId="0" fontId="80" fillId="30" borderId="0" xfId="42" applyFont="1" applyFill="1" applyBorder="1" applyAlignment="1">
      <alignment vertical="center"/>
    </xf>
    <xf numFmtId="0" fontId="80" fillId="30" borderId="0" xfId="42" applyFont="1" applyFill="1" applyBorder="1" applyAlignment="1">
      <alignment horizontal="right" vertical="center"/>
    </xf>
    <xf numFmtId="0" fontId="80" fillId="30" borderId="0" xfId="42" applyFont="1" applyFill="1" applyBorder="1" applyAlignment="1">
      <alignment horizontal="center" vertical="center"/>
    </xf>
    <xf numFmtId="0" fontId="10" fillId="29" borderId="0" xfId="42" applyFont="1" applyFill="1" applyBorder="1" applyAlignment="1">
      <alignment horizontal="right" vertical="center"/>
    </xf>
    <xf numFmtId="0" fontId="49" fillId="29" borderId="0" xfId="42" applyFont="1" applyFill="1" applyBorder="1" applyAlignment="1">
      <alignment vertical="center"/>
    </xf>
    <xf numFmtId="49" fontId="10" fillId="29" borderId="0" xfId="42" applyNumberFormat="1" applyFont="1" applyFill="1" applyBorder="1" applyAlignment="1">
      <alignment vertical="center"/>
    </xf>
    <xf numFmtId="0" fontId="80" fillId="30" borderId="0" xfId="42" applyFont="1" applyFill="1" applyBorder="1" applyAlignment="1">
      <alignment horizontal="left" vertical="center"/>
    </xf>
    <xf numFmtId="0" fontId="80" fillId="32" borderId="0" xfId="42" applyFont="1" applyFill="1" applyBorder="1" applyAlignment="1">
      <alignment horizontal="left" vertical="center"/>
    </xf>
    <xf numFmtId="0" fontId="80" fillId="32" borderId="0" xfId="42" applyFont="1" applyFill="1" applyBorder="1" applyAlignment="1">
      <alignment horizontal="right" vertical="center"/>
    </xf>
    <xf numFmtId="49" fontId="80" fillId="32" borderId="0" xfId="42" applyNumberFormat="1" applyFont="1" applyFill="1" applyBorder="1" applyAlignment="1">
      <alignment vertical="center"/>
    </xf>
    <xf numFmtId="0" fontId="88" fillId="32" borderId="0" xfId="0" applyFont="1" applyFill="1" applyBorder="1" applyAlignment="1">
      <alignment vertical="center"/>
    </xf>
    <xf numFmtId="0" fontId="90" fillId="30" borderId="0" xfId="0" applyFont="1" applyFill="1" applyBorder="1" applyAlignment="1">
      <alignment vertical="center"/>
    </xf>
    <xf numFmtId="0" fontId="87" fillId="30" borderId="0" xfId="42" applyFont="1" applyFill="1" applyBorder="1" applyAlignment="1">
      <alignment vertical="center"/>
    </xf>
    <xf numFmtId="0" fontId="88" fillId="30" borderId="0" xfId="0" applyFont="1" applyFill="1" applyBorder="1" applyAlignment="1">
      <alignment horizontal="left" vertical="center"/>
    </xf>
    <xf numFmtId="0" fontId="82" fillId="32" borderId="0" xfId="42" applyFont="1" applyFill="1" applyBorder="1" applyAlignment="1">
      <alignment vertical="center"/>
    </xf>
    <xf numFmtId="0" fontId="80" fillId="29" borderId="0" xfId="42" applyFont="1" applyFill="1" applyBorder="1" applyAlignment="1">
      <alignment vertical="center"/>
    </xf>
    <xf numFmtId="0" fontId="73" fillId="29" borderId="0" xfId="42" applyFont="1" applyFill="1" applyBorder="1" applyAlignment="1">
      <alignment vertical="center"/>
    </xf>
    <xf numFmtId="0" fontId="80" fillId="31" borderId="0" xfId="0" applyFont="1" applyFill="1" applyProtection="1"/>
    <xf numFmtId="0" fontId="12" fillId="29" borderId="0" xfId="0" applyFont="1" applyFill="1" applyBorder="1" applyAlignment="1">
      <alignment horizontal="center"/>
    </xf>
    <xf numFmtId="0" fontId="49" fillId="36" borderId="72" xfId="0" applyFont="1" applyFill="1" applyBorder="1" applyAlignment="1">
      <alignment horizontal="center"/>
    </xf>
    <xf numFmtId="0" fontId="49" fillId="36" borderId="71" xfId="0" applyFont="1" applyFill="1" applyBorder="1" applyAlignment="1">
      <alignment horizontal="left"/>
    </xf>
    <xf numFmtId="0" fontId="49" fillId="36" borderId="72" xfId="0" applyFont="1" applyFill="1" applyBorder="1"/>
    <xf numFmtId="0" fontId="49" fillId="36" borderId="72" xfId="0" applyFont="1" applyFill="1" applyBorder="1" applyProtection="1"/>
    <xf numFmtId="0" fontId="49" fillId="36" borderId="72" xfId="0" applyFont="1" applyFill="1" applyBorder="1" applyAlignment="1">
      <alignment horizontal="left"/>
    </xf>
    <xf numFmtId="14" fontId="80" fillId="31" borderId="0" xfId="0" applyNumberFormat="1" applyFont="1" applyFill="1" applyBorder="1"/>
    <xf numFmtId="14" fontId="80" fillId="31" borderId="0" xfId="0" applyNumberFormat="1" applyFont="1" applyFill="1" applyBorder="1" applyAlignment="1">
      <alignment horizontal="left"/>
    </xf>
    <xf numFmtId="0" fontId="13" fillId="29" borderId="0" xfId="0" applyFont="1" applyFill="1" applyBorder="1"/>
    <xf numFmtId="0" fontId="11" fillId="29" borderId="0" xfId="0" applyFont="1" applyFill="1" applyBorder="1" applyAlignment="1">
      <alignment wrapText="1"/>
    </xf>
    <xf numFmtId="0" fontId="49" fillId="36" borderId="72" xfId="0" applyNumberFormat="1" applyFont="1" applyFill="1" applyBorder="1"/>
    <xf numFmtId="0" fontId="49" fillId="36" borderId="79" xfId="0" applyFont="1" applyFill="1" applyBorder="1" applyAlignment="1">
      <alignment horizontal="left"/>
    </xf>
    <xf numFmtId="0" fontId="49" fillId="36" borderId="79" xfId="0" applyNumberFormat="1" applyFont="1" applyFill="1" applyBorder="1"/>
    <xf numFmtId="0" fontId="49" fillId="36" borderId="79" xfId="0" applyFont="1" applyFill="1" applyBorder="1" applyAlignment="1">
      <alignment horizontal="center"/>
    </xf>
    <xf numFmtId="0" fontId="49" fillId="36" borderId="79" xfId="0" applyFont="1" applyFill="1" applyBorder="1"/>
    <xf numFmtId="0" fontId="49" fillId="36" borderId="80" xfId="0" applyFont="1" applyFill="1" applyBorder="1" applyAlignment="1">
      <alignment horizontal="left"/>
    </xf>
    <xf numFmtId="0" fontId="49" fillId="36" borderId="80" xfId="0" applyFont="1" applyFill="1" applyBorder="1" applyAlignment="1">
      <alignment horizontal="center"/>
    </xf>
    <xf numFmtId="0" fontId="49" fillId="36" borderId="80" xfId="0" applyFont="1" applyFill="1" applyBorder="1"/>
    <xf numFmtId="0" fontId="20" fillId="29" borderId="82" xfId="0" applyFont="1" applyFill="1" applyBorder="1"/>
    <xf numFmtId="0" fontId="20" fillId="29" borderId="83" xfId="0" applyFont="1" applyFill="1" applyBorder="1"/>
    <xf numFmtId="0" fontId="79" fillId="29" borderId="0" xfId="0" applyFont="1" applyFill="1" applyBorder="1" applyProtection="1"/>
    <xf numFmtId="14" fontId="80" fillId="31" borderId="0" xfId="0" applyNumberFormat="1" applyFont="1" applyFill="1" applyBorder="1" applyProtection="1"/>
    <xf numFmtId="0" fontId="11" fillId="29" borderId="0" xfId="0" applyFont="1" applyFill="1" applyBorder="1" applyProtection="1"/>
    <xf numFmtId="0" fontId="49" fillId="36" borderId="79" xfId="0" applyFont="1" applyFill="1" applyBorder="1" applyAlignment="1" applyProtection="1">
      <alignment horizontal="center"/>
    </xf>
    <xf numFmtId="0" fontId="49" fillId="36" borderId="72" xfId="0" applyFont="1" applyFill="1" applyBorder="1" applyAlignment="1" applyProtection="1">
      <alignment horizontal="center"/>
    </xf>
    <xf numFmtId="0" fontId="49" fillId="36" borderId="79" xfId="0" applyFont="1" applyFill="1" applyBorder="1" applyAlignment="1" applyProtection="1">
      <alignment horizontal="left"/>
    </xf>
    <xf numFmtId="0" fontId="49" fillId="36" borderId="72" xfId="0" applyFont="1" applyFill="1" applyBorder="1" applyAlignment="1" applyProtection="1">
      <alignment horizontal="left"/>
    </xf>
    <xf numFmtId="0" fontId="49" fillId="36" borderId="79" xfId="0" applyFont="1" applyFill="1" applyBorder="1" applyProtection="1"/>
    <xf numFmtId="0" fontId="49" fillId="36" borderId="79" xfId="0" applyFont="1" applyFill="1" applyBorder="1" applyAlignment="1" applyProtection="1">
      <alignment horizontal="center"/>
      <protection locked="0"/>
    </xf>
    <xf numFmtId="0" fontId="49" fillId="36" borderId="72" xfId="0" applyFont="1" applyFill="1" applyBorder="1" applyAlignment="1" applyProtection="1">
      <alignment horizontal="center"/>
      <protection locked="0"/>
    </xf>
    <xf numFmtId="0" fontId="49" fillId="36" borderId="81" xfId="0" applyFont="1" applyFill="1" applyBorder="1" applyAlignment="1">
      <alignment horizontal="left"/>
    </xf>
    <xf numFmtId="0" fontId="49" fillId="36" borderId="81" xfId="0" applyFont="1" applyFill="1" applyBorder="1" applyProtection="1"/>
    <xf numFmtId="0" fontId="83" fillId="36" borderId="80" xfId="0" applyFont="1" applyFill="1" applyBorder="1" applyProtection="1"/>
    <xf numFmtId="0" fontId="83" fillId="36" borderId="70" xfId="0" applyFont="1" applyFill="1" applyBorder="1" applyProtection="1"/>
    <xf numFmtId="0" fontId="83" fillId="36" borderId="80" xfId="0" applyFont="1" applyFill="1" applyBorder="1" applyAlignment="1"/>
    <xf numFmtId="0" fontId="83" fillId="36" borderId="70" xfId="0" applyFont="1" applyFill="1" applyBorder="1" applyAlignment="1"/>
    <xf numFmtId="0" fontId="49" fillId="36" borderId="80" xfId="0" applyFont="1" applyFill="1" applyBorder="1" applyProtection="1"/>
    <xf numFmtId="0" fontId="49" fillId="36" borderId="80" xfId="43" applyFont="1" applyFill="1" applyBorder="1" applyAlignment="1">
      <alignment horizontal="left"/>
    </xf>
    <xf numFmtId="0" fontId="49" fillId="36" borderId="70" xfId="43" applyFont="1" applyFill="1" applyBorder="1"/>
    <xf numFmtId="0" fontId="49" fillId="36" borderId="80" xfId="43" applyFont="1" applyFill="1" applyBorder="1"/>
    <xf numFmtId="0" fontId="49" fillId="36" borderId="70" xfId="43" applyFont="1" applyFill="1" applyBorder="1" applyAlignment="1">
      <alignment horizontal="left" vertical="center"/>
    </xf>
    <xf numFmtId="0" fontId="49" fillId="36" borderId="70" xfId="42" applyFont="1" applyFill="1" applyBorder="1" applyAlignment="1">
      <alignment horizontal="left" vertical="center"/>
    </xf>
    <xf numFmtId="0" fontId="49" fillId="36" borderId="80" xfId="42" applyFont="1" applyFill="1" applyBorder="1" applyAlignment="1">
      <alignment horizontal="center" vertical="center"/>
    </xf>
    <xf numFmtId="0" fontId="49" fillId="36" borderId="70" xfId="42" applyFont="1" applyFill="1" applyBorder="1" applyAlignment="1">
      <alignment horizontal="center" vertical="center"/>
    </xf>
    <xf numFmtId="0" fontId="49" fillId="36" borderId="80" xfId="42" applyFont="1" applyFill="1" applyBorder="1" applyAlignment="1">
      <alignment horizontal="left" vertical="center"/>
    </xf>
    <xf numFmtId="0" fontId="49" fillId="36" borderId="80" xfId="42" applyFont="1" applyFill="1" applyBorder="1" applyAlignment="1">
      <alignment vertical="center"/>
    </xf>
    <xf numFmtId="0" fontId="49" fillId="36" borderId="70" xfId="42" applyFont="1" applyFill="1" applyBorder="1" applyAlignment="1">
      <alignment vertical="center"/>
    </xf>
    <xf numFmtId="0" fontId="49" fillId="36" borderId="81" xfId="42" applyFont="1" applyFill="1" applyBorder="1" applyAlignment="1">
      <alignment horizontal="right" vertical="center"/>
    </xf>
    <xf numFmtId="0" fontId="49" fillId="36" borderId="80" xfId="42" applyFont="1" applyFill="1" applyBorder="1" applyAlignment="1">
      <alignment horizontal="right" vertical="center"/>
    </xf>
    <xf numFmtId="0" fontId="49" fillId="36" borderId="71" xfId="42" applyFont="1" applyFill="1" applyBorder="1" applyAlignment="1">
      <alignment horizontal="right" vertical="center"/>
    </xf>
    <xf numFmtId="0" fontId="49" fillId="36" borderId="70" xfId="42" applyFont="1" applyFill="1" applyBorder="1" applyAlignment="1">
      <alignment horizontal="right" vertical="center"/>
    </xf>
    <xf numFmtId="0" fontId="80" fillId="31" borderId="0" xfId="0" applyFont="1" applyFill="1" applyBorder="1" applyProtection="1"/>
    <xf numFmtId="0" fontId="49" fillId="36" borderId="70" xfId="0" applyFont="1" applyFill="1" applyBorder="1" applyAlignment="1">
      <alignment horizontal="left"/>
    </xf>
    <xf numFmtId="0" fontId="20" fillId="29" borderId="0" xfId="0" applyFont="1" applyFill="1" applyBorder="1" applyAlignment="1">
      <alignment horizontal="left"/>
    </xf>
    <xf numFmtId="0" fontId="49" fillId="29" borderId="0" xfId="42" applyFont="1" applyFill="1" applyBorder="1" applyAlignment="1">
      <alignment horizontal="left" vertical="center"/>
    </xf>
    <xf numFmtId="0" fontId="80" fillId="37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Protection="1">
      <protection locked="0"/>
    </xf>
    <xf numFmtId="0" fontId="82" fillId="37" borderId="0" xfId="0" applyFont="1" applyFill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2" applyFont="1" applyFill="1"/>
    <xf numFmtId="0" fontId="80" fillId="37" borderId="0" xfId="43" applyFont="1" applyFill="1"/>
    <xf numFmtId="0" fontId="80" fillId="37" borderId="0" xfId="43" applyFont="1" applyFill="1" applyBorder="1"/>
    <xf numFmtId="0" fontId="80" fillId="37" borderId="0" xfId="43" applyFont="1" applyFill="1" applyAlignment="1">
      <alignment vertical="top" wrapText="1"/>
    </xf>
    <xf numFmtId="0" fontId="80" fillId="37" borderId="0" xfId="43" applyFont="1" applyFill="1" applyAlignment="1">
      <alignment horizontal="left" vertical="top"/>
    </xf>
    <xf numFmtId="0" fontId="49" fillId="36" borderId="79" xfId="0" applyFont="1" applyFill="1" applyBorder="1" applyAlignment="1"/>
    <xf numFmtId="0" fontId="49" fillId="36" borderId="72" xfId="0" applyFont="1" applyFill="1" applyBorder="1" applyAlignment="1"/>
    <xf numFmtId="0" fontId="49" fillId="36" borderId="72" xfId="0" applyFont="1" applyFill="1" applyBorder="1" applyAlignment="1">
      <alignment horizontal="left" vertical="top" wrapText="1"/>
    </xf>
    <xf numFmtId="0" fontId="20" fillId="29" borderId="0" xfId="0" applyFont="1" applyFill="1" applyBorder="1" applyAlignment="1">
      <alignment horizontal="left" vertical="top" wrapText="1"/>
    </xf>
    <xf numFmtId="0" fontId="80" fillId="31" borderId="0" xfId="0" applyFont="1" applyFill="1" applyBorder="1" applyProtection="1"/>
    <xf numFmtId="0" fontId="49" fillId="36" borderId="70" xfId="0" applyFont="1" applyFill="1" applyBorder="1" applyAlignment="1" applyProtection="1">
      <alignment horizontal="left"/>
      <protection locked="0"/>
    </xf>
    <xf numFmtId="0" fontId="20" fillId="29" borderId="0" xfId="0" applyFont="1" applyFill="1" applyBorder="1" applyAlignment="1" applyProtection="1">
      <alignment horizontal="left"/>
      <protection locked="0"/>
    </xf>
    <xf numFmtId="0" fontId="77" fillId="29" borderId="0" xfId="0" applyFont="1" applyFill="1" applyBorder="1" applyAlignment="1">
      <alignment horizontal="center" vertical="top"/>
    </xf>
    <xf numFmtId="0" fontId="49" fillId="36" borderId="70" xfId="0" applyFont="1" applyFill="1" applyBorder="1" applyAlignment="1">
      <alignment horizontal="left"/>
    </xf>
    <xf numFmtId="0" fontId="20" fillId="29" borderId="0" xfId="0" applyFont="1" applyFill="1" applyBorder="1" applyAlignment="1">
      <alignment horizontal="left"/>
    </xf>
    <xf numFmtId="0" fontId="80" fillId="31" borderId="0" xfId="0" applyFont="1" applyFill="1" applyBorder="1" applyAlignment="1">
      <alignment horizontal="left" vertical="top" wrapText="1"/>
    </xf>
    <xf numFmtId="0" fontId="49" fillId="36" borderId="70" xfId="42" applyFont="1" applyFill="1" applyBorder="1" applyAlignment="1">
      <alignment horizontal="left" vertical="top"/>
    </xf>
    <xf numFmtId="0" fontId="10" fillId="29" borderId="0" xfId="42" applyFont="1" applyFill="1" applyAlignment="1">
      <alignment horizontal="left" vertical="top"/>
    </xf>
    <xf numFmtId="0" fontId="49" fillId="36" borderId="70" xfId="43" applyFont="1" applyFill="1" applyBorder="1" applyAlignment="1">
      <alignment horizontal="left" vertical="top"/>
    </xf>
    <xf numFmtId="0" fontId="10" fillId="29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0" fillId="29" borderId="0" xfId="0" applyFont="1" applyFill="1" applyBorder="1" applyAlignment="1">
      <alignment wrapText="1"/>
    </xf>
    <xf numFmtId="0" fontId="49" fillId="36" borderId="81" xfId="0" applyFont="1" applyFill="1" applyBorder="1" applyAlignment="1" applyProtection="1">
      <alignment horizontal="left" vertical="center" wrapText="1"/>
    </xf>
    <xf numFmtId="0" fontId="49" fillId="36" borderId="71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19" fillId="0" borderId="28" xfId="0" applyFont="1" applyFill="1" applyBorder="1" applyAlignment="1">
      <alignment horizontal="left" wrapText="1"/>
    </xf>
    <xf numFmtId="0" fontId="19" fillId="0" borderId="29" xfId="0" applyFont="1" applyFill="1" applyBorder="1" applyAlignment="1">
      <alignment horizontal="left" wrapText="1"/>
    </xf>
    <xf numFmtId="0" fontId="20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4" fillId="0" borderId="41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42" xfId="0" applyFont="1" applyBorder="1" applyAlignment="1">
      <alignment vertical="top" wrapText="1"/>
    </xf>
    <xf numFmtId="0" fontId="24" fillId="0" borderId="43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0" fillId="0" borderId="42" xfId="0" applyFont="1" applyBorder="1" applyAlignment="1">
      <alignment horizontal="center" vertical="top" wrapText="1"/>
    </xf>
    <xf numFmtId="0" fontId="20" fillId="0" borderId="43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0" fillId="0" borderId="41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42" xfId="0" applyFont="1" applyBorder="1" applyAlignment="1">
      <alignment vertical="top" wrapText="1"/>
    </xf>
    <xf numFmtId="0" fontId="21" fillId="0" borderId="43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86" fillId="36" borderId="69" xfId="0" applyFont="1" applyFill="1" applyBorder="1" applyAlignment="1">
      <alignment horizontal="left" vertical="center" wrapText="1"/>
    </xf>
    <xf numFmtId="0" fontId="30" fillId="29" borderId="0" xfId="0" applyFont="1" applyFill="1" applyBorder="1" applyAlignment="1">
      <alignment horizontal="left" vertical="center" wrapText="1"/>
    </xf>
    <xf numFmtId="0" fontId="89" fillId="31" borderId="0" xfId="42" applyFont="1" applyFill="1" applyBorder="1" applyAlignment="1">
      <alignment horizontal="center" vertical="center"/>
    </xf>
    <xf numFmtId="0" fontId="49" fillId="36" borderId="81" xfId="42" applyFont="1" applyFill="1" applyBorder="1" applyAlignment="1">
      <alignment horizontal="left" vertical="center"/>
    </xf>
    <xf numFmtId="0" fontId="49" fillId="36" borderId="79" xfId="42" applyFont="1" applyFill="1" applyBorder="1" applyAlignment="1">
      <alignment horizontal="left" vertical="center"/>
    </xf>
    <xf numFmtId="0" fontId="49" fillId="36" borderId="71" xfId="42" applyFont="1" applyFill="1" applyBorder="1" applyAlignment="1">
      <alignment horizontal="left" vertical="center"/>
    </xf>
    <xf numFmtId="0" fontId="49" fillId="36" borderId="72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0" borderId="0" xfId="0" applyFont="1" applyFill="1" applyAlignment="1">
      <alignment horizontal="left" vertical="top" wrapText="1"/>
    </xf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0" fillId="38" borderId="0" xfId="0" applyFill="1"/>
    <xf numFmtId="0" fontId="67" fillId="38" borderId="0" xfId="0" applyFont="1" applyFill="1"/>
    <xf numFmtId="0" fontId="91" fillId="38" borderId="0" xfId="0" applyFont="1" applyFill="1"/>
    <xf numFmtId="0" fontId="92" fillId="38" borderId="0" xfId="0" applyFont="1" applyFill="1"/>
    <xf numFmtId="0" fontId="10" fillId="40" borderId="0" xfId="0" applyFont="1" applyFill="1"/>
    <xf numFmtId="0" fontId="10" fillId="41" borderId="0" xfId="0" applyFont="1" applyFill="1"/>
    <xf numFmtId="0" fontId="51" fillId="39" borderId="0" xfId="0" applyFont="1" applyFill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59"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1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1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1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1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1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1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1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1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1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1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1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1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1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1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1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1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1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1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1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1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1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1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1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1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1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1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1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1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1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5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17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6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Oplossing" sel="1" val="0"/>
</file>

<file path=xl/ctrlProps/ctrlProp252.xml><?xml version="1.0" encoding="utf-8"?>
<formControlPr xmlns="http://schemas.microsoft.com/office/spreadsheetml/2009/9/main" objectType="Drop" dropStyle="combo" dx="16" fmlaLink="PedBerMedIV!$F$6" fmlaRange="tblOplossing" sel="1" val="0"/>
</file>

<file path=xl/ctrlProps/ctrlProp253.xml><?xml version="1.0" encoding="utf-8"?>
<formControlPr xmlns="http://schemas.microsoft.com/office/spreadsheetml/2009/9/main" objectType="Drop" dropStyle="combo" dx="16" fmlaLink="PedBerMedIV!$F$7" fmlaRange="tblOplossing" sel="1" val="0"/>
</file>

<file path=xl/ctrlProps/ctrlProp254.xml><?xml version="1.0" encoding="utf-8"?>
<formControlPr xmlns="http://schemas.microsoft.com/office/spreadsheetml/2009/9/main" objectType="Drop" dropStyle="combo" dx="16" fmlaLink="PedBerMedIV!$F$8" fmlaRange="tblOplossing" sel="1" val="0"/>
</file>

<file path=xl/ctrlProps/ctrlProp255.xml><?xml version="1.0" encoding="utf-8"?>
<formControlPr xmlns="http://schemas.microsoft.com/office/spreadsheetml/2009/9/main" objectType="Drop" dropStyle="combo" dx="16" fmlaLink="PedBerMedIV!$F$9" fmlaRange="tblOplossing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Oplossing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Oplossing" sel="2" val="0"/>
</file>

<file path=xl/ctrlProps/ctrlProp258.xml><?xml version="1.0" encoding="utf-8"?>
<formControlPr xmlns="http://schemas.microsoft.com/office/spreadsheetml/2009/9/main" objectType="Drop" dropStyle="combo" dx="16" fmlaLink="PedBerMedIV!$F$12" fmlaRange="tblOplossing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Oplossing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Oplossing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Oplossing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Oplossing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Oplossing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Oplossing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Oplossing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3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8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Oplossing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Oplossing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Oplossing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Oplossing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Oplossing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sel="1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1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PerOs" sel="0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sel="1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sel="1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Poeder" sel="0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Poeder" sel="0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sel="1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3" fmlaRange="Tbl_Neo_MedIV" sel="6" val="3"/>
</file>

<file path=xl/ctrlProps/ctrlProp608.xml><?xml version="1.0" encoding="utf-8"?>
<formControlPr xmlns="http://schemas.microsoft.com/office/spreadsheetml/2009/9/main" objectType="Drop" dropStyle="combo" dx="16" fmlaLink="NeoBerInfB!$B$24" fmlaRange="Tbl_Neo_MedIV" sel="10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1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4.xml><?xml version="1.0" encoding="utf-8"?>
<formControlPr xmlns="http://schemas.microsoft.com/office/spreadsheetml/2009/9/main" objectType="Spin" dx="15" fmlaLink="NeoBerInfB!$B$22" inc="5" max="10" page="10" val="0"/>
</file>

<file path=xl/ctrlProps/ctrlProp615.xml><?xml version="1.0" encoding="utf-8"?>
<formControlPr xmlns="http://schemas.microsoft.com/office/spreadsheetml/2009/9/main" objectType="Spin" dx="15" fmlaLink="NeoBerInfB!$F$23" max="30000" page="10" val="16"/>
</file>

<file path=xl/ctrlProps/ctrlProp616.xml><?xml version="1.0" encoding="utf-8"?>
<formControlPr xmlns="http://schemas.microsoft.com/office/spreadsheetml/2009/9/main" objectType="Spin" dx="15" fmlaLink="NeoBerInfB!$F$24" max="30000" page="10" val="5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0"/>
</file>

<file path=xl/ctrlProps/ctrlProp625.xml><?xml version="1.0" encoding="utf-8"?>
<formControlPr xmlns="http://schemas.microsoft.com/office/spreadsheetml/2009/9/main" objectType="Spin" dx="15" fmlaLink="NeoBerInfB!$C$10" inc="5" max="30000" page="10" val="0"/>
</file>

<file path=xl/ctrlProps/ctrlProp626.xml><?xml version="1.0" encoding="utf-8"?>
<formControlPr xmlns="http://schemas.microsoft.com/office/spreadsheetml/2009/9/main" objectType="Spin" dx="15" fmlaLink="NeoBerInfB!$D$7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41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42" inc="10" max="30000" page="10" val="5000"/>
</file>

<file path=xl/ctrlProps/ctrlProp631.xml><?xml version="1.0" encoding="utf-8"?>
<formControlPr xmlns="http://schemas.microsoft.com/office/spreadsheetml/2009/9/main" objectType="Spin" dx="15" fmlaLink="NeoBerInfB!$D$43" inc="10" max="30000" page="10" val="5000"/>
</file>

<file path=xl/ctrlProps/ctrlProp632.xml><?xml version="1.0" encoding="utf-8"?>
<formControlPr xmlns="http://schemas.microsoft.com/office/spreadsheetml/2009/9/main" objectType="Spin" dx="15" fmlaLink="NeoBerInfB!$D$44" inc="10" max="30000" page="10" val="5000"/>
</file>

<file path=xl/ctrlProps/ctrlProp633.xml><?xml version="1.0" encoding="utf-8"?>
<formControlPr xmlns="http://schemas.microsoft.com/office/spreadsheetml/2009/9/main" objectType="Spin" dx="15" fmlaLink="NeoBerInfB!$D$45" max="30000" page="10" val="5000"/>
</file>

<file path=xl/ctrlProps/ctrlProp634.xml><?xml version="1.0" encoding="utf-8"?>
<formControlPr xmlns="http://schemas.microsoft.com/office/spreadsheetml/2009/9/main" objectType="Spin" dx="15" fmlaLink="NeoBerInfB!$D$46" max="30000" page="10" val="5000"/>
</file>

<file path=xl/ctrlProps/ctrlProp635.xml><?xml version="1.0" encoding="utf-8"?>
<formControlPr xmlns="http://schemas.microsoft.com/office/spreadsheetml/2009/9/main" objectType="Spin" dx="15" fmlaLink="NeoBerInfB!$D$47" max="30000" page="10" val="5000"/>
</file>

<file path=xl/ctrlProps/ctrlProp636.xml><?xml version="1.0" encoding="utf-8"?>
<formControlPr xmlns="http://schemas.microsoft.com/office/spreadsheetml/2009/9/main" objectType="Spin" dx="15" fmlaLink="NeoBerInfB!$D$48" max="30000" page="10" val="5000"/>
</file>

<file path=xl/ctrlProps/ctrlProp637.xml><?xml version="1.0" encoding="utf-8"?>
<formControlPr xmlns="http://schemas.microsoft.com/office/spreadsheetml/2009/9/main" objectType="Spin" dx="15" fmlaLink="NeoBerInfB!$D$42" max="30000" page="10" val="5000"/>
</file>

<file path=xl/ctrlProps/ctrlProp638.xml><?xml version="1.0" encoding="utf-8"?>
<formControlPr xmlns="http://schemas.microsoft.com/office/spreadsheetml/2009/9/main" objectType="Spin" dx="15" fmlaLink="NeoBerInfB!$D$43" max="30000" page="10" val="5000"/>
</file>

<file path=xl/ctrlProps/ctrlProp639.xml><?xml version="1.0" encoding="utf-8"?>
<formControlPr xmlns="http://schemas.microsoft.com/office/spreadsheetml/2009/9/main" objectType="Spin" dx="15" fmlaLink="NeoBerInfB!$D$49" max="30000" page="10" val="5000"/>
</file>

<file path=xl/ctrlProps/ctrlProp640.xml><?xml version="1.0" encoding="utf-8"?>
<formControlPr xmlns="http://schemas.microsoft.com/office/spreadsheetml/2009/9/main" objectType="Radio" firstButton="1" fmlaLink="NeoBerInfB!$B$6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3" fmlaRange="Tbl_Neo_OplVlst" sel="12" val="8"/>
</file>

<file path=xl/ctrlProps/ctrlProp643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4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5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6.xml><?xml version="1.0" encoding="utf-8"?>
<formControlPr xmlns="http://schemas.microsoft.com/office/spreadsheetml/2009/9/main" objectType="Drop" dropStyle="combo" dx="16" fmlaLink="NeoBerInfB!$E$27" fmlaRange="Tbl_Neo_OplVlst" sel="1" val="0"/>
</file>

<file path=xl/ctrlProps/ctrlProp647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48.xml><?xml version="1.0" encoding="utf-8"?>
<formControlPr xmlns="http://schemas.microsoft.com/office/spreadsheetml/2009/9/main" objectType="Spin" dx="15" fmlaLink="NeoBerInfB!$D$23" max="30000" page="10" val="12"/>
</file>

<file path=xl/ctrlProps/ctrlProp649.xml><?xml version="1.0" encoding="utf-8"?>
<formControlPr xmlns="http://schemas.microsoft.com/office/spreadsheetml/2009/9/main" objectType="Spin" dx="15" fmlaLink="NeoBerInfB!$D$24" max="30000" page="10" val="12"/>
</file>

<file path=xl/ctrlProps/ctrlProp650.xml><?xml version="1.0" encoding="utf-8"?>
<formControlPr xmlns="http://schemas.microsoft.com/office/spreadsheetml/2009/9/main" objectType="Spin" dx="15" fmlaLink="NeoBerInfB!$D$25" max="30000" page="10" val="0"/>
</file>

<file path=xl/ctrlProps/ctrlProp651.xml><?xml version="1.0" encoding="utf-8"?>
<formControlPr xmlns="http://schemas.microsoft.com/office/spreadsheetml/2009/9/main" objectType="Spin" dx="15" fmlaLink="NeoBerInfB!$D$26" max="30000" page="10" val="0"/>
</file>

<file path=xl/ctrlProps/ctrlProp652.xml><?xml version="1.0" encoding="utf-8"?>
<formControlPr xmlns="http://schemas.microsoft.com/office/spreadsheetml/2009/9/main" objectType="Spin" dx="15" fmlaLink="NeoBerInfB!$D$27" max="30000" page="10" val="0"/>
</file>

<file path=xl/ctrlProps/ctrlProp653.xml><?xml version="1.0" encoding="utf-8"?>
<formControlPr xmlns="http://schemas.microsoft.com/office/spreadsheetml/2009/9/main" objectType="Spin" dx="15" fmlaLink="NeoBerInfB!$D$28" max="30000" page="10" val="0"/>
</file>

<file path=xl/ctrlProps/ctrlProp654.xml><?xml version="1.0" encoding="utf-8"?>
<formControlPr xmlns="http://schemas.microsoft.com/office/spreadsheetml/2009/9/main" objectType="Spin" dx="15" fmlaLink="NeoBerInfB!$D$29" max="30000" page="10" val="0"/>
</file>

<file path=xl/ctrlProps/ctrlProp655.xml><?xml version="1.0" encoding="utf-8"?>
<formControlPr xmlns="http://schemas.microsoft.com/office/spreadsheetml/2009/9/main" objectType="Spin" dx="15" fmlaLink="NeoBerInfB!$C$23" inc="10" max="30000" page="10" val="0"/>
</file>

<file path=xl/ctrlProps/ctrlProp656.xml><?xml version="1.0" encoding="utf-8"?>
<formControlPr xmlns="http://schemas.microsoft.com/office/spreadsheetml/2009/9/main" objectType="Spin" dx="15" fmlaLink="NeoBerInfB!$C$24" inc="10" max="30000" page="10" val="300"/>
</file>

<file path=xl/ctrlProps/ctrlProp657.xml><?xml version="1.0" encoding="utf-8"?>
<formControlPr xmlns="http://schemas.microsoft.com/office/spreadsheetml/2009/9/main" objectType="Spin" dx="15" fmlaLink="NeoBerInfB!$C$25" inc="10" max="30000" page="10" val="0"/>
</file>

<file path=xl/ctrlProps/ctrlProp658.xml><?xml version="1.0" encoding="utf-8"?>
<formControlPr xmlns="http://schemas.microsoft.com/office/spreadsheetml/2009/9/main" objectType="Spin" dx="15" fmlaLink="NeoBerInfB!$C$26" inc="10" max="30000" page="10" val="0"/>
</file>

<file path=xl/ctrlProps/ctrlProp659.xml><?xml version="1.0" encoding="utf-8"?>
<formControlPr xmlns="http://schemas.microsoft.com/office/spreadsheetml/2009/9/main" objectType="Spin" dx="15" fmlaLink="NeoBerInfB!$C$27" inc="10" max="30000" page="10" val="0"/>
</file>

<file path=xl/ctrlProps/ctrlProp660.xml><?xml version="1.0" encoding="utf-8"?>
<formControlPr xmlns="http://schemas.microsoft.com/office/spreadsheetml/2009/9/main" objectType="Spin" dx="15" fmlaLink="NeoBerInfB!$C$28" inc="10" max="30000" page="10" val="0"/>
</file>

<file path=xl/ctrlProps/ctrlProp661.xml><?xml version="1.0" encoding="utf-8"?>
<formControlPr xmlns="http://schemas.microsoft.com/office/spreadsheetml/2009/9/main" objectType="Spin" dx="15" fmlaLink="NeoBerInfB!$C$29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I$22" lockText="1"/>
</file>

<file path=xl/ctrlProps/ctrlProp665.xml><?xml version="1.0" encoding="utf-8"?>
<formControlPr xmlns="http://schemas.microsoft.com/office/spreadsheetml/2009/9/main" objectType="CheckBox" fmlaLink="NeoBerInfB!$I$23" lockText="1"/>
</file>

<file path=xl/ctrlProps/ctrlProp666.xml><?xml version="1.0" encoding="utf-8"?>
<formControlPr xmlns="http://schemas.microsoft.com/office/spreadsheetml/2009/9/main" objectType="CheckBox" fmlaLink="NeoBerInfB!$I$24" lockText="1"/>
</file>

<file path=xl/ctrlProps/ctrlProp667.xml><?xml version="1.0" encoding="utf-8"?>
<formControlPr xmlns="http://schemas.microsoft.com/office/spreadsheetml/2009/9/main" objectType="CheckBox" fmlaLink="NeoBerInfB!$I$25" lockText="1"/>
</file>

<file path=xl/ctrlProps/ctrlProp668.xml><?xml version="1.0" encoding="utf-8"?>
<formControlPr xmlns="http://schemas.microsoft.com/office/spreadsheetml/2009/9/main" objectType="CheckBox" fmlaLink="NeoBerInfB!$I$26" lockText="1"/>
</file>

<file path=xl/ctrlProps/ctrlProp669.xml><?xml version="1.0" encoding="utf-8"?>
<formControlPr xmlns="http://schemas.microsoft.com/office/spreadsheetml/2009/9/main" objectType="CheckBox" fmlaLink="NeoBerInfB!$I$27" lockText="1"/>
</file>

<file path=xl/ctrlProps/ctrlProp670.xml><?xml version="1.0" encoding="utf-8"?>
<formControlPr xmlns="http://schemas.microsoft.com/office/spreadsheetml/2009/9/main" objectType="CheckBox" fmlaLink="NeoBerInfB!$I$28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30" fmlaRange="Tbl_Neo_MedIV" sel="1" val="0"/>
</file>

<file path=xl/ctrlProps/ctrlProp673.xml><?xml version="1.0" encoding="utf-8"?>
<formControlPr xmlns="http://schemas.microsoft.com/office/spreadsheetml/2009/9/main" objectType="Spin" dx="15" fmlaLink="NeoBerInfB!$F$30" max="30000" page="10" val="0"/>
</file>

<file path=xl/ctrlProps/ctrlProp674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5.xml><?xml version="1.0" encoding="utf-8"?>
<formControlPr xmlns="http://schemas.microsoft.com/office/spreadsheetml/2009/9/main" objectType="Spin" dx="15" fmlaLink="NeoBerInfB!$D$30" max="30000" page="10" val="0"/>
</file>

<file path=xl/ctrlProps/ctrlProp676.xml><?xml version="1.0" encoding="utf-8"?>
<formControlPr xmlns="http://schemas.microsoft.com/office/spreadsheetml/2009/9/main" objectType="Spin" dx="15" fmlaLink="NeoBerInfB!$C$30" inc="10" max="30000" page="10" val="0"/>
</file>

<file path=xl/ctrlProps/ctrlProp677.xml><?xml version="1.0" encoding="utf-8"?>
<formControlPr xmlns="http://schemas.microsoft.com/office/spreadsheetml/2009/9/main" objectType="CheckBox" fmlaLink="NeoBerInfB!$I$29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31" max="30000" page="10" val="0"/>
</file>

<file path=xl/ctrlProps/ctrlProp680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81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2.xml><?xml version="1.0" encoding="utf-8"?>
<formControlPr xmlns="http://schemas.microsoft.com/office/spreadsheetml/2009/9/main" objectType="CheckBox" fmlaLink="NeoBerInfB!$I$30" lockText="1"/>
</file>

<file path=xl/ctrlProps/ctrlProp683.xml><?xml version="1.0" encoding="utf-8"?>
<formControlPr xmlns="http://schemas.microsoft.com/office/spreadsheetml/2009/9/main" objectType="CheckBox" fmlaLink="NeoBerInfB!$I$31" lockText="1"/>
</file>

<file path=xl/ctrlProps/ctrlProp684.xml><?xml version="1.0" encoding="utf-8"?>
<formControlPr xmlns="http://schemas.microsoft.com/office/spreadsheetml/2009/9/main" objectType="Spin" dx="15" fmlaLink="NeoBerInfB!$D$40" max="30000" page="10" val="5000"/>
</file>

<file path=xl/ctrlProps/ctrlProp685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6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7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88.xml><?xml version="1.0" encoding="utf-8"?>
<formControlPr xmlns="http://schemas.microsoft.com/office/spreadsheetml/2009/9/main" objectType="Spin" dx="15" fmlaLink="NeoBerInfB!$F$10" max="24" page="10" val="0"/>
</file>

<file path=xl/ctrlProps/ctrlProp689.xml><?xml version="1.0" encoding="utf-8"?>
<formControlPr xmlns="http://schemas.microsoft.com/office/spreadsheetml/2009/9/main" objectType="Spin" dx="15" fmlaLink="NeoBerInfB!$C$9" inc="5" max="30000" page="10" val="0"/>
</file>

<file path=xl/ctrlProps/ctrlProp690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91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92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3.xml><?xml version="1.0" encoding="utf-8"?>
<formControlPr xmlns="http://schemas.microsoft.com/office/spreadsheetml/2009/9/main" objectType="Spin" dx="15" fmlaLink="NeoBerInfB!$D$31" max="30000" page="10" val="0"/>
</file>

<file path=xl/ctrlProps/ctrlProp694.xml><?xml version="1.0" encoding="utf-8"?>
<formControlPr xmlns="http://schemas.microsoft.com/office/spreadsheetml/2009/9/main" objectType="Spin" dx="15" fmlaLink="NeoBerInfB!$C$31" inc="10" max="30000" page="10" val="0"/>
</file>

<file path=xl/ctrlProps/ctrlProp695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6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7.xml><?xml version="1.0" encoding="utf-8"?>
<formControlPr xmlns="http://schemas.microsoft.com/office/spreadsheetml/2009/9/main" objectType="Spin" dx="15" fmlaLink="NeoBerInfB!$F$33" max="30000" page="10" val="0"/>
</file>

<file path=xl/ctrlProps/ctrlProp698.xml><?xml version="1.0" encoding="utf-8"?>
<formControlPr xmlns="http://schemas.microsoft.com/office/spreadsheetml/2009/9/main" objectType="CheckBox" fmlaLink="NeoBerInfB!$I$33" lockText="1"/>
</file>

<file path=xl/ctrlProps/ctrlProp699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700.xml><?xml version="1.0" encoding="utf-8"?>
<formControlPr xmlns="http://schemas.microsoft.com/office/spreadsheetml/2009/9/main" objectType="Spin" dx="15" fmlaLink="NeoBerInfB!$F$34" max="30000" page="10" val="0"/>
</file>

<file path=xl/ctrlProps/ctrlProp701.xml><?xml version="1.0" encoding="utf-8"?>
<formControlPr xmlns="http://schemas.microsoft.com/office/spreadsheetml/2009/9/main" objectType="CheckBox" fmlaLink="NeoBerInfB!$I$34" lockText="1"/>
</file>

<file path=xl/ctrlProps/ctrlProp702.xml><?xml version="1.0" encoding="utf-8"?>
<formControlPr xmlns="http://schemas.microsoft.com/office/spreadsheetml/2009/9/main" objectType="CheckBox" fmlaLink="NeoBerInfB!$I$34" lockText="1"/>
</file>

<file path=xl/ctrlProps/ctrlProp703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4.xml><?xml version="1.0" encoding="utf-8"?>
<formControlPr xmlns="http://schemas.microsoft.com/office/spreadsheetml/2009/9/main" objectType="Spin" dx="15" fmlaLink="NeoBerInfB!$F$35" max="30000" page="10" val="0"/>
</file>

<file path=xl/ctrlProps/ctrlProp705.xml><?xml version="1.0" encoding="utf-8"?>
<formControlPr xmlns="http://schemas.microsoft.com/office/spreadsheetml/2009/9/main" objectType="CheckBox" fmlaLink="NeoBerInfB!$I$35" lockText="1"/>
</file>

<file path=xl/ctrlProps/ctrlProp706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7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08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09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10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11.xml><?xml version="1.0" encoding="utf-8"?>
<formControlPr xmlns="http://schemas.microsoft.com/office/spreadsheetml/2009/9/main" objectType="CheckBox" fmlaLink="NeoBerInfB!$B$21" lockText="1" noThreeD="1"/>
</file>

<file path=xl/ctrlProps/ctrlProp712.xml><?xml version="1.0" encoding="utf-8"?>
<formControlPr xmlns="http://schemas.microsoft.com/office/spreadsheetml/2009/9/main" objectType="Spin" dx="15" fmlaLink="NeoBerInfB!$F$25" max="30000" page="10" val="0"/>
</file>

<file path=xl/ctrlProps/ctrlProp713.xml><?xml version="1.0" encoding="utf-8"?>
<formControlPr xmlns="http://schemas.microsoft.com/office/spreadsheetml/2009/9/main" objectType="Spin" dx="15" fmlaLink="NeoBerInfB!$F$26" max="30000" page="10" val="0"/>
</file>

<file path=xl/ctrlProps/ctrlProp714.xml><?xml version="1.0" encoding="utf-8"?>
<formControlPr xmlns="http://schemas.microsoft.com/office/spreadsheetml/2009/9/main" objectType="Spin" dx="15" fmlaLink="NeoBerInfB!$F$27" max="30000" page="10" val="0"/>
</file>

<file path=xl/ctrlProps/ctrlProp715.xml><?xml version="1.0" encoding="utf-8"?>
<formControlPr xmlns="http://schemas.microsoft.com/office/spreadsheetml/2009/9/main" objectType="Spin" dx="15" fmlaLink="NeoBerInfB!$F$28" max="30000" page="10" val="0"/>
</file>

<file path=xl/ctrlProps/ctrlProp716.xml><?xml version="1.0" encoding="utf-8"?>
<formControlPr xmlns="http://schemas.microsoft.com/office/spreadsheetml/2009/9/main" objectType="Spin" dx="15" fmlaLink="NeoBerInfB!$F$29" max="30000" page="10" val="0"/>
</file>

<file path=xl/ctrlProps/ctrlProp717.xml><?xml version="1.0" encoding="utf-8"?>
<formControlPr xmlns="http://schemas.microsoft.com/office/spreadsheetml/2009/9/main" objectType="Spin" dx="15" fmlaLink="NeoBerInfB!$F$30" max="30000" page="10" val="0"/>
</file>

<file path=xl/ctrlProps/ctrlProp718.xml><?xml version="1.0" encoding="utf-8"?>
<formControlPr xmlns="http://schemas.microsoft.com/office/spreadsheetml/2009/9/main" objectType="Spin" dx="15" fmlaLink="NeoBerInfB!$F$31" max="30000" page="10" val="0"/>
</file>

<file path=xl/ctrlProps/ctrlProp719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22.xml><?xml version="1.0" encoding="utf-8"?>
<formControlPr xmlns="http://schemas.microsoft.com/office/spreadsheetml/2009/9/main" objectType="CheckBox" fmlaLink="NeoBerInfB!$I$32" lockText="1"/>
</file>

<file path=xl/ctrlProps/ctrlProp723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4.xml><?xml version="1.0" encoding="utf-8"?>
<formControlPr xmlns="http://schemas.microsoft.com/office/spreadsheetml/2009/9/main" objectType="Spin" dx="15" fmlaLink="NeoBerInfB!$D$32" max="30000" page="10" val="0"/>
</file>

<file path=xl/ctrlProps/ctrlProp725.xml><?xml version="1.0" encoding="utf-8"?>
<formControlPr xmlns="http://schemas.microsoft.com/office/spreadsheetml/2009/9/main" objectType="Spin" dx="15" fmlaLink="NeoBerInfB!$C$32" inc="10" max="30000" page="10" val="0"/>
</file>

<file path=xl/ctrlProps/ctrlProp726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7.xml><?xml version="1.0" encoding="utf-8"?>
<formControlPr xmlns="http://schemas.microsoft.com/office/spreadsheetml/2009/9/main" objectType="Spin" dx="15" fmlaLink="NeoBerInfB!$F$32" max="30000" page="10" val="0"/>
</file>

<file path=xl/ctrlProps/ctrlProp728.xml><?xml version="1.0" encoding="utf-8"?>
<formControlPr xmlns="http://schemas.microsoft.com/office/spreadsheetml/2009/9/main" objectType="Spin" dx="15" fmlaLink="NeoBerInfB!$F$15" max="11" min="1" page="10"/>
</file>

<file path=xl/ctrlProps/ctrlProp729.xml><?xml version="1.0" encoding="utf-8"?>
<formControlPr xmlns="http://schemas.microsoft.com/office/spreadsheetml/2009/9/main" objectType="Spin" dx="15" fmlaLink="NeoBerInfB!$F$11" max="3" min="1" page="10"/>
</file>

<file path=xl/ctrlProps/ctrlProp730.xml><?xml version="1.0" encoding="utf-8"?>
<formControlPr xmlns="http://schemas.microsoft.com/office/spreadsheetml/2009/9/main" objectType="Spin" dx="15" fmlaLink="NeoBerInfB!$F$12" max="11" min="1" page="10"/>
</file>

<file path=xl/ctrlProps/ctrlProp731.xml><?xml version="1.0" encoding="utf-8"?>
<formControlPr xmlns="http://schemas.microsoft.com/office/spreadsheetml/2009/9/main" objectType="Spin" dx="15" fmlaLink="NeoBerInfB!$F$13" max="11" min="1" page="10"/>
</file>

<file path=xl/ctrlProps/ctrlProp732.xml><?xml version="1.0" encoding="utf-8"?>
<formControlPr xmlns="http://schemas.microsoft.com/office/spreadsheetml/2009/9/main" objectType="Spin" dx="15" fmlaLink="NeoBerInfB!$F$14" max="11" min="1" page="10"/>
</file>

<file path=xl/ctrlProps/ctrlProp733.xml><?xml version="1.0" encoding="utf-8"?>
<formControlPr xmlns="http://schemas.microsoft.com/office/spreadsheetml/2009/9/main" objectType="Spin" dx="15" fmlaLink="NeoBerInfB!$F$19" max="11" min="1" page="10"/>
</file>

<file path=xl/ctrlProps/ctrlProp734.xml><?xml version="1.0" encoding="utf-8"?>
<formControlPr xmlns="http://schemas.microsoft.com/office/spreadsheetml/2009/9/main" objectType="Spin" dx="15" fmlaLink="NeoBerInfB!$F$16" max="11" min="1" page="10"/>
</file>

<file path=xl/ctrlProps/ctrlProp735.xml><?xml version="1.0" encoding="utf-8"?>
<formControlPr xmlns="http://schemas.microsoft.com/office/spreadsheetml/2009/9/main" objectType="Spin" dx="15" fmlaLink="NeoBerInfB!$F$17" max="11" min="1" page="10"/>
</file>

<file path=xl/ctrlProps/ctrlProp736.xml><?xml version="1.0" encoding="utf-8"?>
<formControlPr xmlns="http://schemas.microsoft.com/office/spreadsheetml/2009/9/main" objectType="Spin" dx="15" fmlaLink="NeoBerInfB!$F$18" max="11" min="1" page="10"/>
</file>

<file path=xl/ctrlProps/ctrlProp737.xml><?xml version="1.0" encoding="utf-8"?>
<formControlPr xmlns="http://schemas.microsoft.com/office/spreadsheetml/2009/9/main" objectType="Spin" dx="15" fmlaLink="PatDetails!$B$7" max="200" min="25" page="10" val="25"/>
</file>

<file path=xl/ctrlProps/ctrlProp738.xml><?xml version="1.0" encoding="utf-8"?>
<formControlPr xmlns="http://schemas.microsoft.com/office/spreadsheetml/2009/9/main" objectType="CheckBox" fmlaLink="NeoBerAfspr!$F$7" lockText="1"/>
</file>

<file path=xl/ctrlProps/ctrlProp739.xml><?xml version="1.0" encoding="utf-8"?>
<formControlPr xmlns="http://schemas.microsoft.com/office/spreadsheetml/2009/9/main" objectType="CheckBox" fmlaLink="NeoBerAfspr!$F$8" lockText="1"/>
</file>

<file path=xl/ctrlProps/ctrlProp740.xml><?xml version="1.0" encoding="utf-8"?>
<formControlPr xmlns="http://schemas.microsoft.com/office/spreadsheetml/2009/9/main" objectType="CheckBox" fmlaLink="NeoBerAfspr!$F$13" lockText="1"/>
</file>

<file path=xl/ctrlProps/ctrlProp741.xml><?xml version="1.0" encoding="utf-8"?>
<formControlPr xmlns="http://schemas.microsoft.com/office/spreadsheetml/2009/9/main" objectType="CheckBox" fmlaLink="NeoBerAfspr!$F$14" lockText="1"/>
</file>

<file path=xl/ctrlProps/ctrlProp742.xml><?xml version="1.0" encoding="utf-8"?>
<formControlPr xmlns="http://schemas.microsoft.com/office/spreadsheetml/2009/9/main" objectType="CheckBox" fmlaLink="NeoBerAfspr!$F$15" lockText="1"/>
</file>

<file path=xl/ctrlProps/ctrlProp743.xml><?xml version="1.0" encoding="utf-8"?>
<formControlPr xmlns="http://schemas.microsoft.com/office/spreadsheetml/2009/9/main" objectType="CheckBox" fmlaLink="NeoBerAfspr!$F$17" lockText="1"/>
</file>

<file path=xl/ctrlProps/ctrlProp744.xml><?xml version="1.0" encoding="utf-8"?>
<formControlPr xmlns="http://schemas.microsoft.com/office/spreadsheetml/2009/9/main" objectType="CheckBox" fmlaLink="NeoBerAfspr!$F$18" lockText="1"/>
</file>

<file path=xl/ctrlProps/ctrlProp745.xml><?xml version="1.0" encoding="utf-8"?>
<formControlPr xmlns="http://schemas.microsoft.com/office/spreadsheetml/2009/9/main" objectType="CheckBox" fmlaLink="NeoBerAfspr!$F$21" lockText="1"/>
</file>

<file path=xl/ctrlProps/ctrlProp746.xml><?xml version="1.0" encoding="utf-8"?>
<formControlPr xmlns="http://schemas.microsoft.com/office/spreadsheetml/2009/9/main" objectType="CheckBox" fmlaLink="NeoBerAfspr!$F$22" lockText="1"/>
</file>

<file path=xl/ctrlProps/ctrlProp747.xml><?xml version="1.0" encoding="utf-8"?>
<formControlPr xmlns="http://schemas.microsoft.com/office/spreadsheetml/2009/9/main" objectType="CheckBox" fmlaLink="NeoBerAfspr!$H$9" lockText="1"/>
</file>

<file path=xl/ctrlProps/ctrlProp748.xml><?xml version="1.0" encoding="utf-8"?>
<formControlPr xmlns="http://schemas.microsoft.com/office/spreadsheetml/2009/9/main" objectType="CheckBox" fmlaLink="NeoBerAfspr!$H$10" lockText="1"/>
</file>

<file path=xl/ctrlProps/ctrlProp749.xml><?xml version="1.0" encoding="utf-8"?>
<formControlPr xmlns="http://schemas.microsoft.com/office/spreadsheetml/2009/9/main" objectType="CheckBox" fmlaLink="NeoBerAfspr!$H$11" lockText="1"/>
</file>

<file path=xl/ctrlProps/ctrlProp750.xml><?xml version="1.0" encoding="utf-8"?>
<formControlPr xmlns="http://schemas.microsoft.com/office/spreadsheetml/2009/9/main" objectType="CheckBox" fmlaLink="NeoBerAfspr!$H$8" lockText="1"/>
</file>

<file path=xl/ctrlProps/ctrlProp751.xml><?xml version="1.0" encoding="utf-8"?>
<formControlPr xmlns="http://schemas.microsoft.com/office/spreadsheetml/2009/9/main" objectType="CheckBox" fmlaLink="NeoBerAfspr!$F$12" lockText="1"/>
</file>

<file path=xl/ctrlProps/ctrlProp752.xml><?xml version="1.0" encoding="utf-8"?>
<formControlPr xmlns="http://schemas.microsoft.com/office/spreadsheetml/2009/9/main" objectType="CheckBox" fmlaLink="NeoBerAfspr!$H$13" lockText="1"/>
</file>

<file path=xl/ctrlProps/ctrlProp753.xml><?xml version="1.0" encoding="utf-8"?>
<formControlPr xmlns="http://schemas.microsoft.com/office/spreadsheetml/2009/9/main" objectType="CheckBox" fmlaLink="NeoBerAfspr!$H$15" lockText="1"/>
</file>

<file path=xl/ctrlProps/ctrlProp754.xml><?xml version="1.0" encoding="utf-8"?>
<formControlPr xmlns="http://schemas.microsoft.com/office/spreadsheetml/2009/9/main" objectType="CheckBox" fmlaLink="NeoBerAfspr!$H$16" lockText="1"/>
</file>

<file path=xl/ctrlProps/ctrlProp755.xml><?xml version="1.0" encoding="utf-8"?>
<formControlPr xmlns="http://schemas.microsoft.com/office/spreadsheetml/2009/9/main" objectType="CheckBox" fmlaLink="NeoBerAfspr!$H$18" lockText="1"/>
</file>

<file path=xl/ctrlProps/ctrlProp756.xml><?xml version="1.0" encoding="utf-8"?>
<formControlPr xmlns="http://schemas.microsoft.com/office/spreadsheetml/2009/9/main" objectType="CheckBox" fmlaLink="NeoBerAfspr!$H$20" lockText="1"/>
</file>

<file path=xl/ctrlProps/ctrlProp757.xml><?xml version="1.0" encoding="utf-8"?>
<formControlPr xmlns="http://schemas.microsoft.com/office/spreadsheetml/2009/9/main" objectType="CheckBox" fmlaLink="NeoBerAfspr!$H$19" lockText="1"/>
</file>

<file path=xl/ctrlProps/ctrlProp758.xml><?xml version="1.0" encoding="utf-8"?>
<formControlPr xmlns="http://schemas.microsoft.com/office/spreadsheetml/2009/9/main" objectType="CheckBox" fmlaLink="NeoBerAfspr!$H$22" lockText="1"/>
</file>

<file path=xl/ctrlProps/ctrlProp759.xml><?xml version="1.0" encoding="utf-8"?>
<formControlPr xmlns="http://schemas.microsoft.com/office/spreadsheetml/2009/9/main" objectType="CheckBox" fmlaLink="NeoBerAfspr!$F$23" lockText="1"/>
</file>

<file path=xl/ctrlProps/ctrlProp760.xml><?xml version="1.0" encoding="utf-8"?>
<formControlPr xmlns="http://schemas.microsoft.com/office/spreadsheetml/2009/9/main" objectType="CheckBox" fmlaLink="NeoBerAfspr!$H$23" lockText="1"/>
</file>

<file path=xl/ctrlProps/ctrlProp761.xml><?xml version="1.0" encoding="utf-8"?>
<formControlPr xmlns="http://schemas.microsoft.com/office/spreadsheetml/2009/9/main" objectType="CheckBox" fmlaLink="NeoBerAfspr!$H$24" lockText="1"/>
</file>

<file path=xl/ctrlProps/ctrlProp762.xml><?xml version="1.0" encoding="utf-8"?>
<formControlPr xmlns="http://schemas.microsoft.com/office/spreadsheetml/2009/9/main" objectType="CheckBox" fmlaLink="NeoBerAfspr!$H$25" lockText="1"/>
</file>

<file path=xl/ctrlProps/ctrlProp763.xml><?xml version="1.0" encoding="utf-8"?>
<formControlPr xmlns="http://schemas.microsoft.com/office/spreadsheetml/2009/9/main" objectType="CheckBox" fmlaLink="NeoBerAfspr!$H$26" lockText="1"/>
</file>

<file path=xl/ctrlProps/ctrlProp764.xml><?xml version="1.0" encoding="utf-8"?>
<formControlPr xmlns="http://schemas.microsoft.com/office/spreadsheetml/2009/9/main" objectType="CheckBox" fmlaLink="NeoBerAfspr!$H$27" lockText="1"/>
</file>

<file path=xl/ctrlProps/ctrlProp765.xml><?xml version="1.0" encoding="utf-8"?>
<formControlPr xmlns="http://schemas.microsoft.com/office/spreadsheetml/2009/9/main" objectType="CheckBox" fmlaLink="NeoBerAfspr!$H$28" lockText="1"/>
</file>

<file path=xl/ctrlProps/ctrlProp766.xml><?xml version="1.0" encoding="utf-8"?>
<formControlPr xmlns="http://schemas.microsoft.com/office/spreadsheetml/2009/9/main" objectType="CheckBox" fmlaLink="NeoBerAfspr!$H$29" lockText="1"/>
</file>

<file path=xl/ctrlProps/ctrlProp767.xml><?xml version="1.0" encoding="utf-8"?>
<formControlPr xmlns="http://schemas.microsoft.com/office/spreadsheetml/2009/9/main" objectType="CheckBox" fmlaLink="NeoBerAfspr!$H$30" lockText="1"/>
</file>

<file path=xl/ctrlProps/ctrlProp768.xml><?xml version="1.0" encoding="utf-8"?>
<formControlPr xmlns="http://schemas.microsoft.com/office/spreadsheetml/2009/9/main" objectType="CheckBox" fmlaLink="NeoBerAfspr!$F$31" lockText="1"/>
</file>

<file path=xl/ctrlProps/ctrlProp769.xml><?xml version="1.0" encoding="utf-8"?>
<formControlPr xmlns="http://schemas.microsoft.com/office/spreadsheetml/2009/9/main" objectType="CheckBox" fmlaLink="NeoBerAfspr!$J$7" lockText="1"/>
</file>

<file path=xl/ctrlProps/ctrlProp770.xml><?xml version="1.0" encoding="utf-8"?>
<formControlPr xmlns="http://schemas.microsoft.com/office/spreadsheetml/2009/9/main" objectType="CheckBox" fmlaLink="NeoBerAfspr!$J$8" lockText="1"/>
</file>

<file path=xl/ctrlProps/ctrlProp771.xml><?xml version="1.0" encoding="utf-8"?>
<formControlPr xmlns="http://schemas.microsoft.com/office/spreadsheetml/2009/9/main" objectType="CheckBox" fmlaLink="NeoBerAfspr!$J$9" lockText="1"/>
</file>

<file path=xl/ctrlProps/ctrlProp772.xml><?xml version="1.0" encoding="utf-8"?>
<formControlPr xmlns="http://schemas.microsoft.com/office/spreadsheetml/2009/9/main" objectType="CheckBox" fmlaLink="NeoBerAfspr!$J$10" lockText="1"/>
</file>

<file path=xl/ctrlProps/ctrlProp773.xml><?xml version="1.0" encoding="utf-8"?>
<formControlPr xmlns="http://schemas.microsoft.com/office/spreadsheetml/2009/9/main" objectType="CheckBox" fmlaLink="NeoBerAfspr!$J$12" lockText="1"/>
</file>

<file path=xl/ctrlProps/ctrlProp774.xml><?xml version="1.0" encoding="utf-8"?>
<formControlPr xmlns="http://schemas.microsoft.com/office/spreadsheetml/2009/9/main" objectType="CheckBox" fmlaLink="NeoBerAfspr!$J$13" lockText="1"/>
</file>

<file path=xl/ctrlProps/ctrlProp775.xml><?xml version="1.0" encoding="utf-8"?>
<formControlPr xmlns="http://schemas.microsoft.com/office/spreadsheetml/2009/9/main" objectType="CheckBox" fmlaLink="NeoBerAfspr!$J$14" lockText="1"/>
</file>

<file path=xl/ctrlProps/ctrlProp776.xml><?xml version="1.0" encoding="utf-8"?>
<formControlPr xmlns="http://schemas.microsoft.com/office/spreadsheetml/2009/9/main" objectType="CheckBox" fmlaLink="NeoBerAfspr!$J$15" lockText="1"/>
</file>

<file path=xl/ctrlProps/ctrlProp777.xml><?xml version="1.0" encoding="utf-8"?>
<formControlPr xmlns="http://schemas.microsoft.com/office/spreadsheetml/2009/9/main" objectType="CheckBox" fmlaLink="NeoBerAfspr!$J$16" lockText="1"/>
</file>

<file path=xl/ctrlProps/ctrlProp778.xml><?xml version="1.0" encoding="utf-8"?>
<formControlPr xmlns="http://schemas.microsoft.com/office/spreadsheetml/2009/9/main" objectType="CheckBox" fmlaLink="NeoBerAfspr!$J$19" lockText="1"/>
</file>

<file path=xl/ctrlProps/ctrlProp779.xml><?xml version="1.0" encoding="utf-8"?>
<formControlPr xmlns="http://schemas.microsoft.com/office/spreadsheetml/2009/9/main" objectType="CheckBox" fmlaLink="NeoBerAfspr!$J$17" lockText="1"/>
</file>

<file path=xl/ctrlProps/ctrlProp780.xml><?xml version="1.0" encoding="utf-8"?>
<formControlPr xmlns="http://schemas.microsoft.com/office/spreadsheetml/2009/9/main" objectType="CheckBox" fmlaLink="NeoBerAfspr!$J$24" lockText="1"/>
</file>

<file path=xl/ctrlProps/ctrlProp781.xml><?xml version="1.0" encoding="utf-8"?>
<formControlPr xmlns="http://schemas.microsoft.com/office/spreadsheetml/2009/9/main" objectType="CheckBox" fmlaLink="NeoBerAfspr!$L$24" lockText="1"/>
</file>

<file path=xl/ctrlProps/ctrlProp782.xml><?xml version="1.0" encoding="utf-8"?>
<formControlPr xmlns="http://schemas.microsoft.com/office/spreadsheetml/2009/9/main" objectType="CheckBox" fmlaLink="NeoBerAfspr!$L$25" lockText="1"/>
</file>

<file path=xl/ctrlProps/ctrlProp783.xml><?xml version="1.0" encoding="utf-8"?>
<formControlPr xmlns="http://schemas.microsoft.com/office/spreadsheetml/2009/9/main" objectType="CheckBox" fmlaLink="NeoBerAfspr!$L$26" lockText="1"/>
</file>

<file path=xl/ctrlProps/ctrlProp784.xml><?xml version="1.0" encoding="utf-8"?>
<formControlPr xmlns="http://schemas.microsoft.com/office/spreadsheetml/2009/9/main" objectType="CheckBox" fmlaLink="NeoBerAfspr!$L$27" lockText="1"/>
</file>

<file path=xl/ctrlProps/ctrlProp785.xml><?xml version="1.0" encoding="utf-8"?>
<formControlPr xmlns="http://schemas.microsoft.com/office/spreadsheetml/2009/9/main" objectType="CheckBox" fmlaLink="NeoBerAfspr!$J$20" lockText="1"/>
</file>

<file path=xl/ctrlProps/ctrlProp786.xml><?xml version="1.0" encoding="utf-8"?>
<formControlPr xmlns="http://schemas.microsoft.com/office/spreadsheetml/2009/9/main" objectType="CheckBox" fmlaLink="NeoBerAfspr!$L$21" lockText="1"/>
</file>

<file path=xl/ctrlProps/ctrlProp787.xml><?xml version="1.0" encoding="utf-8"?>
<formControlPr xmlns="http://schemas.microsoft.com/office/spreadsheetml/2009/9/main" objectType="CheckBox" fmlaLink="NeoBerAfspr!$L$22" lockText="1"/>
</file>

<file path=xl/ctrlProps/ctrlProp788.xml><?xml version="1.0" encoding="utf-8"?>
<formControlPr xmlns="http://schemas.microsoft.com/office/spreadsheetml/2009/9/main" objectType="CheckBox" fmlaLink="NeoBerAfspr!$L$23" lockText="1"/>
</file>

<file path=xl/ctrlProps/ctrlProp789.xml><?xml version="1.0" encoding="utf-8"?>
<formControlPr xmlns="http://schemas.microsoft.com/office/spreadsheetml/2009/9/main" objectType="Spin" dx="15" fmlaLink="NeoBerAfspr!$B$12" max="24" page="10" val="0"/>
</file>

<file path=xl/ctrlProps/ctrlProp790.xml><?xml version="1.0" encoding="utf-8"?>
<formControlPr xmlns="http://schemas.microsoft.com/office/spreadsheetml/2009/9/main" objectType="Spin" dx="15" fmlaLink="NeoBerAfspr!$K$17" max="24" page="10" val="0"/>
</file>

<file path=xl/ctrlProps/ctrlProp791.xml><?xml version="1.0" encoding="utf-8"?>
<formControlPr xmlns="http://schemas.microsoft.com/office/spreadsheetml/2009/9/main" objectType="Spin" dx="15" fmlaLink="NeoBerAfspr!$L$17" max="1000" page="10" val="0"/>
</file>

<file path=xl/ctrlProps/ctrlProp792.xml><?xml version="1.0" encoding="utf-8"?>
<formControlPr xmlns="http://schemas.microsoft.com/office/spreadsheetml/2009/9/main" objectType="CheckBox" fmlaLink="NeoBerAfspr!$B$27" lockText="1"/>
</file>

<file path=xl/ctrlProps/ctrlProp793.xml><?xml version="1.0" encoding="utf-8"?>
<formControlPr xmlns="http://schemas.microsoft.com/office/spreadsheetml/2009/9/main" objectType="CheckBox" fmlaLink="NeoBerAfspr!$B$28" lockText="1"/>
</file>

<file path=xl/ctrlProps/ctrlProp794.xml><?xml version="1.0" encoding="utf-8"?>
<formControlPr xmlns="http://schemas.microsoft.com/office/spreadsheetml/2009/9/main" objectType="CheckBox" fmlaLink="NeoBerAfspr!$B$29" lockText="1"/>
</file>

<file path=xl/ctrlProps/ctrlProp795.xml><?xml version="1.0" encoding="utf-8"?>
<formControlPr xmlns="http://schemas.microsoft.com/office/spreadsheetml/2009/9/main" objectType="CheckBox" fmlaLink="NeoBerAfspr!$B$30" lockText="1"/>
</file>

<file path=xl/ctrlProps/ctrlProp796.xml><?xml version="1.0" encoding="utf-8"?>
<formControlPr xmlns="http://schemas.microsoft.com/office/spreadsheetml/2009/9/main" objectType="CheckBox" fmlaLink="NeoBerAfspr!$B$34" lockText="1"/>
</file>

<file path=xl/ctrlProps/ctrlProp797.xml><?xml version="1.0" encoding="utf-8"?>
<formControlPr xmlns="http://schemas.microsoft.com/office/spreadsheetml/2009/9/main" objectType="CheckBox" checked="Checked" fmlaLink="NeoBerAfspr!$D$35" lockText="1"/>
</file>

<file path=xl/ctrlProps/ctrlProp798.xml><?xml version="1.0" encoding="utf-8"?>
<formControlPr xmlns="http://schemas.microsoft.com/office/spreadsheetml/2009/9/main" objectType="CheckBox" checked="Checked" fmlaLink="NeoBerAfspr!$D$36" lockText="1"/>
</file>

<file path=xl/ctrlProps/ctrlProp799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800.xml><?xml version="1.0" encoding="utf-8"?>
<formControlPr xmlns="http://schemas.microsoft.com/office/spreadsheetml/2009/9/main" objectType="CheckBox" fmlaLink="NeoBerAfspr!$B$37" lockText="1"/>
</file>

<file path=xl/ctrlProps/ctrlProp801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2.xml><?xml version="1.0" encoding="utf-8"?>
<formControlPr xmlns="http://schemas.microsoft.com/office/spreadsheetml/2009/9/main" objectType="CheckBox" fmlaLink="NeoBerAfspr!$B$7" lockText="1"/>
</file>

<file path=xl/ctrlProps/ctrlProp803.xml><?xml version="1.0" encoding="utf-8"?>
<formControlPr xmlns="http://schemas.microsoft.com/office/spreadsheetml/2009/9/main" objectType="CheckBox" fmlaLink="NeoBerAfspr!$B$8" lockText="1"/>
</file>

<file path=xl/ctrlProps/ctrlProp804.xml><?xml version="1.0" encoding="utf-8"?>
<formControlPr xmlns="http://schemas.microsoft.com/office/spreadsheetml/2009/9/main" objectType="CheckBox" fmlaLink="NeoBerAfspr!$B$9" lockText="1"/>
</file>

<file path=xl/ctrlProps/ctrlProp805.xml><?xml version="1.0" encoding="utf-8"?>
<formControlPr xmlns="http://schemas.microsoft.com/office/spreadsheetml/2009/9/main" objectType="CheckBox" fmlaLink="NeoBerAfspr!$B$10" lockText="1"/>
</file>

<file path=xl/ctrlProps/ctrlProp806.xml><?xml version="1.0" encoding="utf-8"?>
<formControlPr xmlns="http://schemas.microsoft.com/office/spreadsheetml/2009/9/main" objectType="CheckBox" fmlaLink="NeoBerAfspr!$B$22" lockText="1"/>
</file>

<file path=xl/ctrlProps/ctrlProp807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08.xml><?xml version="1.0" encoding="utf-8"?>
<formControlPr xmlns="http://schemas.microsoft.com/office/spreadsheetml/2009/9/main" objectType="CheckBox" fmlaLink="NeoBerAfspr!$B$23" lockText="1"/>
</file>

<file path=xl/ctrlProps/ctrlProp809.xml><?xml version="1.0" encoding="utf-8"?>
<formControlPr xmlns="http://schemas.microsoft.com/office/spreadsheetml/2009/9/main" objectType="CheckBox" fmlaLink="NeoBerAfspr!$B$25" lockText="1"/>
</file>

<file path=xl/ctrlProps/ctrlProp810.xml><?xml version="1.0" encoding="utf-8"?>
<formControlPr xmlns="http://schemas.microsoft.com/office/spreadsheetml/2009/9/main" objectType="CheckBox" fmlaLink="NeoBerAfspr!$B$26" lockText="1"/>
</file>

<file path=xl/ctrlProps/ctrlProp811.xml><?xml version="1.0" encoding="utf-8"?>
<formControlPr xmlns="http://schemas.microsoft.com/office/spreadsheetml/2009/9/main" objectType="CheckBox" fmlaLink="NeoBerAfspr!$B$24" lockText="1"/>
</file>

<file path=xl/ctrlProps/ctrlProp812.xml><?xml version="1.0" encoding="utf-8"?>
<formControlPr xmlns="http://schemas.microsoft.com/office/spreadsheetml/2009/9/main" objectType="CheckBox" fmlaLink="NeoBerAfspr!$B$31" lockText="1"/>
</file>

<file path=xl/ctrlProps/ctrlProp813.xml><?xml version="1.0" encoding="utf-8"?>
<formControlPr xmlns="http://schemas.microsoft.com/office/spreadsheetml/2009/9/main" objectType="CheckBox" fmlaLink="NeoBerAfspr!$B$32" lockText="1"/>
</file>

<file path=xl/ctrlProps/ctrlProp814.xml><?xml version="1.0" encoding="utf-8"?>
<formControlPr xmlns="http://schemas.microsoft.com/office/spreadsheetml/2009/9/main" objectType="CheckBox" fmlaLink="NeoBerAfspr!$B$11" lockText="1"/>
</file>

<file path=xl/ctrlProps/ctrlProp815.xml><?xml version="1.0" encoding="utf-8"?>
<formControlPr xmlns="http://schemas.microsoft.com/office/spreadsheetml/2009/9/main" objectType="CheckBox" fmlaLink="NeoBerAfspr!$B$15" lockText="1"/>
</file>

<file path=xl/ctrlProps/ctrlProp816.xml><?xml version="1.0" encoding="utf-8"?>
<formControlPr xmlns="http://schemas.microsoft.com/office/spreadsheetml/2009/9/main" objectType="CheckBox" fmlaLink="NeoBerAfspr!$B$16" lockText="1"/>
</file>

<file path=xl/ctrlProps/ctrlProp817.xml><?xml version="1.0" encoding="utf-8"?>
<formControlPr xmlns="http://schemas.microsoft.com/office/spreadsheetml/2009/9/main" objectType="CheckBox" fmlaLink="NeoBerAfspr!$B$17" lockText="1"/>
</file>

<file path=xl/ctrlProps/ctrlProp818.xml><?xml version="1.0" encoding="utf-8"?>
<formControlPr xmlns="http://schemas.microsoft.com/office/spreadsheetml/2009/9/main" objectType="CheckBox" fmlaLink="NeoBerAfspr!$B$19" lockText="1"/>
</file>

<file path=xl/ctrlProps/ctrlProp819.xml><?xml version="1.0" encoding="utf-8"?>
<formControlPr xmlns="http://schemas.microsoft.com/office/spreadsheetml/2009/9/main" objectType="CheckBox" fmlaLink="NeoBerAfspr!$D$11" lockText="1"/>
</file>

<file path=xl/ctrlProps/ctrlProp820.xml><?xml version="1.0" encoding="utf-8"?>
<formControlPr xmlns="http://schemas.microsoft.com/office/spreadsheetml/2009/9/main" objectType="CheckBox" fmlaLink="NeoBerAfspr!$D$12" lockText="1"/>
</file>

<file path=xl/ctrlProps/ctrlProp821.xml><?xml version="1.0" encoding="utf-8"?>
<formControlPr xmlns="http://schemas.microsoft.com/office/spreadsheetml/2009/9/main" objectType="CheckBox" fmlaLink="NeoBerAfspr!$D$13" lockText="1"/>
</file>

<file path=xl/ctrlProps/ctrlProp822.xml><?xml version="1.0" encoding="utf-8"?>
<formControlPr xmlns="http://schemas.microsoft.com/office/spreadsheetml/2009/9/main" objectType="CheckBox" fmlaLink="NeoBerAfspr!$D$14" lockText="1"/>
</file>

<file path=xl/ctrlProps/ctrlProp823.xml><?xml version="1.0" encoding="utf-8"?>
<formControlPr xmlns="http://schemas.microsoft.com/office/spreadsheetml/2009/9/main" objectType="Spin" dx="15" fmlaLink="NeoBerAfspr!$D$27" max="97" min="1" page="10" val="50"/>
</file>

<file path=xl/ctrlProps/ctrlProp824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5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26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27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28.xml><?xml version="1.0" encoding="utf-8"?>
<formControlPr xmlns="http://schemas.microsoft.com/office/spreadsheetml/2009/9/main" objectType="CheckBox" checked="Checked" fmlaLink="NeoBerAfspr!$D$35" lockText="1"/>
</file>

<file path=xl/ctrlProps/ctrlProp829.xml><?xml version="1.0" encoding="utf-8"?>
<formControlPr xmlns="http://schemas.microsoft.com/office/spreadsheetml/2009/9/main" objectType="CheckBox" checked="Checked" fmlaLink="NeoBerAfspr!$D$36" lockText="1"/>
</file>

<file path=xl/ctrlProps/ctrlProp830.xml><?xml version="1.0" encoding="utf-8"?>
<formControlPr xmlns="http://schemas.microsoft.com/office/spreadsheetml/2009/9/main" objectType="CheckBox" fmlaLink="NeoBerAfspr!$B$40" lockText="1"/>
</file>

<file path=xl/ctrlProps/ctrlProp831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2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3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4.xml><?xml version="1.0" encoding="utf-8"?>
<formControlPr xmlns="http://schemas.microsoft.com/office/spreadsheetml/2009/9/main" objectType="CheckBox" fmlaLink="NeoBerAfspr!$B$43" lockText="1"/>
</file>

<file path=xl/ctrlProps/ctrlProp835.xml><?xml version="1.0" encoding="utf-8"?>
<formControlPr xmlns="http://schemas.microsoft.com/office/spreadsheetml/2009/9/main" objectType="CheckBox" fmlaLink="NeoBerAfspr!$B$45" lockText="1"/>
</file>

<file path=xl/ctrlProps/ctrlProp836.xml><?xml version="1.0" encoding="utf-8"?>
<formControlPr xmlns="http://schemas.microsoft.com/office/spreadsheetml/2009/9/main" objectType="CheckBox" fmlaLink="NeoBerAfspr!$B$44" lockText="1"/>
</file>

<file path=xl/ctrlProps/ctrlProp837.xml><?xml version="1.0" encoding="utf-8"?>
<formControlPr xmlns="http://schemas.microsoft.com/office/spreadsheetml/2009/9/main" objectType="CheckBox" fmlaLink="NeoBerAfspr!$D$43" lockText="1"/>
</file>

<file path=xl/ctrlProps/ctrlProp838.xml><?xml version="1.0" encoding="utf-8"?>
<formControlPr xmlns="http://schemas.microsoft.com/office/spreadsheetml/2009/9/main" objectType="CheckBox" fmlaLink="NeoBerAfspr!$D$44" lockText="1"/>
</file>

<file path=xl/ctrlProps/ctrlProp839.xml><?xml version="1.0" encoding="utf-8"?>
<formControlPr xmlns="http://schemas.microsoft.com/office/spreadsheetml/2009/9/main" objectType="CheckBox" fmlaLink="NeoBerAfspr!$D$45" lockText="1"/>
</file>

<file path=xl/ctrlProps/ctrlProp840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1.xml><?xml version="1.0" encoding="utf-8"?>
<formControlPr xmlns="http://schemas.microsoft.com/office/spreadsheetml/2009/9/main" objectType="Spin" dx="15" fmlaLink="NeoBerAfspr!$D$47" max="100" page="10" val="0"/>
</file>

<file path=xl/ctrlProps/ctrlProp842.xml><?xml version="1.0" encoding="utf-8"?>
<formControlPr xmlns="http://schemas.microsoft.com/office/spreadsheetml/2009/9/main" objectType="CheckBox" fmlaLink="NeoBerAfspr!$B$46" lockText="1"/>
</file>

<file path=xl/ctrlProps/ctrlProp843.xml><?xml version="1.0" encoding="utf-8"?>
<formControlPr xmlns="http://schemas.microsoft.com/office/spreadsheetml/2009/9/main" objectType="CheckBox" fmlaLink="NeoBerAfspr!$L$28" lockText="1"/>
</file>

<file path=xl/ctrlProps/ctrlProp844.xml><?xml version="1.0" encoding="utf-8"?>
<formControlPr xmlns="http://schemas.microsoft.com/office/spreadsheetml/2009/9/main" objectType="Spin" dx="15" fmlaLink="NeoBerAfspr!$C$8" max="10" page="10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47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48.xml><?xml version="1.0" encoding="utf-8"?>
<formControlPr xmlns="http://schemas.microsoft.com/office/spreadsheetml/2009/9/main" objectType="Spin" dx="15" fmlaLink="PedBerAfspr!$C$8" max="10" page="10" val="0"/>
</file>

<file path=xl/ctrlProps/ctrlProp849.xml><?xml version="1.0" encoding="utf-8"?>
<formControlPr xmlns="http://schemas.microsoft.com/office/spreadsheetml/2009/9/main" objectType="Spin" dx="15" fmlaLink="NeoBerAfspr!$C$9" max="10" page="10" val="0"/>
</file>

<file path=xl/ctrlProps/ctrlProp850.xml><?xml version="1.0" encoding="utf-8"?>
<formControlPr xmlns="http://schemas.microsoft.com/office/spreadsheetml/2009/9/main" objectType="Spin" dx="15" fmlaLink="NeoBerAfspr!$K$20" max="24" page="10" val="0"/>
</file>

<file path=xl/ctrlProps/ctrlProp851.xml><?xml version="1.0" encoding="utf-8"?>
<formControlPr xmlns="http://schemas.microsoft.com/office/spreadsheetml/2009/9/main" objectType="CheckBox" fmlaLink="NeoBerAfspr!$J$29" lockText="1"/>
</file>

<file path=xl/ctrlProps/ctrlProp852.xml><?xml version="1.0" encoding="utf-8"?>
<formControlPr xmlns="http://schemas.microsoft.com/office/spreadsheetml/2009/9/main" objectType="Spin" dx="15" fmlaLink="NeoBerAfspr!$K$29" max="3" page="10" val="0"/>
</file>

<file path=xl/ctrlProps/ctrlProp853.xml><?xml version="1.0" encoding="utf-8"?>
<formControlPr xmlns="http://schemas.microsoft.com/office/spreadsheetml/2009/9/main" objectType="CheckBox" fmlaLink="NeoBerAfspr!$B$18" lockText="1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56.xml><?xml version="1.0" encoding="utf-8"?>
<formControlPr xmlns="http://schemas.microsoft.com/office/spreadsheetml/2009/9/main" objectType="Spin" dx="15" fmlaLink="PedBerAfspr!$C$8" max="10" page="10" val="0"/>
</file>

<file path=xl/ctrlProps/ctrlProp857.xml><?xml version="1.0" encoding="utf-8"?>
<formControlPr xmlns="http://schemas.microsoft.com/office/spreadsheetml/2009/9/main" objectType="Spin" dx="15" fmlaLink="NeoBerAfspr!$C$18" max="10" page="10" val="0"/>
</file>

<file path=xl/ctrlProps/ctrlProp858.xml><?xml version="1.0" encoding="utf-8"?>
<formControlPr xmlns="http://schemas.microsoft.com/office/spreadsheetml/2009/9/main" objectType="CheckBox" fmlaLink="NeoBerLab!$C$4" lockText="1"/>
</file>

<file path=xl/ctrlProps/ctrlProp859.xml><?xml version="1.0" encoding="utf-8"?>
<formControlPr xmlns="http://schemas.microsoft.com/office/spreadsheetml/2009/9/main" objectType="CheckBox" fmlaLink="NeoBerLab!C5" lockText="1"/>
</file>

<file path=xl/ctrlProps/ctrlProp860.xml><?xml version="1.0" encoding="utf-8"?>
<formControlPr xmlns="http://schemas.microsoft.com/office/spreadsheetml/2009/9/main" objectType="CheckBox" fmlaLink="NeoBerLab!C7" lockText="1"/>
</file>

<file path=xl/ctrlProps/ctrlProp861.xml><?xml version="1.0" encoding="utf-8"?>
<formControlPr xmlns="http://schemas.microsoft.com/office/spreadsheetml/2009/9/main" objectType="CheckBox" fmlaLink="NeoBerLab!C8" lockText="1"/>
</file>

<file path=xl/ctrlProps/ctrlProp862.xml><?xml version="1.0" encoding="utf-8"?>
<formControlPr xmlns="http://schemas.microsoft.com/office/spreadsheetml/2009/9/main" objectType="CheckBox" fmlaLink="NeoBerLab!C14" lockText="1"/>
</file>

<file path=xl/ctrlProps/ctrlProp863.xml><?xml version="1.0" encoding="utf-8"?>
<formControlPr xmlns="http://schemas.microsoft.com/office/spreadsheetml/2009/9/main" objectType="CheckBox" fmlaLink="NeoBerLab!C13" lockText="1"/>
</file>

<file path=xl/ctrlProps/ctrlProp864.xml><?xml version="1.0" encoding="utf-8"?>
<formControlPr xmlns="http://schemas.microsoft.com/office/spreadsheetml/2009/9/main" objectType="CheckBox" fmlaLink="NeoBerLab!C30" lockText="1"/>
</file>

<file path=xl/ctrlProps/ctrlProp865.xml><?xml version="1.0" encoding="utf-8"?>
<formControlPr xmlns="http://schemas.microsoft.com/office/spreadsheetml/2009/9/main" objectType="CheckBox" fmlaLink="NeoBerLab!C16" lockText="1"/>
</file>

<file path=xl/ctrlProps/ctrlProp866.xml><?xml version="1.0" encoding="utf-8"?>
<formControlPr xmlns="http://schemas.microsoft.com/office/spreadsheetml/2009/9/main" objectType="CheckBox" fmlaLink="NeoBerLab!C19" lockText="1"/>
</file>

<file path=xl/ctrlProps/ctrlProp867.xml><?xml version="1.0" encoding="utf-8"?>
<formControlPr xmlns="http://schemas.microsoft.com/office/spreadsheetml/2009/9/main" objectType="CheckBox" fmlaLink="NeoBerLab!C20" lockText="1"/>
</file>

<file path=xl/ctrlProps/ctrlProp868.xml><?xml version="1.0" encoding="utf-8"?>
<formControlPr xmlns="http://schemas.microsoft.com/office/spreadsheetml/2009/9/main" objectType="CheckBox" fmlaLink="NeoBerLab!C21" lockText="1"/>
</file>

<file path=xl/ctrlProps/ctrlProp869.xml><?xml version="1.0" encoding="utf-8"?>
<formControlPr xmlns="http://schemas.microsoft.com/office/spreadsheetml/2009/9/main" objectType="CheckBox" fmlaLink="NeoBerLab!C12" lockText="1"/>
</file>

<file path=xl/ctrlProps/ctrlProp870.xml><?xml version="1.0" encoding="utf-8"?>
<formControlPr xmlns="http://schemas.microsoft.com/office/spreadsheetml/2009/9/main" objectType="CheckBox" fmlaLink="NeoBerLab!C28" lockText="1"/>
</file>

<file path=xl/ctrlProps/ctrlProp871.xml><?xml version="1.0" encoding="utf-8"?>
<formControlPr xmlns="http://schemas.microsoft.com/office/spreadsheetml/2009/9/main" objectType="CheckBox" fmlaLink="NeoBerLab!$G$4" lockText="1"/>
</file>

<file path=xl/ctrlProps/ctrlProp872.xml><?xml version="1.0" encoding="utf-8"?>
<formControlPr xmlns="http://schemas.microsoft.com/office/spreadsheetml/2009/9/main" objectType="CheckBox" fmlaLink="NeoBerLab!G5" lockText="1"/>
</file>

<file path=xl/ctrlProps/ctrlProp873.xml><?xml version="1.0" encoding="utf-8"?>
<formControlPr xmlns="http://schemas.microsoft.com/office/spreadsheetml/2009/9/main" objectType="CheckBox" fmlaLink="NeoBerLab!G7" lockText="1"/>
</file>

<file path=xl/ctrlProps/ctrlProp874.xml><?xml version="1.0" encoding="utf-8"?>
<formControlPr xmlns="http://schemas.microsoft.com/office/spreadsheetml/2009/9/main" objectType="CheckBox" fmlaLink="NeoBerLab!G8" lockText="1"/>
</file>

<file path=xl/ctrlProps/ctrlProp875.xml><?xml version="1.0" encoding="utf-8"?>
<formControlPr xmlns="http://schemas.microsoft.com/office/spreadsheetml/2009/9/main" objectType="CheckBox" fmlaLink="NeoBerLab!G14" lockText="1"/>
</file>

<file path=xl/ctrlProps/ctrlProp876.xml><?xml version="1.0" encoding="utf-8"?>
<formControlPr xmlns="http://schemas.microsoft.com/office/spreadsheetml/2009/9/main" objectType="CheckBox" fmlaLink="NeoBerLab!G13" lockText="1"/>
</file>

<file path=xl/ctrlProps/ctrlProp877.xml><?xml version="1.0" encoding="utf-8"?>
<formControlPr xmlns="http://schemas.microsoft.com/office/spreadsheetml/2009/9/main" objectType="CheckBox" fmlaLink="NeoBerLab!G30" lockText="1"/>
</file>

<file path=xl/ctrlProps/ctrlProp878.xml><?xml version="1.0" encoding="utf-8"?>
<formControlPr xmlns="http://schemas.microsoft.com/office/spreadsheetml/2009/9/main" objectType="CheckBox" fmlaLink="NeoBerLab!G16" lockText="1"/>
</file>

<file path=xl/ctrlProps/ctrlProp879.xml><?xml version="1.0" encoding="utf-8"?>
<formControlPr xmlns="http://schemas.microsoft.com/office/spreadsheetml/2009/9/main" objectType="CheckBox" fmlaLink="NeoBerLab!G19" lockText="1"/>
</file>

<file path=xl/ctrlProps/ctrlProp880.xml><?xml version="1.0" encoding="utf-8"?>
<formControlPr xmlns="http://schemas.microsoft.com/office/spreadsheetml/2009/9/main" objectType="CheckBox" fmlaLink="NeoBerLab!G20" lockText="1"/>
</file>

<file path=xl/ctrlProps/ctrlProp881.xml><?xml version="1.0" encoding="utf-8"?>
<formControlPr xmlns="http://schemas.microsoft.com/office/spreadsheetml/2009/9/main" objectType="CheckBox" fmlaLink="NeoBerLab!G21" lockText="1"/>
</file>

<file path=xl/ctrlProps/ctrlProp882.xml><?xml version="1.0" encoding="utf-8"?>
<formControlPr xmlns="http://schemas.microsoft.com/office/spreadsheetml/2009/9/main" objectType="CheckBox" fmlaLink="NeoBerLab!G12" lockText="1"/>
</file>

<file path=xl/ctrlProps/ctrlProp883.xml><?xml version="1.0" encoding="utf-8"?>
<formControlPr xmlns="http://schemas.microsoft.com/office/spreadsheetml/2009/9/main" objectType="CheckBox" fmlaLink="NeoBerLab!G28" lockText="1"/>
</file>

<file path=xl/ctrlProps/ctrlProp884.xml><?xml version="1.0" encoding="utf-8"?>
<formControlPr xmlns="http://schemas.microsoft.com/office/spreadsheetml/2009/9/main" objectType="CheckBox" fmlaLink="NeoBerLab!$I$4" lockText="1"/>
</file>

<file path=xl/ctrlProps/ctrlProp885.xml><?xml version="1.0" encoding="utf-8"?>
<formControlPr xmlns="http://schemas.microsoft.com/office/spreadsheetml/2009/9/main" objectType="CheckBox" fmlaLink="NeoBerLab!I5" lockText="1"/>
</file>

<file path=xl/ctrlProps/ctrlProp886.xml><?xml version="1.0" encoding="utf-8"?>
<formControlPr xmlns="http://schemas.microsoft.com/office/spreadsheetml/2009/9/main" objectType="CheckBox" fmlaLink="NeoBerLab!I7" lockText="1"/>
</file>

<file path=xl/ctrlProps/ctrlProp887.xml><?xml version="1.0" encoding="utf-8"?>
<formControlPr xmlns="http://schemas.microsoft.com/office/spreadsheetml/2009/9/main" objectType="CheckBox" fmlaLink="NeoBerLab!I8" lockText="1"/>
</file>

<file path=xl/ctrlProps/ctrlProp888.xml><?xml version="1.0" encoding="utf-8"?>
<formControlPr xmlns="http://schemas.microsoft.com/office/spreadsheetml/2009/9/main" objectType="CheckBox" fmlaLink="NeoBerLab!I14" lockText="1"/>
</file>

<file path=xl/ctrlProps/ctrlProp889.xml><?xml version="1.0" encoding="utf-8"?>
<formControlPr xmlns="http://schemas.microsoft.com/office/spreadsheetml/2009/9/main" objectType="CheckBox" fmlaLink="NeoBerLab!I13" lockText="1"/>
</file>

<file path=xl/ctrlProps/ctrlProp890.xml><?xml version="1.0" encoding="utf-8"?>
<formControlPr xmlns="http://schemas.microsoft.com/office/spreadsheetml/2009/9/main" objectType="CheckBox" fmlaLink="NeoBerLab!I30" lockText="1"/>
</file>

<file path=xl/ctrlProps/ctrlProp891.xml><?xml version="1.0" encoding="utf-8"?>
<formControlPr xmlns="http://schemas.microsoft.com/office/spreadsheetml/2009/9/main" objectType="CheckBox" fmlaLink="NeoBerLab!I16" lockText="1"/>
</file>

<file path=xl/ctrlProps/ctrlProp892.xml><?xml version="1.0" encoding="utf-8"?>
<formControlPr xmlns="http://schemas.microsoft.com/office/spreadsheetml/2009/9/main" objectType="CheckBox" fmlaLink="NeoBerLab!I19" lockText="1"/>
</file>

<file path=xl/ctrlProps/ctrlProp893.xml><?xml version="1.0" encoding="utf-8"?>
<formControlPr xmlns="http://schemas.microsoft.com/office/spreadsheetml/2009/9/main" objectType="CheckBox" fmlaLink="NeoBerLab!I20" lockText="1"/>
</file>

<file path=xl/ctrlProps/ctrlProp894.xml><?xml version="1.0" encoding="utf-8"?>
<formControlPr xmlns="http://schemas.microsoft.com/office/spreadsheetml/2009/9/main" objectType="CheckBox" fmlaLink="NeoBerLab!I21" lockText="1"/>
</file>

<file path=xl/ctrlProps/ctrlProp895.xml><?xml version="1.0" encoding="utf-8"?>
<formControlPr xmlns="http://schemas.microsoft.com/office/spreadsheetml/2009/9/main" objectType="CheckBox" fmlaLink="NeoBerLab!I12" lockText="1"/>
</file>

<file path=xl/ctrlProps/ctrlProp896.xml><?xml version="1.0" encoding="utf-8"?>
<formControlPr xmlns="http://schemas.microsoft.com/office/spreadsheetml/2009/9/main" objectType="CheckBox" fmlaLink="NeoBerLab!I28" lockText="1"/>
</file>

<file path=xl/ctrlProps/ctrlProp897.xml><?xml version="1.0" encoding="utf-8"?>
<formControlPr xmlns="http://schemas.microsoft.com/office/spreadsheetml/2009/9/main" objectType="CheckBox" fmlaLink="NeoBerLab!$O$4" lockText="1"/>
</file>

<file path=xl/ctrlProps/ctrlProp898.xml><?xml version="1.0" encoding="utf-8"?>
<formControlPr xmlns="http://schemas.microsoft.com/office/spreadsheetml/2009/9/main" objectType="CheckBox" fmlaLink="NeoBerLab!O5" lockText="1"/>
</file>

<file path=xl/ctrlProps/ctrlProp899.xml><?xml version="1.0" encoding="utf-8"?>
<formControlPr xmlns="http://schemas.microsoft.com/office/spreadsheetml/2009/9/main" objectType="CheckBox" fmlaLink="NeoBerLab!O7" lockText="1"/>
</file>

<file path=xl/ctrlProps/ctrlProp900.xml><?xml version="1.0" encoding="utf-8"?>
<formControlPr xmlns="http://schemas.microsoft.com/office/spreadsheetml/2009/9/main" objectType="CheckBox" fmlaLink="NeoBerLab!O8" lockText="1"/>
</file>

<file path=xl/ctrlProps/ctrlProp901.xml><?xml version="1.0" encoding="utf-8"?>
<formControlPr xmlns="http://schemas.microsoft.com/office/spreadsheetml/2009/9/main" objectType="CheckBox" fmlaLink="NeoBerLab!O14" lockText="1"/>
</file>

<file path=xl/ctrlProps/ctrlProp902.xml><?xml version="1.0" encoding="utf-8"?>
<formControlPr xmlns="http://schemas.microsoft.com/office/spreadsheetml/2009/9/main" objectType="CheckBox" fmlaLink="NeoBerLab!O13" lockText="1"/>
</file>

<file path=xl/ctrlProps/ctrlProp903.xml><?xml version="1.0" encoding="utf-8"?>
<formControlPr xmlns="http://schemas.microsoft.com/office/spreadsheetml/2009/9/main" objectType="CheckBox" fmlaLink="NeoBerLab!O30" lockText="1"/>
</file>

<file path=xl/ctrlProps/ctrlProp904.xml><?xml version="1.0" encoding="utf-8"?>
<formControlPr xmlns="http://schemas.microsoft.com/office/spreadsheetml/2009/9/main" objectType="CheckBox" fmlaLink="NeoBerLab!O16" lockText="1"/>
</file>

<file path=xl/ctrlProps/ctrlProp905.xml><?xml version="1.0" encoding="utf-8"?>
<formControlPr xmlns="http://schemas.microsoft.com/office/spreadsheetml/2009/9/main" objectType="CheckBox" fmlaLink="NeoBerLab!O19" lockText="1"/>
</file>

<file path=xl/ctrlProps/ctrlProp906.xml><?xml version="1.0" encoding="utf-8"?>
<formControlPr xmlns="http://schemas.microsoft.com/office/spreadsheetml/2009/9/main" objectType="CheckBox" fmlaLink="NeoBerLab!O20" lockText="1"/>
</file>

<file path=xl/ctrlProps/ctrlProp907.xml><?xml version="1.0" encoding="utf-8"?>
<formControlPr xmlns="http://schemas.microsoft.com/office/spreadsheetml/2009/9/main" objectType="CheckBox" fmlaLink="NeoBerLab!O21" lockText="1"/>
</file>

<file path=xl/ctrlProps/ctrlProp908.xml><?xml version="1.0" encoding="utf-8"?>
<formControlPr xmlns="http://schemas.microsoft.com/office/spreadsheetml/2009/9/main" objectType="CheckBox" fmlaLink="NeoBerLab!O12" lockText="1"/>
</file>

<file path=xl/ctrlProps/ctrlProp909.xml><?xml version="1.0" encoding="utf-8"?>
<formControlPr xmlns="http://schemas.microsoft.com/office/spreadsheetml/2009/9/main" objectType="CheckBox" fmlaLink="NeoBerLab!O28" lockText="1"/>
</file>

<file path=xl/ctrlProps/ctrlProp910.xml><?xml version="1.0" encoding="utf-8"?>
<formControlPr xmlns="http://schemas.microsoft.com/office/spreadsheetml/2009/9/main" objectType="CheckBox" fmlaLink="NeoBerLab!C32" lockText="1"/>
</file>

<file path=xl/ctrlProps/ctrlProp911.xml><?xml version="1.0" encoding="utf-8"?>
<formControlPr xmlns="http://schemas.microsoft.com/office/spreadsheetml/2009/9/main" objectType="CheckBox" fmlaLink="NeoBerLab!G32" lockText="1"/>
</file>

<file path=xl/ctrlProps/ctrlProp912.xml><?xml version="1.0" encoding="utf-8"?>
<formControlPr xmlns="http://schemas.microsoft.com/office/spreadsheetml/2009/9/main" objectType="CheckBox" fmlaLink="NeoBerLab!I32" lockText="1"/>
</file>

<file path=xl/ctrlProps/ctrlProp913.xml><?xml version="1.0" encoding="utf-8"?>
<formControlPr xmlns="http://schemas.microsoft.com/office/spreadsheetml/2009/9/main" objectType="CheckBox" fmlaLink="NeoBerLab!O32" lockText="1"/>
</file>

<file path=xl/ctrlProps/ctrlProp914.xml><?xml version="1.0" encoding="utf-8"?>
<formControlPr xmlns="http://schemas.microsoft.com/office/spreadsheetml/2009/9/main" objectType="CheckBox" fmlaLink="NeoBerLab!C6" lockText="1"/>
</file>

<file path=xl/ctrlProps/ctrlProp915.xml><?xml version="1.0" encoding="utf-8"?>
<formControlPr xmlns="http://schemas.microsoft.com/office/spreadsheetml/2009/9/main" objectType="CheckBox" fmlaLink="NeoBerLab!G6" lockText="1"/>
</file>

<file path=xl/ctrlProps/ctrlProp916.xml><?xml version="1.0" encoding="utf-8"?>
<formControlPr xmlns="http://schemas.microsoft.com/office/spreadsheetml/2009/9/main" objectType="CheckBox" fmlaLink="NeoBerLab!I6" lockText="1"/>
</file>

<file path=xl/ctrlProps/ctrlProp917.xml><?xml version="1.0" encoding="utf-8"?>
<formControlPr xmlns="http://schemas.microsoft.com/office/spreadsheetml/2009/9/main" objectType="CheckBox" fmlaLink="NeoBerLab!O6" lockText="1"/>
</file>

<file path=xl/ctrlProps/ctrlProp918.xml><?xml version="1.0" encoding="utf-8"?>
<formControlPr xmlns="http://schemas.microsoft.com/office/spreadsheetml/2009/9/main" objectType="CheckBox" fmlaLink="NeoBerLab!C17" lockText="1"/>
</file>

<file path=xl/ctrlProps/ctrlProp919.xml><?xml version="1.0" encoding="utf-8"?>
<formControlPr xmlns="http://schemas.microsoft.com/office/spreadsheetml/2009/9/main" objectType="CheckBox" fmlaLink="NeoBerLab!G17" lockText="1"/>
</file>

<file path=xl/ctrlProps/ctrlProp920.xml><?xml version="1.0" encoding="utf-8"?>
<formControlPr xmlns="http://schemas.microsoft.com/office/spreadsheetml/2009/9/main" objectType="CheckBox" fmlaLink="NeoBerLab!I17" lockText="1"/>
</file>

<file path=xl/ctrlProps/ctrlProp921.xml><?xml version="1.0" encoding="utf-8"?>
<formControlPr xmlns="http://schemas.microsoft.com/office/spreadsheetml/2009/9/main" objectType="CheckBox" fmlaLink="NeoBerLab!O17" lockText="1"/>
</file>

<file path=xl/ctrlProps/ctrlProp922.xml><?xml version="1.0" encoding="utf-8"?>
<formControlPr xmlns="http://schemas.microsoft.com/office/spreadsheetml/2009/9/main" objectType="CheckBox" fmlaLink="NeoBerLab!$E$4" lockText="1"/>
</file>

<file path=xl/ctrlProps/ctrlProp923.xml><?xml version="1.0" encoding="utf-8"?>
<formControlPr xmlns="http://schemas.microsoft.com/office/spreadsheetml/2009/9/main" objectType="CheckBox" fmlaLink="NeoBerLab!E5" lockText="1"/>
</file>

<file path=xl/ctrlProps/ctrlProp924.xml><?xml version="1.0" encoding="utf-8"?>
<formControlPr xmlns="http://schemas.microsoft.com/office/spreadsheetml/2009/9/main" objectType="CheckBox" fmlaLink="NeoBerLab!E7" lockText="1"/>
</file>

<file path=xl/ctrlProps/ctrlProp925.xml><?xml version="1.0" encoding="utf-8"?>
<formControlPr xmlns="http://schemas.microsoft.com/office/spreadsheetml/2009/9/main" objectType="CheckBox" fmlaLink="NeoBerLab!E8" lockText="1"/>
</file>

<file path=xl/ctrlProps/ctrlProp926.xml><?xml version="1.0" encoding="utf-8"?>
<formControlPr xmlns="http://schemas.microsoft.com/office/spreadsheetml/2009/9/main" objectType="CheckBox" fmlaLink="NeoBerLab!E14" lockText="1"/>
</file>

<file path=xl/ctrlProps/ctrlProp927.xml><?xml version="1.0" encoding="utf-8"?>
<formControlPr xmlns="http://schemas.microsoft.com/office/spreadsheetml/2009/9/main" objectType="CheckBox" fmlaLink="NeoBerLab!E13" lockText="1"/>
</file>

<file path=xl/ctrlProps/ctrlProp928.xml><?xml version="1.0" encoding="utf-8"?>
<formControlPr xmlns="http://schemas.microsoft.com/office/spreadsheetml/2009/9/main" objectType="CheckBox" fmlaLink="NeoBerLab!E30" lockText="1"/>
</file>

<file path=xl/ctrlProps/ctrlProp929.xml><?xml version="1.0" encoding="utf-8"?>
<formControlPr xmlns="http://schemas.microsoft.com/office/spreadsheetml/2009/9/main" objectType="CheckBox" fmlaLink="NeoBerLab!E16" lockText="1"/>
</file>

<file path=xl/ctrlProps/ctrlProp930.xml><?xml version="1.0" encoding="utf-8"?>
<formControlPr xmlns="http://schemas.microsoft.com/office/spreadsheetml/2009/9/main" objectType="CheckBox" fmlaLink="NeoBerLab!E19" lockText="1"/>
</file>

<file path=xl/ctrlProps/ctrlProp931.xml><?xml version="1.0" encoding="utf-8"?>
<formControlPr xmlns="http://schemas.microsoft.com/office/spreadsheetml/2009/9/main" objectType="CheckBox" fmlaLink="NeoBerLab!E20" lockText="1"/>
</file>

<file path=xl/ctrlProps/ctrlProp932.xml><?xml version="1.0" encoding="utf-8"?>
<formControlPr xmlns="http://schemas.microsoft.com/office/spreadsheetml/2009/9/main" objectType="CheckBox" fmlaLink="NeoBerLab!E21" lockText="1"/>
</file>

<file path=xl/ctrlProps/ctrlProp933.xml><?xml version="1.0" encoding="utf-8"?>
<formControlPr xmlns="http://schemas.microsoft.com/office/spreadsheetml/2009/9/main" objectType="CheckBox" fmlaLink="NeoBerLab!E12" lockText="1"/>
</file>

<file path=xl/ctrlProps/ctrlProp934.xml><?xml version="1.0" encoding="utf-8"?>
<formControlPr xmlns="http://schemas.microsoft.com/office/spreadsheetml/2009/9/main" objectType="CheckBox" fmlaLink="NeoBerLab!E28" lockText="1"/>
</file>

<file path=xl/ctrlProps/ctrlProp935.xml><?xml version="1.0" encoding="utf-8"?>
<formControlPr xmlns="http://schemas.microsoft.com/office/spreadsheetml/2009/9/main" objectType="CheckBox" fmlaLink="NeoBerLab!E32" lockText="1"/>
</file>

<file path=xl/ctrlProps/ctrlProp936.xml><?xml version="1.0" encoding="utf-8"?>
<formControlPr xmlns="http://schemas.microsoft.com/office/spreadsheetml/2009/9/main" objectType="CheckBox" fmlaLink="NeoBerLab!E6" lockText="1"/>
</file>

<file path=xl/ctrlProps/ctrlProp937.xml><?xml version="1.0" encoding="utf-8"?>
<formControlPr xmlns="http://schemas.microsoft.com/office/spreadsheetml/2009/9/main" objectType="CheckBox" fmlaLink="NeoBerLab!E17" lockText="1"/>
</file>

<file path=xl/ctrlProps/ctrlProp938.xml><?xml version="1.0" encoding="utf-8"?>
<formControlPr xmlns="http://schemas.microsoft.com/office/spreadsheetml/2009/9/main" objectType="CheckBox" fmlaLink="NeoBerLab!C33" lockText="1"/>
</file>

<file path=xl/ctrlProps/ctrlProp939.xml><?xml version="1.0" encoding="utf-8"?>
<formControlPr xmlns="http://schemas.microsoft.com/office/spreadsheetml/2009/9/main" objectType="CheckBox" fmlaLink="NeoBerLab!G33" lockText="1"/>
</file>

<file path=xl/ctrlProps/ctrlProp940.xml><?xml version="1.0" encoding="utf-8"?>
<formControlPr xmlns="http://schemas.microsoft.com/office/spreadsheetml/2009/9/main" objectType="CheckBox" fmlaLink="NeoBerLab!I33" lockText="1"/>
</file>

<file path=xl/ctrlProps/ctrlProp941.xml><?xml version="1.0" encoding="utf-8"?>
<formControlPr xmlns="http://schemas.microsoft.com/office/spreadsheetml/2009/9/main" objectType="CheckBox" fmlaLink="NeoBerLab!O33" lockText="1"/>
</file>

<file path=xl/ctrlProps/ctrlProp942.xml><?xml version="1.0" encoding="utf-8"?>
<formControlPr xmlns="http://schemas.microsoft.com/office/spreadsheetml/2009/9/main" objectType="CheckBox" fmlaLink="NeoBerLab!E33" lockText="1"/>
</file>

<file path=xl/ctrlProps/ctrlProp943.xml><?xml version="1.0" encoding="utf-8"?>
<formControlPr xmlns="http://schemas.microsoft.com/office/spreadsheetml/2009/9/main" objectType="CheckBox" fmlaLink="NeoBerLab!C34" lockText="1"/>
</file>

<file path=xl/ctrlProps/ctrlProp944.xml><?xml version="1.0" encoding="utf-8"?>
<formControlPr xmlns="http://schemas.microsoft.com/office/spreadsheetml/2009/9/main" objectType="CheckBox" fmlaLink="NeoBerLab!G34" lockText="1"/>
</file>

<file path=xl/ctrlProps/ctrlProp945.xml><?xml version="1.0" encoding="utf-8"?>
<formControlPr xmlns="http://schemas.microsoft.com/office/spreadsheetml/2009/9/main" objectType="CheckBox" fmlaLink="NeoBerLab!I34" lockText="1"/>
</file>

<file path=xl/ctrlProps/ctrlProp946.xml><?xml version="1.0" encoding="utf-8"?>
<formControlPr xmlns="http://schemas.microsoft.com/office/spreadsheetml/2009/9/main" objectType="CheckBox" fmlaLink="NeoBerLab!O34" lockText="1"/>
</file>

<file path=xl/ctrlProps/ctrlProp947.xml><?xml version="1.0" encoding="utf-8"?>
<formControlPr xmlns="http://schemas.microsoft.com/office/spreadsheetml/2009/9/main" objectType="CheckBox" fmlaLink="NeoBerLab!E34" lockText="1"/>
</file>

<file path=xl/ctrlProps/ctrlProp948.xml><?xml version="1.0" encoding="utf-8"?>
<formControlPr xmlns="http://schemas.microsoft.com/office/spreadsheetml/2009/9/main" objectType="CheckBox" fmlaLink="NeoBerLab!C9" lockText="1"/>
</file>

<file path=xl/ctrlProps/ctrlProp949.xml><?xml version="1.0" encoding="utf-8"?>
<formControlPr xmlns="http://schemas.microsoft.com/office/spreadsheetml/2009/9/main" objectType="CheckBox" fmlaLink="NeoBerLab!G9" lockText="1"/>
</file>

<file path=xl/ctrlProps/ctrlProp950.xml><?xml version="1.0" encoding="utf-8"?>
<formControlPr xmlns="http://schemas.microsoft.com/office/spreadsheetml/2009/9/main" objectType="CheckBox" fmlaLink="NeoBerLab!I9" lockText="1"/>
</file>

<file path=xl/ctrlProps/ctrlProp951.xml><?xml version="1.0" encoding="utf-8"?>
<formControlPr xmlns="http://schemas.microsoft.com/office/spreadsheetml/2009/9/main" objectType="CheckBox" fmlaLink="NeoBerLab!O9" lockText="1"/>
</file>

<file path=xl/ctrlProps/ctrlProp952.xml><?xml version="1.0" encoding="utf-8"?>
<formControlPr xmlns="http://schemas.microsoft.com/office/spreadsheetml/2009/9/main" objectType="CheckBox" fmlaLink="NeoBerLab!E9" lockText="1"/>
</file>

<file path=xl/ctrlProps/ctrlProp953.xml><?xml version="1.0" encoding="utf-8"?>
<formControlPr xmlns="http://schemas.microsoft.com/office/spreadsheetml/2009/9/main" objectType="CheckBox" fmlaLink="NeoBerLab!C11" lockText="1"/>
</file>

<file path=xl/ctrlProps/ctrlProp954.xml><?xml version="1.0" encoding="utf-8"?>
<formControlPr xmlns="http://schemas.microsoft.com/office/spreadsheetml/2009/9/main" objectType="CheckBox" fmlaLink="NeoBerLab!G11" lockText="1"/>
</file>

<file path=xl/ctrlProps/ctrlProp955.xml><?xml version="1.0" encoding="utf-8"?>
<formControlPr xmlns="http://schemas.microsoft.com/office/spreadsheetml/2009/9/main" objectType="CheckBox" fmlaLink="NeoBerLab!I11" lockText="1"/>
</file>

<file path=xl/ctrlProps/ctrlProp956.xml><?xml version="1.0" encoding="utf-8"?>
<formControlPr xmlns="http://schemas.microsoft.com/office/spreadsheetml/2009/9/main" objectType="CheckBox" fmlaLink="NeoBerLab!O11" lockText="1"/>
</file>

<file path=xl/ctrlProps/ctrlProp957.xml><?xml version="1.0" encoding="utf-8"?>
<formControlPr xmlns="http://schemas.microsoft.com/office/spreadsheetml/2009/9/main" objectType="CheckBox" fmlaLink="NeoBerLab!E11" lockText="1"/>
</file>

<file path=xl/ctrlProps/ctrlProp958.xml><?xml version="1.0" encoding="utf-8"?>
<formControlPr xmlns="http://schemas.microsoft.com/office/spreadsheetml/2009/9/main" objectType="CheckBox" fmlaLink="NeoBerLab!C15" lockText="1"/>
</file>

<file path=xl/ctrlProps/ctrlProp959.xml><?xml version="1.0" encoding="utf-8"?>
<formControlPr xmlns="http://schemas.microsoft.com/office/spreadsheetml/2009/9/main" objectType="CheckBox" fmlaLink="NeoBerLab!G15" lockText="1"/>
</file>

<file path=xl/ctrlProps/ctrlProp960.xml><?xml version="1.0" encoding="utf-8"?>
<formControlPr xmlns="http://schemas.microsoft.com/office/spreadsheetml/2009/9/main" objectType="CheckBox" fmlaLink="NeoBerLab!I15" lockText="1"/>
</file>

<file path=xl/ctrlProps/ctrlProp961.xml><?xml version="1.0" encoding="utf-8"?>
<formControlPr xmlns="http://schemas.microsoft.com/office/spreadsheetml/2009/9/main" objectType="CheckBox" fmlaLink="NeoBerLab!O15" lockText="1"/>
</file>

<file path=xl/ctrlProps/ctrlProp962.xml><?xml version="1.0" encoding="utf-8"?>
<formControlPr xmlns="http://schemas.microsoft.com/office/spreadsheetml/2009/9/main" objectType="CheckBox" fmlaLink="NeoBerLab!E15" lockText="1"/>
</file>

<file path=xl/ctrlProps/ctrlProp963.xml><?xml version="1.0" encoding="utf-8"?>
<formControlPr xmlns="http://schemas.microsoft.com/office/spreadsheetml/2009/9/main" objectType="CheckBox" fmlaLink="NeoBerLab!C22" lockText="1"/>
</file>

<file path=xl/ctrlProps/ctrlProp964.xml><?xml version="1.0" encoding="utf-8"?>
<formControlPr xmlns="http://schemas.microsoft.com/office/spreadsheetml/2009/9/main" objectType="CheckBox" fmlaLink="NeoBerLab!G22" lockText="1"/>
</file>

<file path=xl/ctrlProps/ctrlProp965.xml><?xml version="1.0" encoding="utf-8"?>
<formControlPr xmlns="http://schemas.microsoft.com/office/spreadsheetml/2009/9/main" objectType="CheckBox" fmlaLink="NeoBerLab!I22" lockText="1"/>
</file>

<file path=xl/ctrlProps/ctrlProp966.xml><?xml version="1.0" encoding="utf-8"?>
<formControlPr xmlns="http://schemas.microsoft.com/office/spreadsheetml/2009/9/main" objectType="CheckBox" fmlaLink="NeoBerLab!O22" lockText="1"/>
</file>

<file path=xl/ctrlProps/ctrlProp967.xml><?xml version="1.0" encoding="utf-8"?>
<formControlPr xmlns="http://schemas.microsoft.com/office/spreadsheetml/2009/9/main" objectType="CheckBox" fmlaLink="NeoBerLab!E22" lockText="1"/>
</file>

<file path=xl/ctrlProps/ctrlProp968.xml><?xml version="1.0" encoding="utf-8"?>
<formControlPr xmlns="http://schemas.microsoft.com/office/spreadsheetml/2009/9/main" objectType="CheckBox" fmlaLink="NeoBerLab!C23" lockText="1"/>
</file>

<file path=xl/ctrlProps/ctrlProp969.xml><?xml version="1.0" encoding="utf-8"?>
<formControlPr xmlns="http://schemas.microsoft.com/office/spreadsheetml/2009/9/main" objectType="CheckBox" fmlaLink="NeoBerLab!G23" lockText="1"/>
</file>

<file path=xl/ctrlProps/ctrlProp970.xml><?xml version="1.0" encoding="utf-8"?>
<formControlPr xmlns="http://schemas.microsoft.com/office/spreadsheetml/2009/9/main" objectType="CheckBox" fmlaLink="NeoBerLab!I23" lockText="1"/>
</file>

<file path=xl/ctrlProps/ctrlProp971.xml><?xml version="1.0" encoding="utf-8"?>
<formControlPr xmlns="http://schemas.microsoft.com/office/spreadsheetml/2009/9/main" objectType="CheckBox" fmlaLink="NeoBerLab!O23" lockText="1"/>
</file>

<file path=xl/ctrlProps/ctrlProp972.xml><?xml version="1.0" encoding="utf-8"?>
<formControlPr xmlns="http://schemas.microsoft.com/office/spreadsheetml/2009/9/main" objectType="CheckBox" fmlaLink="NeoBerLab!E23" lockText="1"/>
</file>

<file path=xl/ctrlProps/ctrlProp973.xml><?xml version="1.0" encoding="utf-8"?>
<formControlPr xmlns="http://schemas.microsoft.com/office/spreadsheetml/2009/9/main" objectType="CheckBox" fmlaLink="NeoBerLab!C24" lockText="1"/>
</file>

<file path=xl/ctrlProps/ctrlProp974.xml><?xml version="1.0" encoding="utf-8"?>
<formControlPr xmlns="http://schemas.microsoft.com/office/spreadsheetml/2009/9/main" objectType="CheckBox" fmlaLink="NeoBerLab!G24" lockText="1"/>
</file>

<file path=xl/ctrlProps/ctrlProp975.xml><?xml version="1.0" encoding="utf-8"?>
<formControlPr xmlns="http://schemas.microsoft.com/office/spreadsheetml/2009/9/main" objectType="CheckBox" fmlaLink="NeoBerLab!I24" lockText="1"/>
</file>

<file path=xl/ctrlProps/ctrlProp976.xml><?xml version="1.0" encoding="utf-8"?>
<formControlPr xmlns="http://schemas.microsoft.com/office/spreadsheetml/2009/9/main" objectType="CheckBox" fmlaLink="NeoBerLab!O24" lockText="1"/>
</file>

<file path=xl/ctrlProps/ctrlProp977.xml><?xml version="1.0" encoding="utf-8"?>
<formControlPr xmlns="http://schemas.microsoft.com/office/spreadsheetml/2009/9/main" objectType="CheckBox" fmlaLink="NeoBerLab!E24" lockText="1"/>
</file>

<file path=xl/ctrlProps/ctrlProp978.xml><?xml version="1.0" encoding="utf-8"?>
<formControlPr xmlns="http://schemas.microsoft.com/office/spreadsheetml/2009/9/main" objectType="CheckBox" fmlaLink="NeoBerLab!C25" lockText="1"/>
</file>

<file path=xl/ctrlProps/ctrlProp979.xml><?xml version="1.0" encoding="utf-8"?>
<formControlPr xmlns="http://schemas.microsoft.com/office/spreadsheetml/2009/9/main" objectType="CheckBox" fmlaLink="NeoBerLab!G25" lockText="1"/>
</file>

<file path=xl/ctrlProps/ctrlProp980.xml><?xml version="1.0" encoding="utf-8"?>
<formControlPr xmlns="http://schemas.microsoft.com/office/spreadsheetml/2009/9/main" objectType="CheckBox" fmlaLink="NeoBerLab!I25" lockText="1"/>
</file>

<file path=xl/ctrlProps/ctrlProp981.xml><?xml version="1.0" encoding="utf-8"?>
<formControlPr xmlns="http://schemas.microsoft.com/office/spreadsheetml/2009/9/main" objectType="CheckBox" fmlaLink="NeoBerLab!O25" lockText="1"/>
</file>

<file path=xl/ctrlProps/ctrlProp982.xml><?xml version="1.0" encoding="utf-8"?>
<formControlPr xmlns="http://schemas.microsoft.com/office/spreadsheetml/2009/9/main" objectType="CheckBox" fmlaLink="NeoBerLab!E25" lockText="1"/>
</file>

<file path=xl/ctrlProps/ctrlProp983.xml><?xml version="1.0" encoding="utf-8"?>
<formControlPr xmlns="http://schemas.microsoft.com/office/spreadsheetml/2009/9/main" objectType="CheckBox" fmlaLink="NeoBerLab!C26" lockText="1"/>
</file>

<file path=xl/ctrlProps/ctrlProp984.xml><?xml version="1.0" encoding="utf-8"?>
<formControlPr xmlns="http://schemas.microsoft.com/office/spreadsheetml/2009/9/main" objectType="CheckBox" fmlaLink="NeoBerLab!G26" lockText="1"/>
</file>

<file path=xl/ctrlProps/ctrlProp985.xml><?xml version="1.0" encoding="utf-8"?>
<formControlPr xmlns="http://schemas.microsoft.com/office/spreadsheetml/2009/9/main" objectType="CheckBox" fmlaLink="NeoBerLab!I26" lockText="1"/>
</file>

<file path=xl/ctrlProps/ctrlProp986.xml><?xml version="1.0" encoding="utf-8"?>
<formControlPr xmlns="http://schemas.microsoft.com/office/spreadsheetml/2009/9/main" objectType="CheckBox" fmlaLink="NeoBerLab!O26" lockText="1"/>
</file>

<file path=xl/ctrlProps/ctrlProp987.xml><?xml version="1.0" encoding="utf-8"?>
<formControlPr xmlns="http://schemas.microsoft.com/office/spreadsheetml/2009/9/main" objectType="CheckBox" fmlaLink="NeoBerLab!E26" lockText="1"/>
</file>

<file path=xl/ctrlProps/ctrlProp988.xml><?xml version="1.0" encoding="utf-8"?>
<formControlPr xmlns="http://schemas.microsoft.com/office/spreadsheetml/2009/9/main" objectType="CheckBox" fmlaLink="NeoBerLab!C29" lockText="1"/>
</file>

<file path=xl/ctrlProps/ctrlProp989.xml><?xml version="1.0" encoding="utf-8"?>
<formControlPr xmlns="http://schemas.microsoft.com/office/spreadsheetml/2009/9/main" objectType="CheckBox" fmlaLink="NeoBerLab!G29" lockText="1"/>
</file>

<file path=xl/ctrlProps/ctrlProp990.xml><?xml version="1.0" encoding="utf-8"?>
<formControlPr xmlns="http://schemas.microsoft.com/office/spreadsheetml/2009/9/main" objectType="CheckBox" fmlaLink="NeoBerLab!I29" lockText="1"/>
</file>

<file path=xl/ctrlProps/ctrlProp991.xml><?xml version="1.0" encoding="utf-8"?>
<formControlPr xmlns="http://schemas.microsoft.com/office/spreadsheetml/2009/9/main" objectType="CheckBox" fmlaLink="NeoBerLab!O29" lockText="1"/>
</file>

<file path=xl/ctrlProps/ctrlProp992.xml><?xml version="1.0" encoding="utf-8"?>
<formControlPr xmlns="http://schemas.microsoft.com/office/spreadsheetml/2009/9/main" objectType="CheckBox" fmlaLink="NeoBerLab!E29" lockText="1"/>
</file>

<file path=xl/ctrlProps/ctrlProp993.xml><?xml version="1.0" encoding="utf-8"?>
<formControlPr xmlns="http://schemas.microsoft.com/office/spreadsheetml/2009/9/main" objectType="CheckBox" fmlaLink="NeoBerLab!C18" lockText="1"/>
</file>

<file path=xl/ctrlProps/ctrlProp994.xml><?xml version="1.0" encoding="utf-8"?>
<formControlPr xmlns="http://schemas.microsoft.com/office/spreadsheetml/2009/9/main" objectType="CheckBox" fmlaLink="NeoBerLab!G18" lockText="1"/>
</file>

<file path=xl/ctrlProps/ctrlProp995.xml><?xml version="1.0" encoding="utf-8"?>
<formControlPr xmlns="http://schemas.microsoft.com/office/spreadsheetml/2009/9/main" objectType="CheckBox" fmlaLink="NeoBerLab!I18" lockText="1"/>
</file>

<file path=xl/ctrlProps/ctrlProp996.xml><?xml version="1.0" encoding="utf-8"?>
<formControlPr xmlns="http://schemas.microsoft.com/office/spreadsheetml/2009/9/main" objectType="CheckBox" fmlaLink="NeoBerLab!O18" lockText="1"/>
</file>

<file path=xl/ctrlProps/ctrlProp997.xml><?xml version="1.0" encoding="utf-8"?>
<formControlPr xmlns="http://schemas.microsoft.com/office/spreadsheetml/2009/9/main" objectType="CheckBox" fmlaLink="NeoBerLab!E18" lockText="1"/>
</file>

<file path=xl/ctrlProps/ctrlProp998.xml><?xml version="1.0" encoding="utf-8"?>
<formControlPr xmlns="http://schemas.microsoft.com/office/spreadsheetml/2009/9/main" objectType="CheckBox" fmlaLink="NeoBerLab!$K$4" lockText="1"/>
</file>

<file path=xl/ctrlProps/ctrlProp999.xml><?xml version="1.0" encoding="utf-8"?>
<formControlPr xmlns="http://schemas.microsoft.com/office/spreadsheetml/2009/9/main" objectType="CheckBox" fmlaLink="NeoBerLab!K5" lockText="1"/>
</file>

<file path=xl/ctrlProps/ctrlProp1000.xml><?xml version="1.0" encoding="utf-8"?>
<formControlPr xmlns="http://schemas.microsoft.com/office/spreadsheetml/2009/9/main" objectType="CheckBox" fmlaLink="NeoBerLab!K7" lockText="1"/>
</file>

<file path=xl/ctrlProps/ctrlProp1001.xml><?xml version="1.0" encoding="utf-8"?>
<formControlPr xmlns="http://schemas.microsoft.com/office/spreadsheetml/2009/9/main" objectType="CheckBox" fmlaLink="NeoBerLab!K8" lockText="1"/>
</file>

<file path=xl/ctrlProps/ctrlProp1002.xml><?xml version="1.0" encoding="utf-8"?>
<formControlPr xmlns="http://schemas.microsoft.com/office/spreadsheetml/2009/9/main" objectType="CheckBox" fmlaLink="NeoBerLab!K14" lockText="1"/>
</file>

<file path=xl/ctrlProps/ctrlProp1003.xml><?xml version="1.0" encoding="utf-8"?>
<formControlPr xmlns="http://schemas.microsoft.com/office/spreadsheetml/2009/9/main" objectType="CheckBox" fmlaLink="NeoBerLab!K13" lockText="1"/>
</file>

<file path=xl/ctrlProps/ctrlProp1004.xml><?xml version="1.0" encoding="utf-8"?>
<formControlPr xmlns="http://schemas.microsoft.com/office/spreadsheetml/2009/9/main" objectType="CheckBox" fmlaLink="NeoBerLab!K30" lockText="1"/>
</file>

<file path=xl/ctrlProps/ctrlProp1005.xml><?xml version="1.0" encoding="utf-8"?>
<formControlPr xmlns="http://schemas.microsoft.com/office/spreadsheetml/2009/9/main" objectType="CheckBox" fmlaLink="NeoBerLab!K16" lockText="1"/>
</file>

<file path=xl/ctrlProps/ctrlProp1006.xml><?xml version="1.0" encoding="utf-8"?>
<formControlPr xmlns="http://schemas.microsoft.com/office/spreadsheetml/2009/9/main" objectType="CheckBox" fmlaLink="NeoBerLab!K19" lockText="1"/>
</file>

<file path=xl/ctrlProps/ctrlProp1007.xml><?xml version="1.0" encoding="utf-8"?>
<formControlPr xmlns="http://schemas.microsoft.com/office/spreadsheetml/2009/9/main" objectType="CheckBox" fmlaLink="NeoBerLab!K20" lockText="1"/>
</file>

<file path=xl/ctrlProps/ctrlProp1008.xml><?xml version="1.0" encoding="utf-8"?>
<formControlPr xmlns="http://schemas.microsoft.com/office/spreadsheetml/2009/9/main" objectType="CheckBox" fmlaLink="NeoBerLab!K21" lockText="1"/>
</file>

<file path=xl/ctrlProps/ctrlProp1009.xml><?xml version="1.0" encoding="utf-8"?>
<formControlPr xmlns="http://schemas.microsoft.com/office/spreadsheetml/2009/9/main" objectType="CheckBox" fmlaLink="NeoBerLab!K12" lockText="1"/>
</file>

<file path=xl/ctrlProps/ctrlProp1010.xml><?xml version="1.0" encoding="utf-8"?>
<formControlPr xmlns="http://schemas.microsoft.com/office/spreadsheetml/2009/9/main" objectType="CheckBox" fmlaLink="NeoBerLab!K28" lockText="1"/>
</file>

<file path=xl/ctrlProps/ctrlProp1011.xml><?xml version="1.0" encoding="utf-8"?>
<formControlPr xmlns="http://schemas.microsoft.com/office/spreadsheetml/2009/9/main" objectType="CheckBox" fmlaLink="NeoBerLab!$M$4" lockText="1"/>
</file>

<file path=xl/ctrlProps/ctrlProp1012.xml><?xml version="1.0" encoding="utf-8"?>
<formControlPr xmlns="http://schemas.microsoft.com/office/spreadsheetml/2009/9/main" objectType="CheckBox" fmlaLink="NeoBerLab!M5" lockText="1"/>
</file>

<file path=xl/ctrlProps/ctrlProp1013.xml><?xml version="1.0" encoding="utf-8"?>
<formControlPr xmlns="http://schemas.microsoft.com/office/spreadsheetml/2009/9/main" objectType="CheckBox" fmlaLink="NeoBerLab!M7" lockText="1"/>
</file>

<file path=xl/ctrlProps/ctrlProp1014.xml><?xml version="1.0" encoding="utf-8"?>
<formControlPr xmlns="http://schemas.microsoft.com/office/spreadsheetml/2009/9/main" objectType="CheckBox" fmlaLink="NeoBerLab!M8" lockText="1"/>
</file>

<file path=xl/ctrlProps/ctrlProp1015.xml><?xml version="1.0" encoding="utf-8"?>
<formControlPr xmlns="http://schemas.microsoft.com/office/spreadsheetml/2009/9/main" objectType="CheckBox" fmlaLink="NeoBerLab!M14" lockText="1"/>
</file>

<file path=xl/ctrlProps/ctrlProp1016.xml><?xml version="1.0" encoding="utf-8"?>
<formControlPr xmlns="http://schemas.microsoft.com/office/spreadsheetml/2009/9/main" objectType="CheckBox" fmlaLink="NeoBerLab!M13" lockText="1"/>
</file>

<file path=xl/ctrlProps/ctrlProp1017.xml><?xml version="1.0" encoding="utf-8"?>
<formControlPr xmlns="http://schemas.microsoft.com/office/spreadsheetml/2009/9/main" objectType="CheckBox" fmlaLink="NeoBerLab!M30" lockText="1"/>
</file>

<file path=xl/ctrlProps/ctrlProp1018.xml><?xml version="1.0" encoding="utf-8"?>
<formControlPr xmlns="http://schemas.microsoft.com/office/spreadsheetml/2009/9/main" objectType="CheckBox" fmlaLink="NeoBerLab!M16" lockText="1"/>
</file>

<file path=xl/ctrlProps/ctrlProp1019.xml><?xml version="1.0" encoding="utf-8"?>
<formControlPr xmlns="http://schemas.microsoft.com/office/spreadsheetml/2009/9/main" objectType="CheckBox" fmlaLink="NeoBerLab!M19" lockText="1"/>
</file>

<file path=xl/ctrlProps/ctrlProp1020.xml><?xml version="1.0" encoding="utf-8"?>
<formControlPr xmlns="http://schemas.microsoft.com/office/spreadsheetml/2009/9/main" objectType="CheckBox" fmlaLink="NeoBerLab!M20" lockText="1"/>
</file>

<file path=xl/ctrlProps/ctrlProp1021.xml><?xml version="1.0" encoding="utf-8"?>
<formControlPr xmlns="http://schemas.microsoft.com/office/spreadsheetml/2009/9/main" objectType="CheckBox" fmlaLink="NeoBerLab!M21" lockText="1"/>
</file>

<file path=xl/ctrlProps/ctrlProp1022.xml><?xml version="1.0" encoding="utf-8"?>
<formControlPr xmlns="http://schemas.microsoft.com/office/spreadsheetml/2009/9/main" objectType="CheckBox" fmlaLink="NeoBerLab!M12" lockText="1"/>
</file>

<file path=xl/ctrlProps/ctrlProp1023.xml><?xml version="1.0" encoding="utf-8"?>
<formControlPr xmlns="http://schemas.microsoft.com/office/spreadsheetml/2009/9/main" objectType="CheckBox" fmlaLink="NeoBerLab!M28" lockText="1"/>
</file>

<file path=xl/ctrlProps/ctrlProp1024.xml><?xml version="1.0" encoding="utf-8"?>
<formControlPr xmlns="http://schemas.microsoft.com/office/spreadsheetml/2009/9/main" objectType="CheckBox" fmlaLink="NeoBerLab!K32" lockText="1"/>
</file>

<file path=xl/ctrlProps/ctrlProp1025.xml><?xml version="1.0" encoding="utf-8"?>
<formControlPr xmlns="http://schemas.microsoft.com/office/spreadsheetml/2009/9/main" objectType="CheckBox" fmlaLink="NeoBerLab!M32" lockText="1"/>
</file>

<file path=xl/ctrlProps/ctrlProp1026.xml><?xml version="1.0" encoding="utf-8"?>
<formControlPr xmlns="http://schemas.microsoft.com/office/spreadsheetml/2009/9/main" objectType="CheckBox" fmlaLink="NeoBerLab!K6" lockText="1"/>
</file>

<file path=xl/ctrlProps/ctrlProp1027.xml><?xml version="1.0" encoding="utf-8"?>
<formControlPr xmlns="http://schemas.microsoft.com/office/spreadsheetml/2009/9/main" objectType="CheckBox" fmlaLink="NeoBerLab!M6" lockText="1"/>
</file>

<file path=xl/ctrlProps/ctrlProp1028.xml><?xml version="1.0" encoding="utf-8"?>
<formControlPr xmlns="http://schemas.microsoft.com/office/spreadsheetml/2009/9/main" objectType="CheckBox" fmlaLink="NeoBerLab!K17" lockText="1"/>
</file>

<file path=xl/ctrlProps/ctrlProp1029.xml><?xml version="1.0" encoding="utf-8"?>
<formControlPr xmlns="http://schemas.microsoft.com/office/spreadsheetml/2009/9/main" objectType="CheckBox" fmlaLink="NeoBerLab!M17" lockText="1"/>
</file>

<file path=xl/ctrlProps/ctrlProp1030.xml><?xml version="1.0" encoding="utf-8"?>
<formControlPr xmlns="http://schemas.microsoft.com/office/spreadsheetml/2009/9/main" objectType="CheckBox" fmlaLink="NeoBerLab!K33" lockText="1"/>
</file>

<file path=xl/ctrlProps/ctrlProp1031.xml><?xml version="1.0" encoding="utf-8"?>
<formControlPr xmlns="http://schemas.microsoft.com/office/spreadsheetml/2009/9/main" objectType="CheckBox" fmlaLink="NeoBerLab!M33" lockText="1"/>
</file>

<file path=xl/ctrlProps/ctrlProp1032.xml><?xml version="1.0" encoding="utf-8"?>
<formControlPr xmlns="http://schemas.microsoft.com/office/spreadsheetml/2009/9/main" objectType="CheckBox" fmlaLink="NeoBerLab!K34" lockText="1"/>
</file>

<file path=xl/ctrlProps/ctrlProp1033.xml><?xml version="1.0" encoding="utf-8"?>
<formControlPr xmlns="http://schemas.microsoft.com/office/spreadsheetml/2009/9/main" objectType="CheckBox" fmlaLink="NeoBerLab!M34" lockText="1"/>
</file>

<file path=xl/ctrlProps/ctrlProp1034.xml><?xml version="1.0" encoding="utf-8"?>
<formControlPr xmlns="http://schemas.microsoft.com/office/spreadsheetml/2009/9/main" objectType="CheckBox" fmlaLink="NeoBerLab!K9" lockText="1"/>
</file>

<file path=xl/ctrlProps/ctrlProp1035.xml><?xml version="1.0" encoding="utf-8"?>
<formControlPr xmlns="http://schemas.microsoft.com/office/spreadsheetml/2009/9/main" objectType="CheckBox" fmlaLink="NeoBerLab!M9" lockText="1"/>
</file>

<file path=xl/ctrlProps/ctrlProp1036.xml><?xml version="1.0" encoding="utf-8"?>
<formControlPr xmlns="http://schemas.microsoft.com/office/spreadsheetml/2009/9/main" objectType="CheckBox" fmlaLink="NeoBerLab!K11" lockText="1"/>
</file>

<file path=xl/ctrlProps/ctrlProp1037.xml><?xml version="1.0" encoding="utf-8"?>
<formControlPr xmlns="http://schemas.microsoft.com/office/spreadsheetml/2009/9/main" objectType="CheckBox" fmlaLink="NeoBerLab!M11" lockText="1"/>
</file>

<file path=xl/ctrlProps/ctrlProp1038.xml><?xml version="1.0" encoding="utf-8"?>
<formControlPr xmlns="http://schemas.microsoft.com/office/spreadsheetml/2009/9/main" objectType="CheckBox" fmlaLink="NeoBerLab!K15" lockText="1"/>
</file>

<file path=xl/ctrlProps/ctrlProp1039.xml><?xml version="1.0" encoding="utf-8"?>
<formControlPr xmlns="http://schemas.microsoft.com/office/spreadsheetml/2009/9/main" objectType="CheckBox" fmlaLink="NeoBerLab!M15" lockText="1"/>
</file>

<file path=xl/ctrlProps/ctrlProp1040.xml><?xml version="1.0" encoding="utf-8"?>
<formControlPr xmlns="http://schemas.microsoft.com/office/spreadsheetml/2009/9/main" objectType="CheckBox" fmlaLink="NeoBerLab!K22" lockText="1"/>
</file>

<file path=xl/ctrlProps/ctrlProp1041.xml><?xml version="1.0" encoding="utf-8"?>
<formControlPr xmlns="http://schemas.microsoft.com/office/spreadsheetml/2009/9/main" objectType="CheckBox" fmlaLink="NeoBerLab!M22" lockText="1"/>
</file>

<file path=xl/ctrlProps/ctrlProp1042.xml><?xml version="1.0" encoding="utf-8"?>
<formControlPr xmlns="http://schemas.microsoft.com/office/spreadsheetml/2009/9/main" objectType="CheckBox" fmlaLink="NeoBerLab!K23" lockText="1"/>
</file>

<file path=xl/ctrlProps/ctrlProp1043.xml><?xml version="1.0" encoding="utf-8"?>
<formControlPr xmlns="http://schemas.microsoft.com/office/spreadsheetml/2009/9/main" objectType="CheckBox" fmlaLink="NeoBerLab!M23" lockText="1"/>
</file>

<file path=xl/ctrlProps/ctrlProp1044.xml><?xml version="1.0" encoding="utf-8"?>
<formControlPr xmlns="http://schemas.microsoft.com/office/spreadsheetml/2009/9/main" objectType="CheckBox" fmlaLink="NeoBerLab!K24" lockText="1"/>
</file>

<file path=xl/ctrlProps/ctrlProp1045.xml><?xml version="1.0" encoding="utf-8"?>
<formControlPr xmlns="http://schemas.microsoft.com/office/spreadsheetml/2009/9/main" objectType="CheckBox" fmlaLink="NeoBerLab!M24" lockText="1"/>
</file>

<file path=xl/ctrlProps/ctrlProp1046.xml><?xml version="1.0" encoding="utf-8"?>
<formControlPr xmlns="http://schemas.microsoft.com/office/spreadsheetml/2009/9/main" objectType="CheckBox" fmlaLink="NeoBerLab!K25" lockText="1"/>
</file>

<file path=xl/ctrlProps/ctrlProp1047.xml><?xml version="1.0" encoding="utf-8"?>
<formControlPr xmlns="http://schemas.microsoft.com/office/spreadsheetml/2009/9/main" objectType="CheckBox" fmlaLink="NeoBerLab!M25" lockText="1"/>
</file>

<file path=xl/ctrlProps/ctrlProp1048.xml><?xml version="1.0" encoding="utf-8"?>
<formControlPr xmlns="http://schemas.microsoft.com/office/spreadsheetml/2009/9/main" objectType="CheckBox" fmlaLink="NeoBerLab!K26" lockText="1"/>
</file>

<file path=xl/ctrlProps/ctrlProp1049.xml><?xml version="1.0" encoding="utf-8"?>
<formControlPr xmlns="http://schemas.microsoft.com/office/spreadsheetml/2009/9/main" objectType="CheckBox" fmlaLink="NeoBerLab!M26" lockText="1"/>
</file>

<file path=xl/ctrlProps/ctrlProp1050.xml><?xml version="1.0" encoding="utf-8"?>
<formControlPr xmlns="http://schemas.microsoft.com/office/spreadsheetml/2009/9/main" objectType="CheckBox" fmlaLink="NeoBerLab!K29" lockText="1"/>
</file>

<file path=xl/ctrlProps/ctrlProp1051.xml><?xml version="1.0" encoding="utf-8"?>
<formControlPr xmlns="http://schemas.microsoft.com/office/spreadsheetml/2009/9/main" objectType="CheckBox" fmlaLink="NeoBerLab!M29" lockText="1"/>
</file>

<file path=xl/ctrlProps/ctrlProp1052.xml><?xml version="1.0" encoding="utf-8"?>
<formControlPr xmlns="http://schemas.microsoft.com/office/spreadsheetml/2009/9/main" objectType="CheckBox" fmlaLink="NeoBerLab!K18" lockText="1"/>
</file>

<file path=xl/ctrlProps/ctrlProp1053.xml><?xml version="1.0" encoding="utf-8"?>
<formControlPr xmlns="http://schemas.microsoft.com/office/spreadsheetml/2009/9/main" objectType="CheckBox" fmlaLink="NeoBerLab!M18" lockText="1"/>
</file>

<file path=xl/ctrlProps/ctrlProp1054.xml><?xml version="1.0" encoding="utf-8"?>
<formControlPr xmlns="http://schemas.microsoft.com/office/spreadsheetml/2009/9/main" objectType="CheckBox" fmlaLink="NeoBerLab!C10" lockText="1"/>
</file>

<file path=xl/ctrlProps/ctrlProp1055.xml><?xml version="1.0" encoding="utf-8"?>
<formControlPr xmlns="http://schemas.microsoft.com/office/spreadsheetml/2009/9/main" objectType="CheckBox" fmlaLink="NeoBerLab!G10" lockText="1"/>
</file>

<file path=xl/ctrlProps/ctrlProp1056.xml><?xml version="1.0" encoding="utf-8"?>
<formControlPr xmlns="http://schemas.microsoft.com/office/spreadsheetml/2009/9/main" objectType="CheckBox" fmlaLink="NeoBerLab!I10" lockText="1"/>
</file>

<file path=xl/ctrlProps/ctrlProp1057.xml><?xml version="1.0" encoding="utf-8"?>
<formControlPr xmlns="http://schemas.microsoft.com/office/spreadsheetml/2009/9/main" objectType="CheckBox" fmlaLink="NeoBerLab!O10" lockText="1"/>
</file>

<file path=xl/ctrlProps/ctrlProp1058.xml><?xml version="1.0" encoding="utf-8"?>
<formControlPr xmlns="http://schemas.microsoft.com/office/spreadsheetml/2009/9/main" objectType="CheckBox" fmlaLink="NeoBerLab!E10" lockText="1"/>
</file>

<file path=xl/ctrlProps/ctrlProp1059.xml><?xml version="1.0" encoding="utf-8"?>
<formControlPr xmlns="http://schemas.microsoft.com/office/spreadsheetml/2009/9/main" objectType="CheckBox" fmlaLink="NeoBerLab!K10" lockText="1"/>
</file>

<file path=xl/ctrlProps/ctrlProp1060.xml><?xml version="1.0" encoding="utf-8"?>
<formControlPr xmlns="http://schemas.microsoft.com/office/spreadsheetml/2009/9/main" objectType="CheckBox" fmlaLink="NeoBerLab!M10" lockText="1"/>
</file>

<file path=xl/ctrlProps/ctrlProp1061.xml><?xml version="1.0" encoding="utf-8"?>
<formControlPr xmlns="http://schemas.microsoft.com/office/spreadsheetml/2009/9/main" objectType="CheckBox" fmlaLink="NeoBerLab!C31" lockText="1"/>
</file>

<file path=xl/ctrlProps/ctrlProp1062.xml><?xml version="1.0" encoding="utf-8"?>
<formControlPr xmlns="http://schemas.microsoft.com/office/spreadsheetml/2009/9/main" objectType="CheckBox" fmlaLink="NeoBerLab!G31" lockText="1"/>
</file>

<file path=xl/ctrlProps/ctrlProp1063.xml><?xml version="1.0" encoding="utf-8"?>
<formControlPr xmlns="http://schemas.microsoft.com/office/spreadsheetml/2009/9/main" objectType="CheckBox" fmlaLink="NeoBerLab!I31" lockText="1"/>
</file>

<file path=xl/ctrlProps/ctrlProp1064.xml><?xml version="1.0" encoding="utf-8"?>
<formControlPr xmlns="http://schemas.microsoft.com/office/spreadsheetml/2009/9/main" objectType="CheckBox" fmlaLink="NeoBerLab!O31" lockText="1"/>
</file>

<file path=xl/ctrlProps/ctrlProp1065.xml><?xml version="1.0" encoding="utf-8"?>
<formControlPr xmlns="http://schemas.microsoft.com/office/spreadsheetml/2009/9/main" objectType="CheckBox" fmlaLink="NeoBerLab!E31" lockText="1"/>
</file>

<file path=xl/ctrlProps/ctrlProp1066.xml><?xml version="1.0" encoding="utf-8"?>
<formControlPr xmlns="http://schemas.microsoft.com/office/spreadsheetml/2009/9/main" objectType="CheckBox" fmlaLink="NeoBerLab!K31" lockText="1"/>
</file>

<file path=xl/ctrlProps/ctrlProp1067.xml><?xml version="1.0" encoding="utf-8"?>
<formControlPr xmlns="http://schemas.microsoft.com/office/spreadsheetml/2009/9/main" objectType="CheckBox" fmlaLink="NeoBerLab!M31" lockText="1"/>
</file>

<file path=xl/ctrlProps/ctrlProp1068.xml><?xml version="1.0" encoding="utf-8"?>
<formControlPr xmlns="http://schemas.microsoft.com/office/spreadsheetml/2009/9/main" objectType="CheckBox" fmlaLink="NeoBerLab!C27" lockText="1"/>
</file>

<file path=xl/ctrlProps/ctrlProp1069.xml><?xml version="1.0" encoding="utf-8"?>
<formControlPr xmlns="http://schemas.microsoft.com/office/spreadsheetml/2009/9/main" objectType="CheckBox" fmlaLink="NeoBerLab!G27" lockText="1"/>
</file>

<file path=xl/ctrlProps/ctrlProp1070.xml><?xml version="1.0" encoding="utf-8"?>
<formControlPr xmlns="http://schemas.microsoft.com/office/spreadsheetml/2009/9/main" objectType="CheckBox" fmlaLink="NeoBerLab!I27" lockText="1"/>
</file>

<file path=xl/ctrlProps/ctrlProp1071.xml><?xml version="1.0" encoding="utf-8"?>
<formControlPr xmlns="http://schemas.microsoft.com/office/spreadsheetml/2009/9/main" objectType="CheckBox" fmlaLink="NeoBerLab!O27" lockText="1"/>
</file>

<file path=xl/ctrlProps/ctrlProp1072.xml><?xml version="1.0" encoding="utf-8"?>
<formControlPr xmlns="http://schemas.microsoft.com/office/spreadsheetml/2009/9/main" objectType="CheckBox" fmlaLink="NeoBerLab!E27" lockText="1"/>
</file>

<file path=xl/ctrlProps/ctrlProp1073.xml><?xml version="1.0" encoding="utf-8"?>
<formControlPr xmlns="http://schemas.microsoft.com/office/spreadsheetml/2009/9/main" objectType="CheckBox" fmlaLink="NeoBerLab!K27" lockText="1"/>
</file>

<file path=xl/ctrlProps/ctrlProp1074.xml><?xml version="1.0" encoding="utf-8"?>
<formControlPr xmlns="http://schemas.microsoft.com/office/spreadsheetml/2009/9/main" objectType="CheckBox" fmlaLink="NeoBerLab!M27" lockText="1"/>
</file>

<file path=xl/ctrlProps/ctrlProp1075.xml><?xml version="1.0" encoding="utf-8"?>
<formControlPr xmlns="http://schemas.microsoft.com/office/spreadsheetml/2009/9/main" objectType="CheckBox" fmlaLink="NeoBerLab!C35" lockText="1"/>
</file>

<file path=xl/ctrlProps/ctrlProp1076.xml><?xml version="1.0" encoding="utf-8"?>
<formControlPr xmlns="http://schemas.microsoft.com/office/spreadsheetml/2009/9/main" objectType="CheckBox" fmlaLink="NeoBerLab!$Q$4" lockText="1"/>
</file>

<file path=xl/ctrlProps/ctrlProp1077.xml><?xml version="1.0" encoding="utf-8"?>
<formControlPr xmlns="http://schemas.microsoft.com/office/spreadsheetml/2009/9/main" objectType="CheckBox" fmlaLink="NeoBerLab!Q5" lockText="1"/>
</file>

<file path=xl/ctrlProps/ctrlProp1078.xml><?xml version="1.0" encoding="utf-8"?>
<formControlPr xmlns="http://schemas.microsoft.com/office/spreadsheetml/2009/9/main" objectType="CheckBox" fmlaLink="NeoBerLab!Q7" lockText="1"/>
</file>

<file path=xl/ctrlProps/ctrlProp1079.xml><?xml version="1.0" encoding="utf-8"?>
<formControlPr xmlns="http://schemas.microsoft.com/office/spreadsheetml/2009/9/main" objectType="CheckBox" fmlaLink="NeoBerLab!Q8" lockText="1"/>
</file>

<file path=xl/ctrlProps/ctrlProp1080.xml><?xml version="1.0" encoding="utf-8"?>
<formControlPr xmlns="http://schemas.microsoft.com/office/spreadsheetml/2009/9/main" objectType="CheckBox" fmlaLink="NeoBerLab!Q14" lockText="1"/>
</file>

<file path=xl/ctrlProps/ctrlProp1081.xml><?xml version="1.0" encoding="utf-8"?>
<formControlPr xmlns="http://schemas.microsoft.com/office/spreadsheetml/2009/9/main" objectType="CheckBox" fmlaLink="NeoBerLab!Q13" lockText="1"/>
</file>

<file path=xl/ctrlProps/ctrlProp1082.xml><?xml version="1.0" encoding="utf-8"?>
<formControlPr xmlns="http://schemas.microsoft.com/office/spreadsheetml/2009/9/main" objectType="CheckBox" fmlaLink="NeoBerLab!Q30" lockText="1"/>
</file>

<file path=xl/ctrlProps/ctrlProp1083.xml><?xml version="1.0" encoding="utf-8"?>
<formControlPr xmlns="http://schemas.microsoft.com/office/spreadsheetml/2009/9/main" objectType="CheckBox" fmlaLink="NeoBerLab!Q16" lockText="1"/>
</file>

<file path=xl/ctrlProps/ctrlProp1084.xml><?xml version="1.0" encoding="utf-8"?>
<formControlPr xmlns="http://schemas.microsoft.com/office/spreadsheetml/2009/9/main" objectType="CheckBox" fmlaLink="NeoBerLab!Q19" lockText="1"/>
</file>

<file path=xl/ctrlProps/ctrlProp1085.xml><?xml version="1.0" encoding="utf-8"?>
<formControlPr xmlns="http://schemas.microsoft.com/office/spreadsheetml/2009/9/main" objectType="CheckBox" fmlaLink="NeoBerLab!Q20" lockText="1"/>
</file>

<file path=xl/ctrlProps/ctrlProp1086.xml><?xml version="1.0" encoding="utf-8"?>
<formControlPr xmlns="http://schemas.microsoft.com/office/spreadsheetml/2009/9/main" objectType="CheckBox" fmlaLink="NeoBerLab!Q21" lockText="1"/>
</file>

<file path=xl/ctrlProps/ctrlProp1087.xml><?xml version="1.0" encoding="utf-8"?>
<formControlPr xmlns="http://schemas.microsoft.com/office/spreadsheetml/2009/9/main" objectType="CheckBox" fmlaLink="NeoBerLab!Q12" lockText="1"/>
</file>

<file path=xl/ctrlProps/ctrlProp1088.xml><?xml version="1.0" encoding="utf-8"?>
<formControlPr xmlns="http://schemas.microsoft.com/office/spreadsheetml/2009/9/main" objectType="CheckBox" fmlaLink="NeoBerLab!Q28" lockText="1"/>
</file>

<file path=xl/ctrlProps/ctrlProp1089.xml><?xml version="1.0" encoding="utf-8"?>
<formControlPr xmlns="http://schemas.microsoft.com/office/spreadsheetml/2009/9/main" objectType="CheckBox" fmlaLink="NeoBerLab!Q32" lockText="1"/>
</file>

<file path=xl/ctrlProps/ctrlProp1090.xml><?xml version="1.0" encoding="utf-8"?>
<formControlPr xmlns="http://schemas.microsoft.com/office/spreadsheetml/2009/9/main" objectType="CheckBox" fmlaLink="NeoBerLab!Q6" lockText="1"/>
</file>

<file path=xl/ctrlProps/ctrlProp1091.xml><?xml version="1.0" encoding="utf-8"?>
<formControlPr xmlns="http://schemas.microsoft.com/office/spreadsheetml/2009/9/main" objectType="CheckBox" fmlaLink="NeoBerLab!Q17" lockText="1"/>
</file>

<file path=xl/ctrlProps/ctrlProp1092.xml><?xml version="1.0" encoding="utf-8"?>
<formControlPr xmlns="http://schemas.microsoft.com/office/spreadsheetml/2009/9/main" objectType="CheckBox" fmlaLink="NeoBerLab!Q33" lockText="1"/>
</file>

<file path=xl/ctrlProps/ctrlProp1093.xml><?xml version="1.0" encoding="utf-8"?>
<formControlPr xmlns="http://schemas.microsoft.com/office/spreadsheetml/2009/9/main" objectType="CheckBox" fmlaLink="NeoBerLab!Q34" lockText="1"/>
</file>

<file path=xl/ctrlProps/ctrlProp1094.xml><?xml version="1.0" encoding="utf-8"?>
<formControlPr xmlns="http://schemas.microsoft.com/office/spreadsheetml/2009/9/main" objectType="CheckBox" fmlaLink="NeoBerLab!Q9" lockText="1"/>
</file>

<file path=xl/ctrlProps/ctrlProp1095.xml><?xml version="1.0" encoding="utf-8"?>
<formControlPr xmlns="http://schemas.microsoft.com/office/spreadsheetml/2009/9/main" objectType="CheckBox" fmlaLink="NeoBerLab!Q11" lockText="1"/>
</file>

<file path=xl/ctrlProps/ctrlProp1096.xml><?xml version="1.0" encoding="utf-8"?>
<formControlPr xmlns="http://schemas.microsoft.com/office/spreadsheetml/2009/9/main" objectType="CheckBox" fmlaLink="NeoBerLab!Q15" lockText="1"/>
</file>

<file path=xl/ctrlProps/ctrlProp1097.xml><?xml version="1.0" encoding="utf-8"?>
<formControlPr xmlns="http://schemas.microsoft.com/office/spreadsheetml/2009/9/main" objectType="CheckBox" fmlaLink="NeoBerLab!Q22" lockText="1"/>
</file>

<file path=xl/ctrlProps/ctrlProp1098.xml><?xml version="1.0" encoding="utf-8"?>
<formControlPr xmlns="http://schemas.microsoft.com/office/spreadsheetml/2009/9/main" objectType="CheckBox" fmlaLink="NeoBerLab!Q23" lockText="1"/>
</file>

<file path=xl/ctrlProps/ctrlProp1099.xml><?xml version="1.0" encoding="utf-8"?>
<formControlPr xmlns="http://schemas.microsoft.com/office/spreadsheetml/2009/9/main" objectType="CheckBox" fmlaLink="NeoBerLab!Q24" lockText="1"/>
</file>

<file path=xl/ctrlProps/ctrlProp1100.xml><?xml version="1.0" encoding="utf-8"?>
<formControlPr xmlns="http://schemas.microsoft.com/office/spreadsheetml/2009/9/main" objectType="CheckBox" fmlaLink="NeoBerLab!Q25" lockText="1"/>
</file>

<file path=xl/ctrlProps/ctrlProp1101.xml><?xml version="1.0" encoding="utf-8"?>
<formControlPr xmlns="http://schemas.microsoft.com/office/spreadsheetml/2009/9/main" objectType="CheckBox" fmlaLink="NeoBerLab!Q26" lockText="1"/>
</file>

<file path=xl/ctrlProps/ctrlProp1102.xml><?xml version="1.0" encoding="utf-8"?>
<formControlPr xmlns="http://schemas.microsoft.com/office/spreadsheetml/2009/9/main" objectType="CheckBox" fmlaLink="NeoBerLab!Q29" lockText="1"/>
</file>

<file path=xl/ctrlProps/ctrlProp1103.xml><?xml version="1.0" encoding="utf-8"?>
<formControlPr xmlns="http://schemas.microsoft.com/office/spreadsheetml/2009/9/main" objectType="CheckBox" fmlaLink="NeoBerLab!Q18" lockText="1"/>
</file>

<file path=xl/ctrlProps/ctrlProp1104.xml><?xml version="1.0" encoding="utf-8"?>
<formControlPr xmlns="http://schemas.microsoft.com/office/spreadsheetml/2009/9/main" objectType="CheckBox" fmlaLink="NeoBerLab!Q10" lockText="1"/>
</file>

<file path=xl/ctrlProps/ctrlProp1105.xml><?xml version="1.0" encoding="utf-8"?>
<formControlPr xmlns="http://schemas.microsoft.com/office/spreadsheetml/2009/9/main" objectType="CheckBox" fmlaLink="NeoBerLab!Q31" lockText="1"/>
</file>

<file path=xl/ctrlProps/ctrlProp1106.xml><?xml version="1.0" encoding="utf-8"?>
<formControlPr xmlns="http://schemas.microsoft.com/office/spreadsheetml/2009/9/main" objectType="CheckBox" fmlaLink="NeoBerLab!Q27" lockText="1"/>
</file>

<file path=xl/ctrlProps/ctrlProp1107.xml><?xml version="1.0" encoding="utf-8"?>
<formControlPr xmlns="http://schemas.microsoft.com/office/spreadsheetml/2009/9/main" objectType="CheckBox" fmlaLink="NeoBerLab!$S$4" lockText="1"/>
</file>

<file path=xl/ctrlProps/ctrlProp1108.xml><?xml version="1.0" encoding="utf-8"?>
<formControlPr xmlns="http://schemas.microsoft.com/office/spreadsheetml/2009/9/main" objectType="CheckBox" fmlaLink="NeoBerLab!S5" lockText="1"/>
</file>

<file path=xl/ctrlProps/ctrlProp1109.xml><?xml version="1.0" encoding="utf-8"?>
<formControlPr xmlns="http://schemas.microsoft.com/office/spreadsheetml/2009/9/main" objectType="CheckBox" fmlaLink="NeoBerLab!S7" lockText="1"/>
</file>

<file path=xl/ctrlProps/ctrlProp1110.xml><?xml version="1.0" encoding="utf-8"?>
<formControlPr xmlns="http://schemas.microsoft.com/office/spreadsheetml/2009/9/main" objectType="CheckBox" fmlaLink="NeoBerLab!S8" lockText="1"/>
</file>

<file path=xl/ctrlProps/ctrlProp1111.xml><?xml version="1.0" encoding="utf-8"?>
<formControlPr xmlns="http://schemas.microsoft.com/office/spreadsheetml/2009/9/main" objectType="CheckBox" fmlaLink="NeoBerLab!S14" lockText="1"/>
</file>

<file path=xl/ctrlProps/ctrlProp1112.xml><?xml version="1.0" encoding="utf-8"?>
<formControlPr xmlns="http://schemas.microsoft.com/office/spreadsheetml/2009/9/main" objectType="CheckBox" fmlaLink="NeoBerLab!S13" lockText="1"/>
</file>

<file path=xl/ctrlProps/ctrlProp1113.xml><?xml version="1.0" encoding="utf-8"?>
<formControlPr xmlns="http://schemas.microsoft.com/office/spreadsheetml/2009/9/main" objectType="CheckBox" fmlaLink="NeoBerLab!S30" lockText="1"/>
</file>

<file path=xl/ctrlProps/ctrlProp1114.xml><?xml version="1.0" encoding="utf-8"?>
<formControlPr xmlns="http://schemas.microsoft.com/office/spreadsheetml/2009/9/main" objectType="CheckBox" fmlaLink="NeoBerLab!S16" lockText="1"/>
</file>

<file path=xl/ctrlProps/ctrlProp1115.xml><?xml version="1.0" encoding="utf-8"?>
<formControlPr xmlns="http://schemas.microsoft.com/office/spreadsheetml/2009/9/main" objectType="CheckBox" fmlaLink="NeoBerLab!S19" lockText="1"/>
</file>

<file path=xl/ctrlProps/ctrlProp1116.xml><?xml version="1.0" encoding="utf-8"?>
<formControlPr xmlns="http://schemas.microsoft.com/office/spreadsheetml/2009/9/main" objectType="CheckBox" fmlaLink="NeoBerLab!S20" lockText="1"/>
</file>

<file path=xl/ctrlProps/ctrlProp1117.xml><?xml version="1.0" encoding="utf-8"?>
<formControlPr xmlns="http://schemas.microsoft.com/office/spreadsheetml/2009/9/main" objectType="CheckBox" fmlaLink="NeoBerLab!S21" lockText="1"/>
</file>

<file path=xl/ctrlProps/ctrlProp1118.xml><?xml version="1.0" encoding="utf-8"?>
<formControlPr xmlns="http://schemas.microsoft.com/office/spreadsheetml/2009/9/main" objectType="CheckBox" fmlaLink="NeoBerLab!S12" lockText="1"/>
</file>

<file path=xl/ctrlProps/ctrlProp1119.xml><?xml version="1.0" encoding="utf-8"?>
<formControlPr xmlns="http://schemas.microsoft.com/office/spreadsheetml/2009/9/main" objectType="CheckBox" fmlaLink="NeoBerLab!S28" lockText="1"/>
</file>

<file path=xl/ctrlProps/ctrlProp1120.xml><?xml version="1.0" encoding="utf-8"?>
<formControlPr xmlns="http://schemas.microsoft.com/office/spreadsheetml/2009/9/main" objectType="CheckBox" fmlaLink="NeoBerLab!S32" lockText="1"/>
</file>

<file path=xl/ctrlProps/ctrlProp1121.xml><?xml version="1.0" encoding="utf-8"?>
<formControlPr xmlns="http://schemas.microsoft.com/office/spreadsheetml/2009/9/main" objectType="CheckBox" fmlaLink="NeoBerLab!S6" lockText="1"/>
</file>

<file path=xl/ctrlProps/ctrlProp1122.xml><?xml version="1.0" encoding="utf-8"?>
<formControlPr xmlns="http://schemas.microsoft.com/office/spreadsheetml/2009/9/main" objectType="CheckBox" fmlaLink="NeoBerLab!S17" lockText="1"/>
</file>

<file path=xl/ctrlProps/ctrlProp1123.xml><?xml version="1.0" encoding="utf-8"?>
<formControlPr xmlns="http://schemas.microsoft.com/office/spreadsheetml/2009/9/main" objectType="CheckBox" fmlaLink="NeoBerLab!S33" lockText="1"/>
</file>

<file path=xl/ctrlProps/ctrlProp1124.xml><?xml version="1.0" encoding="utf-8"?>
<formControlPr xmlns="http://schemas.microsoft.com/office/spreadsheetml/2009/9/main" objectType="CheckBox" fmlaLink="NeoBerLab!S34" lockText="1"/>
</file>

<file path=xl/ctrlProps/ctrlProp1125.xml><?xml version="1.0" encoding="utf-8"?>
<formControlPr xmlns="http://schemas.microsoft.com/office/spreadsheetml/2009/9/main" objectType="CheckBox" fmlaLink="NeoBerLab!S9" lockText="1"/>
</file>

<file path=xl/ctrlProps/ctrlProp1126.xml><?xml version="1.0" encoding="utf-8"?>
<formControlPr xmlns="http://schemas.microsoft.com/office/spreadsheetml/2009/9/main" objectType="CheckBox" fmlaLink="NeoBerLab!S11" lockText="1"/>
</file>

<file path=xl/ctrlProps/ctrlProp1127.xml><?xml version="1.0" encoding="utf-8"?>
<formControlPr xmlns="http://schemas.microsoft.com/office/spreadsheetml/2009/9/main" objectType="CheckBox" fmlaLink="NeoBerLab!S15" lockText="1"/>
</file>

<file path=xl/ctrlProps/ctrlProp1128.xml><?xml version="1.0" encoding="utf-8"?>
<formControlPr xmlns="http://schemas.microsoft.com/office/spreadsheetml/2009/9/main" objectType="CheckBox" fmlaLink="NeoBerLab!S22" lockText="1"/>
</file>

<file path=xl/ctrlProps/ctrlProp1129.xml><?xml version="1.0" encoding="utf-8"?>
<formControlPr xmlns="http://schemas.microsoft.com/office/spreadsheetml/2009/9/main" objectType="CheckBox" fmlaLink="NeoBerLab!S23" lockText="1"/>
</file>

<file path=xl/ctrlProps/ctrlProp1130.xml><?xml version="1.0" encoding="utf-8"?>
<formControlPr xmlns="http://schemas.microsoft.com/office/spreadsheetml/2009/9/main" objectType="CheckBox" fmlaLink="NeoBerLab!S24" lockText="1"/>
</file>

<file path=xl/ctrlProps/ctrlProp1131.xml><?xml version="1.0" encoding="utf-8"?>
<formControlPr xmlns="http://schemas.microsoft.com/office/spreadsheetml/2009/9/main" objectType="CheckBox" fmlaLink="NeoBerLab!S25" lockText="1"/>
</file>

<file path=xl/ctrlProps/ctrlProp1132.xml><?xml version="1.0" encoding="utf-8"?>
<formControlPr xmlns="http://schemas.microsoft.com/office/spreadsheetml/2009/9/main" objectType="CheckBox" fmlaLink="NeoBerLab!S26" lockText="1"/>
</file>

<file path=xl/ctrlProps/ctrlProp1133.xml><?xml version="1.0" encoding="utf-8"?>
<formControlPr xmlns="http://schemas.microsoft.com/office/spreadsheetml/2009/9/main" objectType="CheckBox" fmlaLink="NeoBerLab!S29" lockText="1"/>
</file>

<file path=xl/ctrlProps/ctrlProp1134.xml><?xml version="1.0" encoding="utf-8"?>
<formControlPr xmlns="http://schemas.microsoft.com/office/spreadsheetml/2009/9/main" objectType="CheckBox" fmlaLink="NeoBerLab!S18" lockText="1"/>
</file>

<file path=xl/ctrlProps/ctrlProp1135.xml><?xml version="1.0" encoding="utf-8"?>
<formControlPr xmlns="http://schemas.microsoft.com/office/spreadsheetml/2009/9/main" objectType="CheckBox" fmlaLink="NeoBerLab!S10" lockText="1"/>
</file>

<file path=xl/ctrlProps/ctrlProp1136.xml><?xml version="1.0" encoding="utf-8"?>
<formControlPr xmlns="http://schemas.microsoft.com/office/spreadsheetml/2009/9/main" objectType="CheckBox" fmlaLink="NeoBerLab!S31" lockText="1"/>
</file>

<file path=xl/ctrlProps/ctrlProp1137.xml><?xml version="1.0" encoding="utf-8"?>
<formControlPr xmlns="http://schemas.microsoft.com/office/spreadsheetml/2009/9/main" objectType="CheckBox" fmlaLink="NeoBerLab!S27" lockText="1"/>
</file>

<file path=xl/ctrlProps/ctrlProp1138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3844300" y="113462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3844300" y="164209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3844300" y="189582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3844300" y="2149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3844300" y="2403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3844300" y="2657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3844300" y="2910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3844300" y="316449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3844300" y="3418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3844300" y="3671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3844300" y="3925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3844300" y="4179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3844300" y="443316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3844300" y="4686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3844300" y="4940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3844300" y="5194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3844300" y="5448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3844300" y="5701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3844300" y="5955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3844300" y="138835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3844300" y="6209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3844300" y="6463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3844300" y="6716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3844300" y="69705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3844300" y="7224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3844300" y="7477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3844300" y="7731708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3844300" y="7985442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3844300" y="823917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3844300" y="84929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762000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762000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762000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762000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762000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762000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762000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50</xdr:row>
          <xdr:rowOff>0</xdr:rowOff>
        </xdr:from>
        <xdr:to>
          <xdr:col>6</xdr:col>
          <xdr:colOff>838200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51</xdr:row>
          <xdr:rowOff>0</xdr:rowOff>
        </xdr:from>
        <xdr:to>
          <xdr:col>6</xdr:col>
          <xdr:colOff>838200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52</xdr:row>
          <xdr:rowOff>0</xdr:rowOff>
        </xdr:from>
        <xdr:to>
          <xdr:col>6</xdr:col>
          <xdr:colOff>838200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53</xdr:row>
          <xdr:rowOff>0</xdr:rowOff>
        </xdr:from>
        <xdr:to>
          <xdr:col>6</xdr:col>
          <xdr:colOff>838200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54</xdr:row>
          <xdr:rowOff>0</xdr:rowOff>
        </xdr:from>
        <xdr:to>
          <xdr:col>6</xdr:col>
          <xdr:colOff>838200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55</xdr:row>
          <xdr:rowOff>0</xdr:rowOff>
        </xdr:from>
        <xdr:to>
          <xdr:col>6</xdr:col>
          <xdr:colOff>838200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55</xdr:row>
          <xdr:rowOff>238125</xdr:rowOff>
        </xdr:from>
        <xdr:to>
          <xdr:col>9</xdr:col>
          <xdr:colOff>0</xdr:colOff>
          <xdr:row>56</xdr:row>
          <xdr:rowOff>238125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50</xdr:row>
          <xdr:rowOff>0</xdr:rowOff>
        </xdr:from>
        <xdr:to>
          <xdr:col>10</xdr:col>
          <xdr:colOff>838200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51</xdr:row>
          <xdr:rowOff>0</xdr:rowOff>
        </xdr:from>
        <xdr:to>
          <xdr:col>10</xdr:col>
          <xdr:colOff>838200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56</xdr:row>
          <xdr:rowOff>228600</xdr:rowOff>
        </xdr:from>
        <xdr:to>
          <xdr:col>10</xdr:col>
          <xdr:colOff>838200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200775" y="3190875"/>
              <a:ext cx="1209675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400175" cy="695325"/>
              <a:chOff x="266700" y="4286250"/>
              <a:chExt cx="1400175" cy="695325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5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5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250"/>
                <a:ext cx="1400175" cy="6953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161924</xdr:rowOff>
        </xdr:to>
        <xdr:grpSp>
          <xdr:nvGrpSpPr>
            <xdr:cNvPr id="4" name="Group 3"/>
            <xdr:cNvGrpSpPr/>
          </xdr:nvGrpSpPr>
          <xdr:grpSpPr>
            <a:xfrm>
              <a:off x="3028950" y="10610850"/>
              <a:ext cx="5924550" cy="495299"/>
              <a:chOff x="3114675" y="10820400"/>
              <a:chExt cx="5924550" cy="495299"/>
            </a:xfrm>
          </xdr:grpSpPr>
          <xdr:sp macro="" textlink="">
            <xdr:nvSpPr>
              <xdr:cNvPr id="22550" name="Option Button 22" hidden="1">
                <a:extLst>
                  <a:ext uri="{63B3BB69-23CF-44E3-9099-C40C66FF867C}">
                    <a14:compatExt spid="_x0000_s22550"/>
                  </a:ext>
                </a:extLst>
              </xdr:cNvPr>
              <xdr:cNvSpPr/>
            </xdr:nvSpPr>
            <xdr:spPr bwMode="auto">
              <a:xfrm>
                <a:off x="3762375" y="10982325"/>
                <a:ext cx="8191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Dag1 t/m 3</a:t>
                </a:r>
              </a:p>
            </xdr:txBody>
          </xdr:sp>
          <xdr:sp macro="" textlink="">
            <xdr:nvSpPr>
              <xdr:cNvPr id="22551" name="Option Button 23" hidden="1">
                <a:extLst>
                  <a:ext uri="{63B3BB69-23CF-44E3-9099-C40C66FF867C}">
                    <a14:compatExt spid="_x0000_s22551"/>
                  </a:ext>
                </a:extLst>
              </xdr:cNvPr>
              <xdr:cNvSpPr/>
            </xdr:nvSpPr>
            <xdr:spPr bwMode="auto">
              <a:xfrm>
                <a:off x="5648325" y="10982325"/>
                <a:ext cx="10382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52" name="Option Button 24" hidden="1">
                <a:extLst>
                  <a:ext uri="{63B3BB69-23CF-44E3-9099-C40C66FF867C}">
                    <a14:compatExt spid="_x0000_s22552"/>
                  </a:ext>
                </a:extLst>
              </xdr:cNvPr>
              <xdr:cNvSpPr/>
            </xdr:nvSpPr>
            <xdr:spPr bwMode="auto">
              <a:xfrm>
                <a:off x="7353300" y="10982325"/>
                <a:ext cx="11334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86" name="Group Box 58" hidden="1">
                <a:extLst>
                  <a:ext uri="{63B3BB69-23CF-44E3-9099-C40C66FF867C}">
                    <a14:compatExt spid="_x0000_s22586"/>
                  </a:ext>
                </a:extLst>
              </xdr:cNvPr>
              <xdr:cNvSpPr/>
            </xdr:nvSpPr>
            <xdr:spPr bwMode="auto">
              <a:xfrm>
                <a:off x="3114675" y="10820400"/>
                <a:ext cx="5924550" cy="4952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Parenterale voeding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762000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828675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838200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14653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5290038" y="1883019"/>
          <a:ext cx="3385039" cy="923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828675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828675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762000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828675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828675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828675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828675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828675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219075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762000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36635</xdr:colOff>
      <xdr:row>9</xdr:row>
      <xdr:rowOff>21981</xdr:rowOff>
    </xdr:from>
    <xdr:to>
      <xdr:col>15</xdr:col>
      <xdr:colOff>146539</xdr:colOff>
      <xdr:row>9</xdr:row>
      <xdr:rowOff>227135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9561635" y="2110154"/>
          <a:ext cx="1809750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20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3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63" Type="http://schemas.openxmlformats.org/officeDocument/2006/relationships/ctrlProp" Target="../ctrlProps/ctrlProp444.xml"/><Relationship Id="rId84" Type="http://schemas.openxmlformats.org/officeDocument/2006/relationships/ctrlProp" Target="../ctrlProps/ctrlProp465.xml"/><Relationship Id="rId138" Type="http://schemas.openxmlformats.org/officeDocument/2006/relationships/ctrlProp" Target="../ctrlProps/ctrlProp519.xml"/><Relationship Id="rId159" Type="http://schemas.openxmlformats.org/officeDocument/2006/relationships/ctrlProp" Target="../ctrlProps/ctrlProp540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53" Type="http://schemas.openxmlformats.org/officeDocument/2006/relationships/ctrlProp" Target="../ctrlProps/ctrlProp434.xml"/><Relationship Id="rId74" Type="http://schemas.openxmlformats.org/officeDocument/2006/relationships/ctrlProp" Target="../ctrlProps/ctrlProp455.xml"/><Relationship Id="rId128" Type="http://schemas.openxmlformats.org/officeDocument/2006/relationships/ctrlProp" Target="../ctrlProps/ctrlProp509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43" Type="http://schemas.openxmlformats.org/officeDocument/2006/relationships/ctrlProp" Target="../ctrlProps/ctrlProp424.xml"/><Relationship Id="rId64" Type="http://schemas.openxmlformats.org/officeDocument/2006/relationships/ctrlProp" Target="../ctrlProps/ctrlProp445.xml"/><Relationship Id="rId118" Type="http://schemas.openxmlformats.org/officeDocument/2006/relationships/ctrlProp" Target="../ctrlProps/ctrlProp499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54" Type="http://schemas.openxmlformats.org/officeDocument/2006/relationships/ctrlProp" Target="../ctrlProps/ctrlProp435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7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49" Type="http://schemas.openxmlformats.org/officeDocument/2006/relationships/ctrlProp" Target="../ctrlProps/ctrlProp430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44" Type="http://schemas.openxmlformats.org/officeDocument/2006/relationships/ctrlProp" Target="../ctrlProps/ctrlProp425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62" Type="http://schemas.openxmlformats.org/officeDocument/2006/relationships/ctrlProp" Target="../ctrlProps/ctrlProp443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53" Type="http://schemas.openxmlformats.org/officeDocument/2006/relationships/ctrlProp" Target="../ctrlProps/ctrlProp534.xml"/><Relationship Id="rId15" Type="http://schemas.openxmlformats.org/officeDocument/2006/relationships/ctrlProp" Target="../ctrlProps/ctrlProp396.xml"/><Relationship Id="rId36" Type="http://schemas.openxmlformats.org/officeDocument/2006/relationships/ctrlProp" Target="../ctrlProps/ctrlProp417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52" Type="http://schemas.openxmlformats.org/officeDocument/2006/relationships/ctrlProp" Target="../ctrlProps/ctrlProp433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26" Type="http://schemas.openxmlformats.org/officeDocument/2006/relationships/ctrlProp" Target="../ctrlProps/ctrlProp407.xml"/><Relationship Id="rId47" Type="http://schemas.openxmlformats.org/officeDocument/2006/relationships/ctrlProp" Target="../ctrlProps/ctrlProp428.xml"/><Relationship Id="rId68" Type="http://schemas.openxmlformats.org/officeDocument/2006/relationships/ctrlProp" Target="../ctrlProps/ctrlProp449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54" Type="http://schemas.openxmlformats.org/officeDocument/2006/relationships/ctrlProp" Target="../ctrlProps/ctrlProp535.xml"/><Relationship Id="rId16" Type="http://schemas.openxmlformats.org/officeDocument/2006/relationships/ctrlProp" Target="../ctrlProps/ctrlProp397.xml"/><Relationship Id="rId37" Type="http://schemas.openxmlformats.org/officeDocument/2006/relationships/ctrlProp" Target="../ctrlProps/ctrlProp418.xml"/><Relationship Id="rId58" Type="http://schemas.openxmlformats.org/officeDocument/2006/relationships/ctrlProp" Target="../ctrlProps/ctrlProp439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44" Type="http://schemas.openxmlformats.org/officeDocument/2006/relationships/ctrlProp" Target="../ctrlProps/ctrlProp525.xml"/><Relationship Id="rId90" Type="http://schemas.openxmlformats.org/officeDocument/2006/relationships/ctrlProp" Target="../ctrlProps/ctrlProp471.xml"/><Relationship Id="rId27" Type="http://schemas.openxmlformats.org/officeDocument/2006/relationships/ctrlProp" Target="../ctrlProps/ctrlProp408.xml"/><Relationship Id="rId48" Type="http://schemas.openxmlformats.org/officeDocument/2006/relationships/ctrlProp" Target="../ctrlProps/ctrlProp429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34" Type="http://schemas.openxmlformats.org/officeDocument/2006/relationships/ctrlProp" Target="../ctrlProps/ctrlProp515.xml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61" Type="http://schemas.openxmlformats.org/officeDocument/2006/relationships/ctrlProp" Target="../ctrlProps/ctrlProp598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63" Type="http://schemas.openxmlformats.org/officeDocument/2006/relationships/ctrlProp" Target="../ctrlProps/ctrlProp666.xml"/><Relationship Id="rId84" Type="http://schemas.openxmlformats.org/officeDocument/2006/relationships/ctrlProp" Target="../ctrlProps/ctrlProp687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59" Type="http://schemas.openxmlformats.org/officeDocument/2006/relationships/ctrlProp" Target="../ctrlProps/ctrlProp662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54" Type="http://schemas.openxmlformats.org/officeDocument/2006/relationships/ctrlProp" Target="../ctrlProps/ctrlProp657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609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49" Type="http://schemas.openxmlformats.org/officeDocument/2006/relationships/ctrlProp" Target="../ctrlProps/ctrlProp652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44" Type="http://schemas.openxmlformats.org/officeDocument/2006/relationships/ctrlProp" Target="../ctrlProps/ctrlProp647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130" Type="http://schemas.openxmlformats.org/officeDocument/2006/relationships/ctrlProp" Target="../ctrlProps/ctrlProp733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56" Type="http://schemas.openxmlformats.org/officeDocument/2006/relationships/ctrlProp" Target="../ctrlProps/ctrlProp659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8.xml"/><Relationship Id="rId46" Type="http://schemas.openxmlformats.org/officeDocument/2006/relationships/ctrlProp" Target="../ctrlProps/ctrlProp649.xml"/><Relationship Id="rId67" Type="http://schemas.openxmlformats.org/officeDocument/2006/relationships/ctrlProp" Target="../ctrlProps/ctrlProp670.xml"/><Relationship Id="rId116" Type="http://schemas.openxmlformats.org/officeDocument/2006/relationships/ctrlProp" Target="../ctrlProps/ctrlProp719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62" Type="http://schemas.openxmlformats.org/officeDocument/2006/relationships/ctrlProp" Target="../ctrlProps/ctrlProp665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111" Type="http://schemas.openxmlformats.org/officeDocument/2006/relationships/ctrlProp" Target="../ctrlProps/ctrlProp714.xml"/><Relationship Id="rId132" Type="http://schemas.openxmlformats.org/officeDocument/2006/relationships/ctrlProp" Target="../ctrlProps/ctrlProp735.xml"/><Relationship Id="rId15" Type="http://schemas.openxmlformats.org/officeDocument/2006/relationships/ctrlProp" Target="../ctrlProps/ctrlProp618.xml"/><Relationship Id="rId36" Type="http://schemas.openxmlformats.org/officeDocument/2006/relationships/ctrlProp" Target="../ctrlProps/ctrlProp639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52" Type="http://schemas.openxmlformats.org/officeDocument/2006/relationships/ctrlProp" Target="../ctrlProps/ctrlProp655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26" Type="http://schemas.openxmlformats.org/officeDocument/2006/relationships/ctrlProp" Target="../ctrlProps/ctrlProp629.xml"/><Relationship Id="rId47" Type="http://schemas.openxmlformats.org/officeDocument/2006/relationships/ctrlProp" Target="../ctrlProps/ctrlProp650.xml"/><Relationship Id="rId68" Type="http://schemas.openxmlformats.org/officeDocument/2006/relationships/ctrlProp" Target="../ctrlProps/ctrlProp671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33" Type="http://schemas.openxmlformats.org/officeDocument/2006/relationships/ctrlProp" Target="../ctrlProps/ctrlProp73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5" Type="http://schemas.openxmlformats.org/officeDocument/2006/relationships/ctrlProp" Target="../ctrlProps/ctrlProp738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59" Type="http://schemas.openxmlformats.org/officeDocument/2006/relationships/ctrlProp" Target="../ctrlProps/ctrlProp792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124" Type="http://schemas.openxmlformats.org/officeDocument/2006/relationships/ctrlProp" Target="../ctrlProps/ctrlProp857.xml"/><Relationship Id="rId54" Type="http://schemas.openxmlformats.org/officeDocument/2006/relationships/ctrlProp" Target="../ctrlProps/ctrlProp787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739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49" Type="http://schemas.openxmlformats.org/officeDocument/2006/relationships/ctrlProp" Target="../ctrlProps/ctrlProp782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44" Type="http://schemas.openxmlformats.org/officeDocument/2006/relationships/ctrlProp" Target="../ctrlProps/ctrlProp777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56" Type="http://schemas.openxmlformats.org/officeDocument/2006/relationships/ctrlProp" Target="../ctrlProps/ctrlProp789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8.xml"/><Relationship Id="rId46" Type="http://schemas.openxmlformats.org/officeDocument/2006/relationships/ctrlProp" Target="../ctrlProps/ctrlProp779.xml"/><Relationship Id="rId67" Type="http://schemas.openxmlformats.org/officeDocument/2006/relationships/ctrlProp" Target="../ctrlProps/ctrlProp800.xml"/><Relationship Id="rId116" Type="http://schemas.openxmlformats.org/officeDocument/2006/relationships/ctrlProp" Target="../ctrlProps/ctrlProp849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62" Type="http://schemas.openxmlformats.org/officeDocument/2006/relationships/ctrlProp" Target="../ctrlProps/ctrlProp795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111" Type="http://schemas.openxmlformats.org/officeDocument/2006/relationships/ctrlProp" Target="../ctrlProps/ctrlProp844.xml"/><Relationship Id="rId15" Type="http://schemas.openxmlformats.org/officeDocument/2006/relationships/ctrlProp" Target="../ctrlProps/ctrlProp748.xml"/><Relationship Id="rId36" Type="http://schemas.openxmlformats.org/officeDocument/2006/relationships/ctrlProp" Target="../ctrlProps/ctrlProp769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52" Type="http://schemas.openxmlformats.org/officeDocument/2006/relationships/ctrlProp" Target="../ctrlProps/ctrlProp785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1.xml"/><Relationship Id="rId21" Type="http://schemas.openxmlformats.org/officeDocument/2006/relationships/ctrlProp" Target="../ctrlProps/ctrlProp875.xml"/><Relationship Id="rId63" Type="http://schemas.openxmlformats.org/officeDocument/2006/relationships/ctrlProp" Target="../ctrlProps/ctrlProp917.xml"/><Relationship Id="rId159" Type="http://schemas.openxmlformats.org/officeDocument/2006/relationships/ctrlProp" Target="../ctrlProps/ctrlProp1013.xml"/><Relationship Id="rId170" Type="http://schemas.openxmlformats.org/officeDocument/2006/relationships/ctrlProp" Target="../ctrlProps/ctrlProp1024.xml"/><Relationship Id="rId226" Type="http://schemas.openxmlformats.org/officeDocument/2006/relationships/ctrlProp" Target="../ctrlProps/ctrlProp1080.xml"/><Relationship Id="rId268" Type="http://schemas.openxmlformats.org/officeDocument/2006/relationships/ctrlProp" Target="../ctrlProps/ctrlProp1122.xml"/><Relationship Id="rId32" Type="http://schemas.openxmlformats.org/officeDocument/2006/relationships/ctrlProp" Target="../ctrlProps/ctrlProp886.xml"/><Relationship Id="rId74" Type="http://schemas.openxmlformats.org/officeDocument/2006/relationships/ctrlProp" Target="../ctrlProps/ctrlProp928.xml"/><Relationship Id="rId128" Type="http://schemas.openxmlformats.org/officeDocument/2006/relationships/ctrlProp" Target="../ctrlProps/ctrlProp982.xml"/><Relationship Id="rId5" Type="http://schemas.openxmlformats.org/officeDocument/2006/relationships/ctrlProp" Target="../ctrlProps/ctrlProp859.xml"/><Relationship Id="rId181" Type="http://schemas.openxmlformats.org/officeDocument/2006/relationships/ctrlProp" Target="../ctrlProps/ctrlProp1035.xml"/><Relationship Id="rId237" Type="http://schemas.openxmlformats.org/officeDocument/2006/relationships/ctrlProp" Target="../ctrlProps/ctrlProp1091.xml"/><Relationship Id="rId279" Type="http://schemas.openxmlformats.org/officeDocument/2006/relationships/ctrlProp" Target="../ctrlProps/ctrlProp1133.xml"/><Relationship Id="rId22" Type="http://schemas.openxmlformats.org/officeDocument/2006/relationships/ctrlProp" Target="../ctrlProps/ctrlProp876.xml"/><Relationship Id="rId43" Type="http://schemas.openxmlformats.org/officeDocument/2006/relationships/ctrlProp" Target="../ctrlProps/ctrlProp897.xml"/><Relationship Id="rId64" Type="http://schemas.openxmlformats.org/officeDocument/2006/relationships/ctrlProp" Target="../ctrlProps/ctrlProp918.xml"/><Relationship Id="rId118" Type="http://schemas.openxmlformats.org/officeDocument/2006/relationships/ctrlProp" Target="../ctrlProps/ctrlProp972.xml"/><Relationship Id="rId139" Type="http://schemas.openxmlformats.org/officeDocument/2006/relationships/ctrlProp" Target="../ctrlProps/ctrlProp993.xml"/><Relationship Id="rId85" Type="http://schemas.openxmlformats.org/officeDocument/2006/relationships/ctrlProp" Target="../ctrlProps/ctrlProp939.xml"/><Relationship Id="rId150" Type="http://schemas.openxmlformats.org/officeDocument/2006/relationships/ctrlProp" Target="../ctrlProps/ctrlProp1004.xml"/><Relationship Id="rId171" Type="http://schemas.openxmlformats.org/officeDocument/2006/relationships/ctrlProp" Target="../ctrlProps/ctrlProp1025.xml"/><Relationship Id="rId192" Type="http://schemas.openxmlformats.org/officeDocument/2006/relationships/ctrlProp" Target="../ctrlProps/ctrlProp1046.xml"/><Relationship Id="rId206" Type="http://schemas.openxmlformats.org/officeDocument/2006/relationships/ctrlProp" Target="../ctrlProps/ctrlProp1060.xml"/><Relationship Id="rId227" Type="http://schemas.openxmlformats.org/officeDocument/2006/relationships/ctrlProp" Target="../ctrlProps/ctrlProp1081.xml"/><Relationship Id="rId248" Type="http://schemas.openxmlformats.org/officeDocument/2006/relationships/ctrlProp" Target="../ctrlProps/ctrlProp1102.xml"/><Relationship Id="rId269" Type="http://schemas.openxmlformats.org/officeDocument/2006/relationships/ctrlProp" Target="../ctrlProps/ctrlProp1123.xml"/><Relationship Id="rId12" Type="http://schemas.openxmlformats.org/officeDocument/2006/relationships/ctrlProp" Target="../ctrlProps/ctrlProp866.xml"/><Relationship Id="rId33" Type="http://schemas.openxmlformats.org/officeDocument/2006/relationships/ctrlProp" Target="../ctrlProps/ctrlProp887.xml"/><Relationship Id="rId108" Type="http://schemas.openxmlformats.org/officeDocument/2006/relationships/ctrlProp" Target="../ctrlProps/ctrlProp962.xml"/><Relationship Id="rId129" Type="http://schemas.openxmlformats.org/officeDocument/2006/relationships/ctrlProp" Target="../ctrlProps/ctrlProp983.xml"/><Relationship Id="rId280" Type="http://schemas.openxmlformats.org/officeDocument/2006/relationships/ctrlProp" Target="../ctrlProps/ctrlProp1134.xml"/><Relationship Id="rId54" Type="http://schemas.openxmlformats.org/officeDocument/2006/relationships/ctrlProp" Target="../ctrlProps/ctrlProp908.xml"/><Relationship Id="rId75" Type="http://schemas.openxmlformats.org/officeDocument/2006/relationships/ctrlProp" Target="../ctrlProps/ctrlProp929.xml"/><Relationship Id="rId96" Type="http://schemas.openxmlformats.org/officeDocument/2006/relationships/ctrlProp" Target="../ctrlProps/ctrlProp950.xml"/><Relationship Id="rId140" Type="http://schemas.openxmlformats.org/officeDocument/2006/relationships/ctrlProp" Target="../ctrlProps/ctrlProp994.xml"/><Relationship Id="rId161" Type="http://schemas.openxmlformats.org/officeDocument/2006/relationships/ctrlProp" Target="../ctrlProps/ctrlProp1015.xml"/><Relationship Id="rId182" Type="http://schemas.openxmlformats.org/officeDocument/2006/relationships/ctrlProp" Target="../ctrlProps/ctrlProp1036.xml"/><Relationship Id="rId217" Type="http://schemas.openxmlformats.org/officeDocument/2006/relationships/ctrlProp" Target="../ctrlProps/ctrlProp1071.xml"/><Relationship Id="rId6" Type="http://schemas.openxmlformats.org/officeDocument/2006/relationships/ctrlProp" Target="../ctrlProps/ctrlProp860.xml"/><Relationship Id="rId238" Type="http://schemas.openxmlformats.org/officeDocument/2006/relationships/ctrlProp" Target="../ctrlProps/ctrlProp1092.xml"/><Relationship Id="rId259" Type="http://schemas.openxmlformats.org/officeDocument/2006/relationships/ctrlProp" Target="../ctrlProps/ctrlProp1113.xml"/><Relationship Id="rId23" Type="http://schemas.openxmlformats.org/officeDocument/2006/relationships/ctrlProp" Target="../ctrlProps/ctrlProp877.xml"/><Relationship Id="rId119" Type="http://schemas.openxmlformats.org/officeDocument/2006/relationships/ctrlProp" Target="../ctrlProps/ctrlProp973.xml"/><Relationship Id="rId270" Type="http://schemas.openxmlformats.org/officeDocument/2006/relationships/ctrlProp" Target="../ctrlProps/ctrlProp1124.xml"/><Relationship Id="rId44" Type="http://schemas.openxmlformats.org/officeDocument/2006/relationships/ctrlProp" Target="../ctrlProps/ctrlProp898.xml"/><Relationship Id="rId65" Type="http://schemas.openxmlformats.org/officeDocument/2006/relationships/ctrlProp" Target="../ctrlProps/ctrlProp919.xml"/><Relationship Id="rId86" Type="http://schemas.openxmlformats.org/officeDocument/2006/relationships/ctrlProp" Target="../ctrlProps/ctrlProp940.xml"/><Relationship Id="rId130" Type="http://schemas.openxmlformats.org/officeDocument/2006/relationships/ctrlProp" Target="../ctrlProps/ctrlProp984.xml"/><Relationship Id="rId151" Type="http://schemas.openxmlformats.org/officeDocument/2006/relationships/ctrlProp" Target="../ctrlProps/ctrlProp1005.xml"/><Relationship Id="rId172" Type="http://schemas.openxmlformats.org/officeDocument/2006/relationships/ctrlProp" Target="../ctrlProps/ctrlProp1026.xml"/><Relationship Id="rId193" Type="http://schemas.openxmlformats.org/officeDocument/2006/relationships/ctrlProp" Target="../ctrlProps/ctrlProp1047.xml"/><Relationship Id="rId207" Type="http://schemas.openxmlformats.org/officeDocument/2006/relationships/ctrlProp" Target="../ctrlProps/ctrlProp1061.xml"/><Relationship Id="rId228" Type="http://schemas.openxmlformats.org/officeDocument/2006/relationships/ctrlProp" Target="../ctrlProps/ctrlProp1082.xml"/><Relationship Id="rId249" Type="http://schemas.openxmlformats.org/officeDocument/2006/relationships/ctrlProp" Target="../ctrlProps/ctrlProp1103.xml"/><Relationship Id="rId13" Type="http://schemas.openxmlformats.org/officeDocument/2006/relationships/ctrlProp" Target="../ctrlProps/ctrlProp867.xml"/><Relationship Id="rId109" Type="http://schemas.openxmlformats.org/officeDocument/2006/relationships/ctrlProp" Target="../ctrlProps/ctrlProp963.xml"/><Relationship Id="rId260" Type="http://schemas.openxmlformats.org/officeDocument/2006/relationships/ctrlProp" Target="../ctrlProps/ctrlProp1114.xml"/><Relationship Id="rId281" Type="http://schemas.openxmlformats.org/officeDocument/2006/relationships/ctrlProp" Target="../ctrlProps/ctrlProp1135.xml"/><Relationship Id="rId34" Type="http://schemas.openxmlformats.org/officeDocument/2006/relationships/ctrlProp" Target="../ctrlProps/ctrlProp888.xml"/><Relationship Id="rId55" Type="http://schemas.openxmlformats.org/officeDocument/2006/relationships/ctrlProp" Target="../ctrlProps/ctrlProp909.xml"/><Relationship Id="rId76" Type="http://schemas.openxmlformats.org/officeDocument/2006/relationships/ctrlProp" Target="../ctrlProps/ctrlProp930.xml"/><Relationship Id="rId97" Type="http://schemas.openxmlformats.org/officeDocument/2006/relationships/ctrlProp" Target="../ctrlProps/ctrlProp951.xml"/><Relationship Id="rId120" Type="http://schemas.openxmlformats.org/officeDocument/2006/relationships/ctrlProp" Target="../ctrlProps/ctrlProp974.xml"/><Relationship Id="rId141" Type="http://schemas.openxmlformats.org/officeDocument/2006/relationships/ctrlProp" Target="../ctrlProps/ctrlProp995.xml"/><Relationship Id="rId7" Type="http://schemas.openxmlformats.org/officeDocument/2006/relationships/ctrlProp" Target="../ctrlProps/ctrlProp861.xml"/><Relationship Id="rId162" Type="http://schemas.openxmlformats.org/officeDocument/2006/relationships/ctrlProp" Target="../ctrlProps/ctrlProp1016.xml"/><Relationship Id="rId183" Type="http://schemas.openxmlformats.org/officeDocument/2006/relationships/ctrlProp" Target="../ctrlProps/ctrlProp1037.xml"/><Relationship Id="rId218" Type="http://schemas.openxmlformats.org/officeDocument/2006/relationships/ctrlProp" Target="../ctrlProps/ctrlProp1072.xml"/><Relationship Id="rId239" Type="http://schemas.openxmlformats.org/officeDocument/2006/relationships/ctrlProp" Target="../ctrlProps/ctrlProp1093.xml"/><Relationship Id="rId250" Type="http://schemas.openxmlformats.org/officeDocument/2006/relationships/ctrlProp" Target="../ctrlProps/ctrlProp1104.xml"/><Relationship Id="rId271" Type="http://schemas.openxmlformats.org/officeDocument/2006/relationships/ctrlProp" Target="../ctrlProps/ctrlProp1125.xml"/><Relationship Id="rId24" Type="http://schemas.openxmlformats.org/officeDocument/2006/relationships/ctrlProp" Target="../ctrlProps/ctrlProp878.xml"/><Relationship Id="rId45" Type="http://schemas.openxmlformats.org/officeDocument/2006/relationships/ctrlProp" Target="../ctrlProps/ctrlProp899.xml"/><Relationship Id="rId66" Type="http://schemas.openxmlformats.org/officeDocument/2006/relationships/ctrlProp" Target="../ctrlProps/ctrlProp920.xml"/><Relationship Id="rId87" Type="http://schemas.openxmlformats.org/officeDocument/2006/relationships/ctrlProp" Target="../ctrlProps/ctrlProp941.xml"/><Relationship Id="rId110" Type="http://schemas.openxmlformats.org/officeDocument/2006/relationships/ctrlProp" Target="../ctrlProps/ctrlProp964.xml"/><Relationship Id="rId131" Type="http://schemas.openxmlformats.org/officeDocument/2006/relationships/ctrlProp" Target="../ctrlProps/ctrlProp985.xml"/><Relationship Id="rId152" Type="http://schemas.openxmlformats.org/officeDocument/2006/relationships/ctrlProp" Target="../ctrlProps/ctrlProp1006.xml"/><Relationship Id="rId173" Type="http://schemas.openxmlformats.org/officeDocument/2006/relationships/ctrlProp" Target="../ctrlProps/ctrlProp1027.xml"/><Relationship Id="rId194" Type="http://schemas.openxmlformats.org/officeDocument/2006/relationships/ctrlProp" Target="../ctrlProps/ctrlProp1048.xml"/><Relationship Id="rId208" Type="http://schemas.openxmlformats.org/officeDocument/2006/relationships/ctrlProp" Target="../ctrlProps/ctrlProp1062.xml"/><Relationship Id="rId229" Type="http://schemas.openxmlformats.org/officeDocument/2006/relationships/ctrlProp" Target="../ctrlProps/ctrlProp1083.xml"/><Relationship Id="rId240" Type="http://schemas.openxmlformats.org/officeDocument/2006/relationships/ctrlProp" Target="../ctrlProps/ctrlProp1094.xml"/><Relationship Id="rId261" Type="http://schemas.openxmlformats.org/officeDocument/2006/relationships/ctrlProp" Target="../ctrlProps/ctrlProp1115.xml"/><Relationship Id="rId14" Type="http://schemas.openxmlformats.org/officeDocument/2006/relationships/ctrlProp" Target="../ctrlProps/ctrlProp868.xml"/><Relationship Id="rId35" Type="http://schemas.openxmlformats.org/officeDocument/2006/relationships/ctrlProp" Target="../ctrlProps/ctrlProp889.xml"/><Relationship Id="rId56" Type="http://schemas.openxmlformats.org/officeDocument/2006/relationships/ctrlProp" Target="../ctrlProps/ctrlProp910.xml"/><Relationship Id="rId77" Type="http://schemas.openxmlformats.org/officeDocument/2006/relationships/ctrlProp" Target="../ctrlProps/ctrlProp931.xml"/><Relationship Id="rId100" Type="http://schemas.openxmlformats.org/officeDocument/2006/relationships/ctrlProp" Target="../ctrlProps/ctrlProp954.xml"/><Relationship Id="rId282" Type="http://schemas.openxmlformats.org/officeDocument/2006/relationships/ctrlProp" Target="../ctrlProps/ctrlProp1136.xml"/><Relationship Id="rId8" Type="http://schemas.openxmlformats.org/officeDocument/2006/relationships/ctrlProp" Target="../ctrlProps/ctrlProp862.xml"/><Relationship Id="rId98" Type="http://schemas.openxmlformats.org/officeDocument/2006/relationships/ctrlProp" Target="../ctrlProps/ctrlProp952.xml"/><Relationship Id="rId121" Type="http://schemas.openxmlformats.org/officeDocument/2006/relationships/ctrlProp" Target="../ctrlProps/ctrlProp975.xml"/><Relationship Id="rId142" Type="http://schemas.openxmlformats.org/officeDocument/2006/relationships/ctrlProp" Target="../ctrlProps/ctrlProp996.xml"/><Relationship Id="rId163" Type="http://schemas.openxmlformats.org/officeDocument/2006/relationships/ctrlProp" Target="../ctrlProps/ctrlProp1017.xml"/><Relationship Id="rId184" Type="http://schemas.openxmlformats.org/officeDocument/2006/relationships/ctrlProp" Target="../ctrlProps/ctrlProp1038.xml"/><Relationship Id="rId219" Type="http://schemas.openxmlformats.org/officeDocument/2006/relationships/ctrlProp" Target="../ctrlProps/ctrlProp1073.xml"/><Relationship Id="rId230" Type="http://schemas.openxmlformats.org/officeDocument/2006/relationships/ctrlProp" Target="../ctrlProps/ctrlProp1084.xml"/><Relationship Id="rId251" Type="http://schemas.openxmlformats.org/officeDocument/2006/relationships/ctrlProp" Target="../ctrlProps/ctrlProp1105.xml"/><Relationship Id="rId25" Type="http://schemas.openxmlformats.org/officeDocument/2006/relationships/ctrlProp" Target="../ctrlProps/ctrlProp879.xml"/><Relationship Id="rId46" Type="http://schemas.openxmlformats.org/officeDocument/2006/relationships/ctrlProp" Target="../ctrlProps/ctrlProp900.xml"/><Relationship Id="rId67" Type="http://schemas.openxmlformats.org/officeDocument/2006/relationships/ctrlProp" Target="../ctrlProps/ctrlProp921.xml"/><Relationship Id="rId272" Type="http://schemas.openxmlformats.org/officeDocument/2006/relationships/ctrlProp" Target="../ctrlProps/ctrlProp1126.xml"/><Relationship Id="rId88" Type="http://schemas.openxmlformats.org/officeDocument/2006/relationships/ctrlProp" Target="../ctrlProps/ctrlProp942.xml"/><Relationship Id="rId111" Type="http://schemas.openxmlformats.org/officeDocument/2006/relationships/ctrlProp" Target="../ctrlProps/ctrlProp965.xml"/><Relationship Id="rId132" Type="http://schemas.openxmlformats.org/officeDocument/2006/relationships/ctrlProp" Target="../ctrlProps/ctrlProp986.xml"/><Relationship Id="rId153" Type="http://schemas.openxmlformats.org/officeDocument/2006/relationships/ctrlProp" Target="../ctrlProps/ctrlProp1007.xml"/><Relationship Id="rId174" Type="http://schemas.openxmlformats.org/officeDocument/2006/relationships/ctrlProp" Target="../ctrlProps/ctrlProp1028.xml"/><Relationship Id="rId195" Type="http://schemas.openxmlformats.org/officeDocument/2006/relationships/ctrlProp" Target="../ctrlProps/ctrlProp1049.xml"/><Relationship Id="rId209" Type="http://schemas.openxmlformats.org/officeDocument/2006/relationships/ctrlProp" Target="../ctrlProps/ctrlProp1063.xml"/><Relationship Id="rId220" Type="http://schemas.openxmlformats.org/officeDocument/2006/relationships/ctrlProp" Target="../ctrlProps/ctrlProp1074.xml"/><Relationship Id="rId241" Type="http://schemas.openxmlformats.org/officeDocument/2006/relationships/ctrlProp" Target="../ctrlProps/ctrlProp1095.xml"/><Relationship Id="rId15" Type="http://schemas.openxmlformats.org/officeDocument/2006/relationships/ctrlProp" Target="../ctrlProps/ctrlProp869.xml"/><Relationship Id="rId36" Type="http://schemas.openxmlformats.org/officeDocument/2006/relationships/ctrlProp" Target="../ctrlProps/ctrlProp890.xml"/><Relationship Id="rId57" Type="http://schemas.openxmlformats.org/officeDocument/2006/relationships/ctrlProp" Target="../ctrlProps/ctrlProp911.xml"/><Relationship Id="rId262" Type="http://schemas.openxmlformats.org/officeDocument/2006/relationships/ctrlProp" Target="../ctrlProps/ctrlProp1116.xml"/><Relationship Id="rId283" Type="http://schemas.openxmlformats.org/officeDocument/2006/relationships/ctrlProp" Target="../ctrlProps/ctrlProp1137.xml"/><Relationship Id="rId78" Type="http://schemas.openxmlformats.org/officeDocument/2006/relationships/ctrlProp" Target="../ctrlProps/ctrlProp932.xml"/><Relationship Id="rId99" Type="http://schemas.openxmlformats.org/officeDocument/2006/relationships/ctrlProp" Target="../ctrlProps/ctrlProp953.xml"/><Relationship Id="rId101" Type="http://schemas.openxmlformats.org/officeDocument/2006/relationships/ctrlProp" Target="../ctrlProps/ctrlProp955.xml"/><Relationship Id="rId122" Type="http://schemas.openxmlformats.org/officeDocument/2006/relationships/ctrlProp" Target="../ctrlProps/ctrlProp976.xml"/><Relationship Id="rId143" Type="http://schemas.openxmlformats.org/officeDocument/2006/relationships/ctrlProp" Target="../ctrlProps/ctrlProp997.xml"/><Relationship Id="rId164" Type="http://schemas.openxmlformats.org/officeDocument/2006/relationships/ctrlProp" Target="../ctrlProps/ctrlProp1018.xml"/><Relationship Id="rId185" Type="http://schemas.openxmlformats.org/officeDocument/2006/relationships/ctrlProp" Target="../ctrlProps/ctrlProp1039.xml"/><Relationship Id="rId9" Type="http://schemas.openxmlformats.org/officeDocument/2006/relationships/ctrlProp" Target="../ctrlProps/ctrlProp863.xml"/><Relationship Id="rId210" Type="http://schemas.openxmlformats.org/officeDocument/2006/relationships/ctrlProp" Target="../ctrlProps/ctrlProp1064.xml"/><Relationship Id="rId26" Type="http://schemas.openxmlformats.org/officeDocument/2006/relationships/ctrlProp" Target="../ctrlProps/ctrlProp880.xml"/><Relationship Id="rId231" Type="http://schemas.openxmlformats.org/officeDocument/2006/relationships/ctrlProp" Target="../ctrlProps/ctrlProp1085.xml"/><Relationship Id="rId252" Type="http://schemas.openxmlformats.org/officeDocument/2006/relationships/ctrlProp" Target="../ctrlProps/ctrlProp1106.xml"/><Relationship Id="rId273" Type="http://schemas.openxmlformats.org/officeDocument/2006/relationships/ctrlProp" Target="../ctrlProps/ctrlProp1127.xml"/><Relationship Id="rId47" Type="http://schemas.openxmlformats.org/officeDocument/2006/relationships/ctrlProp" Target="../ctrlProps/ctrlProp901.xml"/><Relationship Id="rId68" Type="http://schemas.openxmlformats.org/officeDocument/2006/relationships/ctrlProp" Target="../ctrlProps/ctrlProp922.xml"/><Relationship Id="rId89" Type="http://schemas.openxmlformats.org/officeDocument/2006/relationships/ctrlProp" Target="../ctrlProps/ctrlProp943.xml"/><Relationship Id="rId112" Type="http://schemas.openxmlformats.org/officeDocument/2006/relationships/ctrlProp" Target="../ctrlProps/ctrlProp966.xml"/><Relationship Id="rId133" Type="http://schemas.openxmlformats.org/officeDocument/2006/relationships/ctrlProp" Target="../ctrlProps/ctrlProp987.xml"/><Relationship Id="rId154" Type="http://schemas.openxmlformats.org/officeDocument/2006/relationships/ctrlProp" Target="../ctrlProps/ctrlProp1008.xml"/><Relationship Id="rId175" Type="http://schemas.openxmlformats.org/officeDocument/2006/relationships/ctrlProp" Target="../ctrlProps/ctrlProp1029.xml"/><Relationship Id="rId196" Type="http://schemas.openxmlformats.org/officeDocument/2006/relationships/ctrlProp" Target="../ctrlProps/ctrlProp1050.xml"/><Relationship Id="rId200" Type="http://schemas.openxmlformats.org/officeDocument/2006/relationships/ctrlProp" Target="../ctrlProps/ctrlProp1054.xml"/><Relationship Id="rId16" Type="http://schemas.openxmlformats.org/officeDocument/2006/relationships/ctrlProp" Target="../ctrlProps/ctrlProp870.xml"/><Relationship Id="rId221" Type="http://schemas.openxmlformats.org/officeDocument/2006/relationships/ctrlProp" Target="../ctrlProps/ctrlProp1075.xml"/><Relationship Id="rId242" Type="http://schemas.openxmlformats.org/officeDocument/2006/relationships/ctrlProp" Target="../ctrlProps/ctrlProp1096.xml"/><Relationship Id="rId263" Type="http://schemas.openxmlformats.org/officeDocument/2006/relationships/ctrlProp" Target="../ctrlProps/ctrlProp1117.xml"/><Relationship Id="rId284" Type="http://schemas.openxmlformats.org/officeDocument/2006/relationships/ctrlProp" Target="../ctrlProps/ctrlProp1138.xml"/><Relationship Id="rId37" Type="http://schemas.openxmlformats.org/officeDocument/2006/relationships/ctrlProp" Target="../ctrlProps/ctrlProp891.xml"/><Relationship Id="rId58" Type="http://schemas.openxmlformats.org/officeDocument/2006/relationships/ctrlProp" Target="../ctrlProps/ctrlProp912.xml"/><Relationship Id="rId79" Type="http://schemas.openxmlformats.org/officeDocument/2006/relationships/ctrlProp" Target="../ctrlProps/ctrlProp933.xml"/><Relationship Id="rId102" Type="http://schemas.openxmlformats.org/officeDocument/2006/relationships/ctrlProp" Target="../ctrlProps/ctrlProp956.xml"/><Relationship Id="rId123" Type="http://schemas.openxmlformats.org/officeDocument/2006/relationships/ctrlProp" Target="../ctrlProps/ctrlProp977.xml"/><Relationship Id="rId144" Type="http://schemas.openxmlformats.org/officeDocument/2006/relationships/ctrlProp" Target="../ctrlProps/ctrlProp998.xml"/><Relationship Id="rId90" Type="http://schemas.openxmlformats.org/officeDocument/2006/relationships/ctrlProp" Target="../ctrlProps/ctrlProp944.xml"/><Relationship Id="rId165" Type="http://schemas.openxmlformats.org/officeDocument/2006/relationships/ctrlProp" Target="../ctrlProps/ctrlProp1019.xml"/><Relationship Id="rId186" Type="http://schemas.openxmlformats.org/officeDocument/2006/relationships/ctrlProp" Target="../ctrlProps/ctrlProp1040.xml"/><Relationship Id="rId211" Type="http://schemas.openxmlformats.org/officeDocument/2006/relationships/ctrlProp" Target="../ctrlProps/ctrlProp1065.xml"/><Relationship Id="rId232" Type="http://schemas.openxmlformats.org/officeDocument/2006/relationships/ctrlProp" Target="../ctrlProps/ctrlProp1086.xml"/><Relationship Id="rId253" Type="http://schemas.openxmlformats.org/officeDocument/2006/relationships/ctrlProp" Target="../ctrlProps/ctrlProp1107.xml"/><Relationship Id="rId274" Type="http://schemas.openxmlformats.org/officeDocument/2006/relationships/ctrlProp" Target="../ctrlProps/ctrlProp1128.xml"/><Relationship Id="rId27" Type="http://schemas.openxmlformats.org/officeDocument/2006/relationships/ctrlProp" Target="../ctrlProps/ctrlProp881.xml"/><Relationship Id="rId48" Type="http://schemas.openxmlformats.org/officeDocument/2006/relationships/ctrlProp" Target="../ctrlProps/ctrlProp902.xml"/><Relationship Id="rId69" Type="http://schemas.openxmlformats.org/officeDocument/2006/relationships/ctrlProp" Target="../ctrlProps/ctrlProp923.xml"/><Relationship Id="rId113" Type="http://schemas.openxmlformats.org/officeDocument/2006/relationships/ctrlProp" Target="../ctrlProps/ctrlProp967.xml"/><Relationship Id="rId134" Type="http://schemas.openxmlformats.org/officeDocument/2006/relationships/ctrlProp" Target="../ctrlProps/ctrlProp988.xml"/><Relationship Id="rId80" Type="http://schemas.openxmlformats.org/officeDocument/2006/relationships/ctrlProp" Target="../ctrlProps/ctrlProp934.xml"/><Relationship Id="rId155" Type="http://schemas.openxmlformats.org/officeDocument/2006/relationships/ctrlProp" Target="../ctrlProps/ctrlProp1009.xml"/><Relationship Id="rId176" Type="http://schemas.openxmlformats.org/officeDocument/2006/relationships/ctrlProp" Target="../ctrlProps/ctrlProp1030.xml"/><Relationship Id="rId197" Type="http://schemas.openxmlformats.org/officeDocument/2006/relationships/ctrlProp" Target="../ctrlProps/ctrlProp1051.xml"/><Relationship Id="rId201" Type="http://schemas.openxmlformats.org/officeDocument/2006/relationships/ctrlProp" Target="../ctrlProps/ctrlProp1055.xml"/><Relationship Id="rId222" Type="http://schemas.openxmlformats.org/officeDocument/2006/relationships/ctrlProp" Target="../ctrlProps/ctrlProp1076.xml"/><Relationship Id="rId243" Type="http://schemas.openxmlformats.org/officeDocument/2006/relationships/ctrlProp" Target="../ctrlProps/ctrlProp1097.xml"/><Relationship Id="rId264" Type="http://schemas.openxmlformats.org/officeDocument/2006/relationships/ctrlProp" Target="../ctrlProps/ctrlProp1118.xml"/><Relationship Id="rId17" Type="http://schemas.openxmlformats.org/officeDocument/2006/relationships/ctrlProp" Target="../ctrlProps/ctrlProp871.xml"/><Relationship Id="rId38" Type="http://schemas.openxmlformats.org/officeDocument/2006/relationships/ctrlProp" Target="../ctrlProps/ctrlProp892.xml"/><Relationship Id="rId59" Type="http://schemas.openxmlformats.org/officeDocument/2006/relationships/ctrlProp" Target="../ctrlProps/ctrlProp913.xml"/><Relationship Id="rId103" Type="http://schemas.openxmlformats.org/officeDocument/2006/relationships/ctrlProp" Target="../ctrlProps/ctrlProp957.xml"/><Relationship Id="rId124" Type="http://schemas.openxmlformats.org/officeDocument/2006/relationships/ctrlProp" Target="../ctrlProps/ctrlProp978.xml"/><Relationship Id="rId70" Type="http://schemas.openxmlformats.org/officeDocument/2006/relationships/ctrlProp" Target="../ctrlProps/ctrlProp924.xml"/><Relationship Id="rId91" Type="http://schemas.openxmlformats.org/officeDocument/2006/relationships/ctrlProp" Target="../ctrlProps/ctrlProp945.xml"/><Relationship Id="rId145" Type="http://schemas.openxmlformats.org/officeDocument/2006/relationships/ctrlProp" Target="../ctrlProps/ctrlProp999.xml"/><Relationship Id="rId166" Type="http://schemas.openxmlformats.org/officeDocument/2006/relationships/ctrlProp" Target="../ctrlProps/ctrlProp1020.xml"/><Relationship Id="rId187" Type="http://schemas.openxmlformats.org/officeDocument/2006/relationships/ctrlProp" Target="../ctrlProps/ctrlProp1041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066.xml"/><Relationship Id="rId233" Type="http://schemas.openxmlformats.org/officeDocument/2006/relationships/ctrlProp" Target="../ctrlProps/ctrlProp1087.xml"/><Relationship Id="rId254" Type="http://schemas.openxmlformats.org/officeDocument/2006/relationships/ctrlProp" Target="../ctrlProps/ctrlProp1108.xml"/><Relationship Id="rId28" Type="http://schemas.openxmlformats.org/officeDocument/2006/relationships/ctrlProp" Target="../ctrlProps/ctrlProp882.xml"/><Relationship Id="rId49" Type="http://schemas.openxmlformats.org/officeDocument/2006/relationships/ctrlProp" Target="../ctrlProps/ctrlProp903.xml"/><Relationship Id="rId114" Type="http://schemas.openxmlformats.org/officeDocument/2006/relationships/ctrlProp" Target="../ctrlProps/ctrlProp968.xml"/><Relationship Id="rId275" Type="http://schemas.openxmlformats.org/officeDocument/2006/relationships/ctrlProp" Target="../ctrlProps/ctrlProp1129.xml"/><Relationship Id="rId60" Type="http://schemas.openxmlformats.org/officeDocument/2006/relationships/ctrlProp" Target="../ctrlProps/ctrlProp914.xml"/><Relationship Id="rId81" Type="http://schemas.openxmlformats.org/officeDocument/2006/relationships/ctrlProp" Target="../ctrlProps/ctrlProp935.xml"/><Relationship Id="rId135" Type="http://schemas.openxmlformats.org/officeDocument/2006/relationships/ctrlProp" Target="../ctrlProps/ctrlProp989.xml"/><Relationship Id="rId156" Type="http://schemas.openxmlformats.org/officeDocument/2006/relationships/ctrlProp" Target="../ctrlProps/ctrlProp1010.xml"/><Relationship Id="rId177" Type="http://schemas.openxmlformats.org/officeDocument/2006/relationships/ctrlProp" Target="../ctrlProps/ctrlProp1031.xml"/><Relationship Id="rId198" Type="http://schemas.openxmlformats.org/officeDocument/2006/relationships/ctrlProp" Target="../ctrlProps/ctrlProp1052.xml"/><Relationship Id="rId202" Type="http://schemas.openxmlformats.org/officeDocument/2006/relationships/ctrlProp" Target="../ctrlProps/ctrlProp1056.xml"/><Relationship Id="rId223" Type="http://schemas.openxmlformats.org/officeDocument/2006/relationships/ctrlProp" Target="../ctrlProps/ctrlProp1077.xml"/><Relationship Id="rId244" Type="http://schemas.openxmlformats.org/officeDocument/2006/relationships/ctrlProp" Target="../ctrlProps/ctrlProp1098.xml"/><Relationship Id="rId18" Type="http://schemas.openxmlformats.org/officeDocument/2006/relationships/ctrlProp" Target="../ctrlProps/ctrlProp872.xml"/><Relationship Id="rId39" Type="http://schemas.openxmlformats.org/officeDocument/2006/relationships/ctrlProp" Target="../ctrlProps/ctrlProp893.xml"/><Relationship Id="rId265" Type="http://schemas.openxmlformats.org/officeDocument/2006/relationships/ctrlProp" Target="../ctrlProps/ctrlProp1119.xml"/><Relationship Id="rId50" Type="http://schemas.openxmlformats.org/officeDocument/2006/relationships/ctrlProp" Target="../ctrlProps/ctrlProp904.xml"/><Relationship Id="rId104" Type="http://schemas.openxmlformats.org/officeDocument/2006/relationships/ctrlProp" Target="../ctrlProps/ctrlProp958.xml"/><Relationship Id="rId125" Type="http://schemas.openxmlformats.org/officeDocument/2006/relationships/ctrlProp" Target="../ctrlProps/ctrlProp979.xml"/><Relationship Id="rId146" Type="http://schemas.openxmlformats.org/officeDocument/2006/relationships/ctrlProp" Target="../ctrlProps/ctrlProp1000.xml"/><Relationship Id="rId167" Type="http://schemas.openxmlformats.org/officeDocument/2006/relationships/ctrlProp" Target="../ctrlProps/ctrlProp1021.xml"/><Relationship Id="rId188" Type="http://schemas.openxmlformats.org/officeDocument/2006/relationships/ctrlProp" Target="../ctrlProps/ctrlProp1042.xml"/><Relationship Id="rId71" Type="http://schemas.openxmlformats.org/officeDocument/2006/relationships/ctrlProp" Target="../ctrlProps/ctrlProp925.xml"/><Relationship Id="rId92" Type="http://schemas.openxmlformats.org/officeDocument/2006/relationships/ctrlProp" Target="../ctrlProps/ctrlProp946.xml"/><Relationship Id="rId213" Type="http://schemas.openxmlformats.org/officeDocument/2006/relationships/ctrlProp" Target="../ctrlProps/ctrlProp1067.xml"/><Relationship Id="rId234" Type="http://schemas.openxmlformats.org/officeDocument/2006/relationships/ctrlProp" Target="../ctrlProps/ctrlProp1088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3.xml"/><Relationship Id="rId255" Type="http://schemas.openxmlformats.org/officeDocument/2006/relationships/ctrlProp" Target="../ctrlProps/ctrlProp1109.xml"/><Relationship Id="rId276" Type="http://schemas.openxmlformats.org/officeDocument/2006/relationships/ctrlProp" Target="../ctrlProps/ctrlProp1130.xml"/><Relationship Id="rId40" Type="http://schemas.openxmlformats.org/officeDocument/2006/relationships/ctrlProp" Target="../ctrlProps/ctrlProp894.xml"/><Relationship Id="rId115" Type="http://schemas.openxmlformats.org/officeDocument/2006/relationships/ctrlProp" Target="../ctrlProps/ctrlProp969.xml"/><Relationship Id="rId136" Type="http://schemas.openxmlformats.org/officeDocument/2006/relationships/ctrlProp" Target="../ctrlProps/ctrlProp990.xml"/><Relationship Id="rId157" Type="http://schemas.openxmlformats.org/officeDocument/2006/relationships/ctrlProp" Target="../ctrlProps/ctrlProp1011.xml"/><Relationship Id="rId178" Type="http://schemas.openxmlformats.org/officeDocument/2006/relationships/ctrlProp" Target="../ctrlProps/ctrlProp1032.xml"/><Relationship Id="rId61" Type="http://schemas.openxmlformats.org/officeDocument/2006/relationships/ctrlProp" Target="../ctrlProps/ctrlProp915.xml"/><Relationship Id="rId82" Type="http://schemas.openxmlformats.org/officeDocument/2006/relationships/ctrlProp" Target="../ctrlProps/ctrlProp936.xml"/><Relationship Id="rId199" Type="http://schemas.openxmlformats.org/officeDocument/2006/relationships/ctrlProp" Target="../ctrlProps/ctrlProp1053.xml"/><Relationship Id="rId203" Type="http://schemas.openxmlformats.org/officeDocument/2006/relationships/ctrlProp" Target="../ctrlProps/ctrlProp1057.xml"/><Relationship Id="rId19" Type="http://schemas.openxmlformats.org/officeDocument/2006/relationships/ctrlProp" Target="../ctrlProps/ctrlProp873.xml"/><Relationship Id="rId224" Type="http://schemas.openxmlformats.org/officeDocument/2006/relationships/ctrlProp" Target="../ctrlProps/ctrlProp1078.xml"/><Relationship Id="rId245" Type="http://schemas.openxmlformats.org/officeDocument/2006/relationships/ctrlProp" Target="../ctrlProps/ctrlProp1099.xml"/><Relationship Id="rId266" Type="http://schemas.openxmlformats.org/officeDocument/2006/relationships/ctrlProp" Target="../ctrlProps/ctrlProp1120.xml"/><Relationship Id="rId30" Type="http://schemas.openxmlformats.org/officeDocument/2006/relationships/ctrlProp" Target="../ctrlProps/ctrlProp884.xml"/><Relationship Id="rId105" Type="http://schemas.openxmlformats.org/officeDocument/2006/relationships/ctrlProp" Target="../ctrlProps/ctrlProp959.xml"/><Relationship Id="rId126" Type="http://schemas.openxmlformats.org/officeDocument/2006/relationships/ctrlProp" Target="../ctrlProps/ctrlProp980.xml"/><Relationship Id="rId147" Type="http://schemas.openxmlformats.org/officeDocument/2006/relationships/ctrlProp" Target="../ctrlProps/ctrlProp1001.xml"/><Relationship Id="rId168" Type="http://schemas.openxmlformats.org/officeDocument/2006/relationships/ctrlProp" Target="../ctrlProps/ctrlProp1022.xml"/><Relationship Id="rId51" Type="http://schemas.openxmlformats.org/officeDocument/2006/relationships/ctrlProp" Target="../ctrlProps/ctrlProp905.xml"/><Relationship Id="rId72" Type="http://schemas.openxmlformats.org/officeDocument/2006/relationships/ctrlProp" Target="../ctrlProps/ctrlProp926.xml"/><Relationship Id="rId93" Type="http://schemas.openxmlformats.org/officeDocument/2006/relationships/ctrlProp" Target="../ctrlProps/ctrlProp947.xml"/><Relationship Id="rId189" Type="http://schemas.openxmlformats.org/officeDocument/2006/relationships/ctrlProp" Target="../ctrlProps/ctrlProp1043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8.xml"/><Relationship Id="rId235" Type="http://schemas.openxmlformats.org/officeDocument/2006/relationships/ctrlProp" Target="../ctrlProps/ctrlProp1089.xml"/><Relationship Id="rId256" Type="http://schemas.openxmlformats.org/officeDocument/2006/relationships/ctrlProp" Target="../ctrlProps/ctrlProp1110.xml"/><Relationship Id="rId277" Type="http://schemas.openxmlformats.org/officeDocument/2006/relationships/ctrlProp" Target="../ctrlProps/ctrlProp1131.xml"/><Relationship Id="rId116" Type="http://schemas.openxmlformats.org/officeDocument/2006/relationships/ctrlProp" Target="../ctrlProps/ctrlProp970.xml"/><Relationship Id="rId137" Type="http://schemas.openxmlformats.org/officeDocument/2006/relationships/ctrlProp" Target="../ctrlProps/ctrlProp991.xml"/><Relationship Id="rId158" Type="http://schemas.openxmlformats.org/officeDocument/2006/relationships/ctrlProp" Target="../ctrlProps/ctrlProp1012.xml"/><Relationship Id="rId20" Type="http://schemas.openxmlformats.org/officeDocument/2006/relationships/ctrlProp" Target="../ctrlProps/ctrlProp874.xml"/><Relationship Id="rId41" Type="http://schemas.openxmlformats.org/officeDocument/2006/relationships/ctrlProp" Target="../ctrlProps/ctrlProp895.xml"/><Relationship Id="rId62" Type="http://schemas.openxmlformats.org/officeDocument/2006/relationships/ctrlProp" Target="../ctrlProps/ctrlProp916.xml"/><Relationship Id="rId83" Type="http://schemas.openxmlformats.org/officeDocument/2006/relationships/ctrlProp" Target="../ctrlProps/ctrlProp937.xml"/><Relationship Id="rId179" Type="http://schemas.openxmlformats.org/officeDocument/2006/relationships/ctrlProp" Target="../ctrlProps/ctrlProp1033.xml"/><Relationship Id="rId190" Type="http://schemas.openxmlformats.org/officeDocument/2006/relationships/ctrlProp" Target="../ctrlProps/ctrlProp1044.xml"/><Relationship Id="rId204" Type="http://schemas.openxmlformats.org/officeDocument/2006/relationships/ctrlProp" Target="../ctrlProps/ctrlProp1058.xml"/><Relationship Id="rId225" Type="http://schemas.openxmlformats.org/officeDocument/2006/relationships/ctrlProp" Target="../ctrlProps/ctrlProp1079.xml"/><Relationship Id="rId246" Type="http://schemas.openxmlformats.org/officeDocument/2006/relationships/ctrlProp" Target="../ctrlProps/ctrlProp1100.xml"/><Relationship Id="rId267" Type="http://schemas.openxmlformats.org/officeDocument/2006/relationships/ctrlProp" Target="../ctrlProps/ctrlProp1121.xml"/><Relationship Id="rId106" Type="http://schemas.openxmlformats.org/officeDocument/2006/relationships/ctrlProp" Target="../ctrlProps/ctrlProp960.xml"/><Relationship Id="rId127" Type="http://schemas.openxmlformats.org/officeDocument/2006/relationships/ctrlProp" Target="../ctrlProps/ctrlProp981.xml"/><Relationship Id="rId10" Type="http://schemas.openxmlformats.org/officeDocument/2006/relationships/ctrlProp" Target="../ctrlProps/ctrlProp864.xml"/><Relationship Id="rId31" Type="http://schemas.openxmlformats.org/officeDocument/2006/relationships/ctrlProp" Target="../ctrlProps/ctrlProp885.xml"/><Relationship Id="rId52" Type="http://schemas.openxmlformats.org/officeDocument/2006/relationships/ctrlProp" Target="../ctrlProps/ctrlProp906.xml"/><Relationship Id="rId73" Type="http://schemas.openxmlformats.org/officeDocument/2006/relationships/ctrlProp" Target="../ctrlProps/ctrlProp927.xml"/><Relationship Id="rId94" Type="http://schemas.openxmlformats.org/officeDocument/2006/relationships/ctrlProp" Target="../ctrlProps/ctrlProp948.xml"/><Relationship Id="rId148" Type="http://schemas.openxmlformats.org/officeDocument/2006/relationships/ctrlProp" Target="../ctrlProps/ctrlProp1002.xml"/><Relationship Id="rId169" Type="http://schemas.openxmlformats.org/officeDocument/2006/relationships/ctrlProp" Target="../ctrlProps/ctrlProp1023.xml"/><Relationship Id="rId4" Type="http://schemas.openxmlformats.org/officeDocument/2006/relationships/ctrlProp" Target="../ctrlProps/ctrlProp858.xml"/><Relationship Id="rId180" Type="http://schemas.openxmlformats.org/officeDocument/2006/relationships/ctrlProp" Target="../ctrlProps/ctrlProp1034.xml"/><Relationship Id="rId215" Type="http://schemas.openxmlformats.org/officeDocument/2006/relationships/ctrlProp" Target="../ctrlProps/ctrlProp1069.xml"/><Relationship Id="rId236" Type="http://schemas.openxmlformats.org/officeDocument/2006/relationships/ctrlProp" Target="../ctrlProps/ctrlProp1090.xml"/><Relationship Id="rId257" Type="http://schemas.openxmlformats.org/officeDocument/2006/relationships/ctrlProp" Target="../ctrlProps/ctrlProp1111.xml"/><Relationship Id="rId278" Type="http://schemas.openxmlformats.org/officeDocument/2006/relationships/ctrlProp" Target="../ctrlProps/ctrlProp1132.xml"/><Relationship Id="rId42" Type="http://schemas.openxmlformats.org/officeDocument/2006/relationships/ctrlProp" Target="../ctrlProps/ctrlProp896.xml"/><Relationship Id="rId84" Type="http://schemas.openxmlformats.org/officeDocument/2006/relationships/ctrlProp" Target="../ctrlProps/ctrlProp938.xml"/><Relationship Id="rId138" Type="http://schemas.openxmlformats.org/officeDocument/2006/relationships/ctrlProp" Target="../ctrlProps/ctrlProp992.xml"/><Relationship Id="rId191" Type="http://schemas.openxmlformats.org/officeDocument/2006/relationships/ctrlProp" Target="../ctrlProps/ctrlProp1045.xml"/><Relationship Id="rId205" Type="http://schemas.openxmlformats.org/officeDocument/2006/relationships/ctrlProp" Target="../ctrlProps/ctrlProp1059.xml"/><Relationship Id="rId247" Type="http://schemas.openxmlformats.org/officeDocument/2006/relationships/ctrlProp" Target="../ctrlProps/ctrlProp1101.xml"/><Relationship Id="rId107" Type="http://schemas.openxmlformats.org/officeDocument/2006/relationships/ctrlProp" Target="../ctrlProps/ctrlProp961.xml"/><Relationship Id="rId11" Type="http://schemas.openxmlformats.org/officeDocument/2006/relationships/ctrlProp" Target="../ctrlProps/ctrlProp865.xml"/><Relationship Id="rId53" Type="http://schemas.openxmlformats.org/officeDocument/2006/relationships/ctrlProp" Target="../ctrlProps/ctrlProp907.xml"/><Relationship Id="rId149" Type="http://schemas.openxmlformats.org/officeDocument/2006/relationships/ctrlProp" Target="../ctrlProps/ctrlProp1003.xml"/><Relationship Id="rId95" Type="http://schemas.openxmlformats.org/officeDocument/2006/relationships/ctrlProp" Target="../ctrlProps/ctrlProp949.xml"/><Relationship Id="rId160" Type="http://schemas.openxmlformats.org/officeDocument/2006/relationships/ctrlProp" Target="../ctrlProps/ctrlProp1014.xml"/><Relationship Id="rId216" Type="http://schemas.openxmlformats.org/officeDocument/2006/relationships/ctrlProp" Target="../ctrlProps/ctrlProp1070.xml"/><Relationship Id="rId258" Type="http://schemas.openxmlformats.org/officeDocument/2006/relationships/ctrlProp" Target="../ctrlProps/ctrlProp1112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workbookViewId="0">
      <selection activeCell="E24" sqref="E24"/>
    </sheetView>
  </sheetViews>
  <sheetFormatPr defaultRowHeight="12.75" x14ac:dyDescent="0.2"/>
  <cols>
    <col min="1" max="16384" width="9.140625" style="481"/>
  </cols>
  <sheetData>
    <row r="7" spans="4:18" x14ac:dyDescent="0.2"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P7" s="927"/>
      <c r="Q7" s="927"/>
      <c r="R7" s="927"/>
    </row>
    <row r="8" spans="4:18" x14ac:dyDescent="0.2"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928"/>
      <c r="Q8" s="928"/>
      <c r="R8" s="928"/>
    </row>
    <row r="9" spans="4:18" ht="59.25" x14ac:dyDescent="0.75">
      <c r="D9" s="928"/>
      <c r="E9" s="929" t="s">
        <v>5144</v>
      </c>
      <c r="F9" s="928"/>
      <c r="G9" s="928"/>
      <c r="H9" s="928"/>
      <c r="I9" s="928"/>
      <c r="J9" s="928"/>
      <c r="K9" s="928"/>
      <c r="L9" s="928"/>
      <c r="M9" s="928"/>
      <c r="N9" s="928"/>
      <c r="O9" s="928"/>
      <c r="P9" s="928"/>
      <c r="Q9" s="928"/>
      <c r="R9" s="928"/>
    </row>
    <row r="10" spans="4:18" ht="19.5" customHeight="1" x14ac:dyDescent="0.75">
      <c r="D10" s="928"/>
      <c r="E10" s="929"/>
      <c r="F10" s="928"/>
      <c r="G10" s="928"/>
      <c r="H10" s="928"/>
      <c r="I10" s="928"/>
      <c r="J10" s="928"/>
      <c r="K10" s="928"/>
      <c r="L10" s="928"/>
      <c r="M10" s="928"/>
      <c r="N10" s="928"/>
      <c r="O10" s="928"/>
      <c r="P10" s="928"/>
      <c r="Q10" s="928"/>
      <c r="R10" s="928"/>
    </row>
    <row r="11" spans="4:18" ht="59.25" x14ac:dyDescent="0.75">
      <c r="D11" s="928"/>
      <c r="E11" s="929" t="s">
        <v>5143</v>
      </c>
      <c r="F11" s="928"/>
      <c r="G11" s="928"/>
      <c r="H11" s="928"/>
      <c r="I11" s="928"/>
      <c r="J11" s="928"/>
      <c r="K11" s="928"/>
      <c r="L11" s="928"/>
      <c r="M11" s="928"/>
      <c r="N11" s="928"/>
      <c r="O11" s="928"/>
      <c r="P11" s="928"/>
      <c r="Q11" s="928"/>
      <c r="R11" s="928"/>
    </row>
    <row r="12" spans="4:18" ht="59.25" x14ac:dyDescent="0.75">
      <c r="D12" s="928"/>
      <c r="E12" s="929"/>
      <c r="F12" s="928"/>
      <c r="G12" s="928"/>
      <c r="H12" s="928"/>
      <c r="I12" s="928"/>
      <c r="J12" s="928"/>
      <c r="K12" s="928"/>
      <c r="L12" s="928"/>
      <c r="M12" s="928"/>
      <c r="N12" s="928"/>
      <c r="O12" s="928"/>
      <c r="P12" s="928"/>
      <c r="Q12" s="928"/>
      <c r="R12" s="928"/>
    </row>
    <row r="13" spans="4:18" ht="33" x14ac:dyDescent="0.45">
      <c r="D13" s="928"/>
      <c r="E13" s="930" t="s">
        <v>4251</v>
      </c>
      <c r="F13" s="928"/>
      <c r="G13" s="928"/>
      <c r="H13" s="928"/>
      <c r="I13" s="928"/>
      <c r="J13" s="928"/>
      <c r="K13" s="928"/>
      <c r="L13" s="928"/>
      <c r="M13" s="928"/>
      <c r="N13" s="928"/>
      <c r="O13" s="928"/>
      <c r="P13" s="928"/>
      <c r="Q13" s="928"/>
      <c r="R13" s="928"/>
    </row>
    <row r="14" spans="4:18" x14ac:dyDescent="0.2">
      <c r="D14" s="928"/>
      <c r="E14" s="928"/>
      <c r="F14" s="928"/>
      <c r="G14" s="928"/>
      <c r="H14" s="928"/>
      <c r="I14" s="928"/>
      <c r="J14" s="928"/>
      <c r="K14" s="928"/>
      <c r="L14" s="928"/>
      <c r="M14" s="928"/>
      <c r="N14" s="928"/>
      <c r="O14" s="928"/>
      <c r="P14" s="928"/>
      <c r="Q14" s="928"/>
      <c r="R14" s="928"/>
    </row>
    <row r="15" spans="4:18" x14ac:dyDescent="0.2">
      <c r="D15" s="928"/>
      <c r="E15" s="928"/>
      <c r="F15" s="928"/>
      <c r="G15" s="928"/>
      <c r="H15" s="928"/>
      <c r="I15" s="928"/>
      <c r="J15" s="928"/>
      <c r="K15" s="928"/>
      <c r="L15" s="928"/>
      <c r="M15" s="928"/>
      <c r="N15" s="928"/>
      <c r="O15" s="928"/>
      <c r="P15" s="928"/>
      <c r="Q15" s="928"/>
      <c r="R15" s="928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539" customWidth="1"/>
    <col min="2" max="3" width="5.42578125" style="539" customWidth="1"/>
    <col min="4" max="4" width="3.140625" style="539" customWidth="1"/>
    <col min="5" max="5" width="9.42578125" style="539" customWidth="1"/>
    <col min="6" max="6" width="9.140625" style="539"/>
    <col min="7" max="7" width="9.5703125" style="539" customWidth="1"/>
    <col min="8" max="8" width="9.140625" style="539"/>
    <col min="9" max="9" width="9.5703125" style="539" customWidth="1"/>
    <col min="10" max="10" width="10.7109375" style="539" customWidth="1"/>
    <col min="11" max="11" width="9.140625" style="539"/>
    <col min="12" max="12" width="9.28515625" style="539" customWidth="1"/>
    <col min="13" max="13" width="14.42578125" style="539" customWidth="1"/>
    <col min="14" max="14" width="5.28515625" style="539" customWidth="1"/>
    <col min="15" max="15" width="7" style="539" customWidth="1"/>
    <col min="16" max="16" width="11" style="539" customWidth="1"/>
    <col min="17" max="17" width="10.140625" style="539" customWidth="1"/>
    <col min="18" max="18" width="9.140625" style="539"/>
    <col min="19" max="19" width="30.7109375" style="539" customWidth="1"/>
    <col min="20" max="16384" width="9.140625" style="539"/>
  </cols>
  <sheetData>
    <row r="1" spans="2:67" s="534" customFormat="1" ht="17.25" customHeight="1" x14ac:dyDescent="0.2">
      <c r="B1" s="624"/>
      <c r="C1" s="624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</row>
    <row r="2" spans="2:67" s="534" customFormat="1" ht="17.25" customHeight="1" x14ac:dyDescent="0.2">
      <c r="B2" s="525"/>
      <c r="C2" s="525"/>
      <c r="D2" s="525"/>
      <c r="E2" s="497" t="s">
        <v>297</v>
      </c>
      <c r="F2" s="525"/>
      <c r="G2" s="498">
        <f ca="1">Var_AfspraakDatum</f>
        <v>42755</v>
      </c>
      <c r="H2" s="499"/>
      <c r="I2" s="497" t="s">
        <v>298</v>
      </c>
      <c r="J2" s="497"/>
      <c r="K2" s="755" t="str">
        <f>PatDetails!B15</f>
        <v/>
      </c>
      <c r="L2" s="525"/>
      <c r="M2" s="525" t="str">
        <f>PatDetails!B23</f>
        <v>Gewicht: 1 kg</v>
      </c>
      <c r="N2" s="497"/>
      <c r="O2" s="525"/>
      <c r="P2" s="525" t="s">
        <v>490</v>
      </c>
      <c r="Q2" s="497">
        <f>__1_Bed</f>
        <v>0</v>
      </c>
      <c r="R2" s="497"/>
      <c r="S2" s="525"/>
    </row>
    <row r="3" spans="2:67" s="534" customFormat="1" ht="17.25" customHeight="1" x14ac:dyDescent="0.2">
      <c r="B3" s="525"/>
      <c r="C3" s="525"/>
      <c r="D3" s="525"/>
      <c r="E3" s="497" t="s">
        <v>28</v>
      </c>
      <c r="F3" s="525"/>
      <c r="G3" s="501" t="str">
        <f>PatDetails!B21</f>
        <v/>
      </c>
      <c r="H3" s="501"/>
      <c r="I3" s="497" t="s">
        <v>305</v>
      </c>
      <c r="J3" s="497"/>
      <c r="K3" s="756" t="str">
        <f ca="1">PatDetails!B16</f>
        <v/>
      </c>
      <c r="L3" s="525"/>
      <c r="M3" s="525" t="str">
        <f>PatDetails!B24</f>
        <v>Lengte:</v>
      </c>
      <c r="N3" s="497"/>
      <c r="O3" s="525"/>
      <c r="P3" s="525"/>
      <c r="Q3" s="497"/>
      <c r="R3" s="525"/>
      <c r="S3" s="525"/>
    </row>
    <row r="4" spans="2:67" s="534" customFormat="1" ht="17.25" customHeight="1" x14ac:dyDescent="0.2">
      <c r="B4" s="525"/>
      <c r="C4" s="525"/>
      <c r="D4" s="525"/>
      <c r="E4" s="502" t="s">
        <v>3984</v>
      </c>
      <c r="F4" s="525"/>
      <c r="G4" s="497" t="str">
        <f>PatDetails!B17</f>
        <v/>
      </c>
      <c r="H4" s="499"/>
      <c r="I4" s="497" t="s">
        <v>268</v>
      </c>
      <c r="J4" s="497"/>
      <c r="K4" s="525" t="str">
        <f ca="1">PatDetails!B20</f>
        <v/>
      </c>
      <c r="L4" s="525"/>
      <c r="M4" s="525" t="str">
        <f>PatDetails!B25</f>
        <v>Lichamelijk oppervlak:</v>
      </c>
      <c r="N4" s="497"/>
      <c r="O4" s="525"/>
      <c r="P4" s="497"/>
      <c r="Q4" s="497"/>
      <c r="R4" s="525"/>
      <c r="S4" s="525"/>
    </row>
    <row r="5" spans="2:67" s="534" customFormat="1" ht="8.1" customHeight="1" x14ac:dyDescent="0.2">
      <c r="B5" s="525"/>
      <c r="C5" s="525"/>
      <c r="D5" s="525"/>
      <c r="E5" s="525"/>
      <c r="F5" s="525"/>
      <c r="G5" s="525"/>
      <c r="H5" s="525"/>
      <c r="I5" s="525"/>
      <c r="J5" s="525"/>
      <c r="K5" s="525"/>
      <c r="L5" s="525"/>
      <c r="M5" s="525"/>
      <c r="N5" s="525"/>
      <c r="O5" s="525"/>
      <c r="P5" s="525"/>
      <c r="Q5" s="525"/>
      <c r="R5" s="525"/>
      <c r="S5" s="525"/>
    </row>
    <row r="6" spans="2:67" s="757" customFormat="1" ht="8.1" customHeight="1" x14ac:dyDescent="0.2"/>
    <row r="7" spans="2:67" s="757" customFormat="1" ht="20.100000000000001" customHeight="1" x14ac:dyDescent="0.2">
      <c r="B7" s="809" t="s">
        <v>3982</v>
      </c>
      <c r="C7" s="809" t="s">
        <v>3782</v>
      </c>
      <c r="D7" s="808"/>
      <c r="E7" s="807" t="s">
        <v>324</v>
      </c>
      <c r="F7" s="806"/>
      <c r="G7" s="808"/>
      <c r="H7" s="808"/>
      <c r="I7" s="808" t="s">
        <v>203</v>
      </c>
      <c r="J7" s="808" t="s">
        <v>589</v>
      </c>
      <c r="K7" s="808"/>
      <c r="L7" s="808" t="s">
        <v>439</v>
      </c>
      <c r="M7" s="808" t="s">
        <v>325</v>
      </c>
      <c r="N7" s="808" t="s">
        <v>150</v>
      </c>
      <c r="O7" s="808"/>
      <c r="P7" s="808"/>
      <c r="Q7" s="808" t="s">
        <v>3786</v>
      </c>
      <c r="R7" s="808" t="s">
        <v>369</v>
      </c>
      <c r="S7" s="808" t="s">
        <v>237</v>
      </c>
    </row>
    <row r="8" spans="2:67" ht="8.1" customHeight="1" thickBot="1" x14ac:dyDescent="0.25">
      <c r="B8" s="520"/>
      <c r="C8" s="520"/>
      <c r="D8" s="520"/>
      <c r="E8" s="535"/>
      <c r="F8" s="536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07"/>
      <c r="U8" s="507"/>
      <c r="V8" s="507"/>
      <c r="W8" s="757"/>
      <c r="X8" s="757"/>
      <c r="Y8" s="757"/>
    </row>
    <row r="9" spans="2:67" ht="20.100000000000001" customHeight="1" thickTop="1" thickBot="1" x14ac:dyDescent="0.25">
      <c r="B9" s="537" t="str">
        <f>GlobBerMedDisc!AL2</f>
        <v/>
      </c>
      <c r="C9" s="537" t="str">
        <f>GlobBerMedDisc!AO2</f>
        <v/>
      </c>
      <c r="D9" s="607">
        <v>1</v>
      </c>
      <c r="E9" s="826" t="str">
        <f>GlobBerMedDisc!AP2</f>
        <v/>
      </c>
      <c r="F9" s="826"/>
      <c r="G9" s="826"/>
      <c r="H9" s="826"/>
      <c r="I9" s="760" t="str">
        <f>GlobBerMedDisc!W2</f>
        <v/>
      </c>
      <c r="J9" s="761" t="str">
        <f>IF(GlobBerMedDisc!C2&gt;1,GlobBerMedDisc!H2,"")</f>
        <v/>
      </c>
      <c r="K9" s="762" t="str">
        <f>IF(GlobBerMedDisc!C2&gt;1,GlobBerMedDisc!F2,"")</f>
        <v/>
      </c>
      <c r="L9" s="763">
        <f>GlobBerMedDisc!L2</f>
        <v>0</v>
      </c>
      <c r="M9" s="763" t="str">
        <f>GlobBerMedDisc!AM2</f>
        <v/>
      </c>
      <c r="N9" s="763" t="str">
        <f>IF(AND(GlobBerMedDisc!C2&gt;1,GlobBerMedDisc!O2&gt;1),GlobBerMedDisc!N2,"")</f>
        <v/>
      </c>
      <c r="O9" s="763" t="str">
        <f>IF(AND(GlobBerMedDisc!C2&gt;1,N9&lt;&gt;0,GlobBerMedDisc!O2&gt;1),"ml","")</f>
        <v/>
      </c>
      <c r="P9" s="763"/>
      <c r="Q9" s="763" t="str">
        <f>GlobBerMedDisc!AN2</f>
        <v/>
      </c>
      <c r="R9" s="763" t="str">
        <f>IF(AND(N9&lt;&gt;"",GlobBerMedDisc!Q2&gt;0),GlobBerMedDisc!Q2&amp;" min","")</f>
        <v/>
      </c>
      <c r="S9" s="763">
        <f>GlobBerMedDisc!AB2</f>
        <v>0</v>
      </c>
      <c r="T9" s="757"/>
      <c r="U9" s="757"/>
      <c r="V9" s="757"/>
      <c r="W9" s="757"/>
      <c r="X9" s="757"/>
      <c r="Y9" s="757"/>
    </row>
    <row r="10" spans="2:67" ht="20.100000000000001" customHeight="1" thickTop="1" thickBot="1" x14ac:dyDescent="0.25">
      <c r="B10" s="537" t="str">
        <f>GlobBerMedDisc!AL3</f>
        <v/>
      </c>
      <c r="C10" s="537" t="str">
        <f>GlobBerMedDisc!AO3</f>
        <v/>
      </c>
      <c r="D10" s="607">
        <v>2</v>
      </c>
      <c r="E10" s="826" t="str">
        <f>GlobBerMedDisc!AP3</f>
        <v/>
      </c>
      <c r="F10" s="826"/>
      <c r="G10" s="826"/>
      <c r="H10" s="826"/>
      <c r="I10" s="760" t="str">
        <f>GlobBerMedDisc!W3</f>
        <v/>
      </c>
      <c r="J10" s="761" t="str">
        <f>IF(GlobBerMedDisc!C3&gt;1,GlobBerMedDisc!H3,"")</f>
        <v/>
      </c>
      <c r="K10" s="762" t="str">
        <f>IF(GlobBerMedDisc!C3&gt;1,GlobBerMedDisc!F3,"")</f>
        <v/>
      </c>
      <c r="L10" s="763">
        <f>GlobBerMedDisc!L3</f>
        <v>0</v>
      </c>
      <c r="M10" s="763" t="str">
        <f>GlobBerMedDisc!AM3</f>
        <v/>
      </c>
      <c r="N10" s="763" t="str">
        <f>IF(AND(GlobBerMedDisc!C3&gt;1,GlobBerMedDisc!O3&gt;1),GlobBerMedDisc!N3,"")</f>
        <v/>
      </c>
      <c r="O10" s="763" t="str">
        <f>IF(AND(GlobBerMedDisc!C3&gt;1,N10&lt;&gt;0,GlobBerMedDisc!O3&gt;1),"ml","")</f>
        <v/>
      </c>
      <c r="P10" s="763"/>
      <c r="Q10" s="763" t="str">
        <f>GlobBerMedDisc!AN3</f>
        <v/>
      </c>
      <c r="R10" s="763" t="str">
        <f>IF(AND(N10&lt;&gt;"",GlobBerMedDisc!Q3&gt;0),GlobBerMedDisc!Q3&amp;" min","")</f>
        <v/>
      </c>
      <c r="S10" s="763">
        <f>GlobBerMedDisc!AB3</f>
        <v>0</v>
      </c>
      <c r="T10" s="757"/>
      <c r="U10" s="757"/>
      <c r="V10" s="757"/>
      <c r="W10" s="757"/>
      <c r="X10" s="757"/>
      <c r="Y10" s="757"/>
    </row>
    <row r="11" spans="2:67" ht="20.100000000000001" customHeight="1" thickTop="1" thickBot="1" x14ac:dyDescent="0.25">
      <c r="B11" s="537" t="str">
        <f>GlobBerMedDisc!AL4</f>
        <v/>
      </c>
      <c r="C11" s="537" t="str">
        <f>GlobBerMedDisc!AO4</f>
        <v/>
      </c>
      <c r="D11" s="607">
        <v>3</v>
      </c>
      <c r="E11" s="826" t="str">
        <f>GlobBerMedDisc!AP4</f>
        <v/>
      </c>
      <c r="F11" s="826"/>
      <c r="G11" s="826"/>
      <c r="H11" s="826"/>
      <c r="I11" s="760" t="str">
        <f>GlobBerMedDisc!W4</f>
        <v/>
      </c>
      <c r="J11" s="761" t="str">
        <f>IF(GlobBerMedDisc!C4&gt;1,GlobBerMedDisc!H4,"")</f>
        <v/>
      </c>
      <c r="K11" s="762" t="str">
        <f>IF(GlobBerMedDisc!C4&gt;1,GlobBerMedDisc!F4,"")</f>
        <v/>
      </c>
      <c r="L11" s="763">
        <f>GlobBerMedDisc!L4</f>
        <v>0</v>
      </c>
      <c r="M11" s="763" t="str">
        <f>GlobBerMedDisc!AM4</f>
        <v/>
      </c>
      <c r="N11" s="763" t="str">
        <f>IF(AND(GlobBerMedDisc!C4&gt;1,GlobBerMedDisc!O4&gt;1),GlobBerMedDisc!N4,"")</f>
        <v/>
      </c>
      <c r="O11" s="763" t="str">
        <f>IF(AND(GlobBerMedDisc!C4&gt;1,N11&lt;&gt;0,GlobBerMedDisc!O4&gt;1),"ml","")</f>
        <v/>
      </c>
      <c r="P11" s="763"/>
      <c r="Q11" s="763" t="str">
        <f>GlobBerMedDisc!AN4</f>
        <v/>
      </c>
      <c r="R11" s="763" t="str">
        <f>IF(AND(N11&lt;&gt;"",GlobBerMedDisc!Q4&gt;0),GlobBerMedDisc!Q4&amp;" min","")</f>
        <v/>
      </c>
      <c r="S11" s="763">
        <f>GlobBerMedDisc!AB4</f>
        <v>0</v>
      </c>
      <c r="T11" s="757"/>
      <c r="U11" s="757"/>
      <c r="V11" s="757"/>
      <c r="W11" s="757"/>
      <c r="X11" s="757"/>
      <c r="Y11" s="757"/>
    </row>
    <row r="12" spans="2:67" ht="20.100000000000001" customHeight="1" thickTop="1" thickBot="1" x14ac:dyDescent="0.25">
      <c r="B12" s="537" t="str">
        <f>GlobBerMedDisc!AL5</f>
        <v/>
      </c>
      <c r="C12" s="537" t="str">
        <f>GlobBerMedDisc!AO5</f>
        <v/>
      </c>
      <c r="D12" s="607">
        <v>4</v>
      </c>
      <c r="E12" s="826" t="str">
        <f>GlobBerMedDisc!AP5</f>
        <v/>
      </c>
      <c r="F12" s="826"/>
      <c r="G12" s="826"/>
      <c r="H12" s="826"/>
      <c r="I12" s="760" t="str">
        <f>GlobBerMedDisc!W5</f>
        <v/>
      </c>
      <c r="J12" s="761" t="str">
        <f>IF(GlobBerMedDisc!C5&gt;1,GlobBerMedDisc!H5,"")</f>
        <v/>
      </c>
      <c r="K12" s="762" t="str">
        <f>IF(GlobBerMedDisc!C5&gt;1,GlobBerMedDisc!F5,"")</f>
        <v/>
      </c>
      <c r="L12" s="763">
        <f>GlobBerMedDisc!L5</f>
        <v>0</v>
      </c>
      <c r="M12" s="763" t="str">
        <f>GlobBerMedDisc!AM5</f>
        <v/>
      </c>
      <c r="N12" s="763" t="str">
        <f>IF(AND(GlobBerMedDisc!C5&gt;1,GlobBerMedDisc!O5&gt;1),GlobBerMedDisc!N5,"")</f>
        <v/>
      </c>
      <c r="O12" s="763" t="str">
        <f>IF(AND(GlobBerMedDisc!C5&gt;1,N12&lt;&gt;0,GlobBerMedDisc!O5&gt;1),"ml","")</f>
        <v/>
      </c>
      <c r="P12" s="763"/>
      <c r="Q12" s="763" t="str">
        <f>GlobBerMedDisc!AN5</f>
        <v/>
      </c>
      <c r="R12" s="763" t="str">
        <f>IF(AND(N12&lt;&gt;"",GlobBerMedDisc!Q5&gt;0),GlobBerMedDisc!Q5&amp;" min","")</f>
        <v/>
      </c>
      <c r="S12" s="763">
        <f>GlobBerMedDisc!AB5</f>
        <v>0</v>
      </c>
      <c r="T12" s="757"/>
      <c r="U12" s="757"/>
      <c r="V12" s="757"/>
      <c r="W12" s="757"/>
      <c r="X12" s="757"/>
      <c r="Y12" s="757"/>
    </row>
    <row r="13" spans="2:67" s="758" customFormat="1" ht="20.100000000000001" customHeight="1" thickTop="1" thickBot="1" x14ac:dyDescent="0.25">
      <c r="B13" s="537" t="str">
        <f>GlobBerMedDisc!AL6</f>
        <v/>
      </c>
      <c r="C13" s="537" t="str">
        <f>GlobBerMedDisc!AO6</f>
        <v/>
      </c>
      <c r="D13" s="607">
        <v>5</v>
      </c>
      <c r="E13" s="826" t="str">
        <f>GlobBerMedDisc!AP6</f>
        <v/>
      </c>
      <c r="F13" s="826"/>
      <c r="G13" s="826"/>
      <c r="H13" s="826"/>
      <c r="I13" s="760" t="str">
        <f>GlobBerMedDisc!W6</f>
        <v/>
      </c>
      <c r="J13" s="761" t="str">
        <f>IF(GlobBerMedDisc!C6&gt;1,GlobBerMedDisc!H6,"")</f>
        <v/>
      </c>
      <c r="K13" s="762" t="str">
        <f>IF(GlobBerMedDisc!C6&gt;1,GlobBerMedDisc!F6,"")</f>
        <v/>
      </c>
      <c r="L13" s="763">
        <f>GlobBerMedDisc!L6</f>
        <v>0</v>
      </c>
      <c r="M13" s="763" t="str">
        <f>GlobBerMedDisc!AM6</f>
        <v/>
      </c>
      <c r="N13" s="763" t="str">
        <f>IF(AND(GlobBerMedDisc!C6&gt;1,GlobBerMedDisc!O6&gt;1),GlobBerMedDisc!N6,"")</f>
        <v/>
      </c>
      <c r="O13" s="763" t="str">
        <f>IF(AND(GlobBerMedDisc!C6&gt;1,N13&lt;&gt;0,GlobBerMedDisc!O6&gt;1),"ml","")</f>
        <v/>
      </c>
      <c r="P13" s="763"/>
      <c r="Q13" s="763" t="str">
        <f>GlobBerMedDisc!AN6</f>
        <v/>
      </c>
      <c r="R13" s="763" t="str">
        <f>IF(AND(N13&lt;&gt;"",GlobBerMedDisc!Q6&gt;0),GlobBerMedDisc!Q6&amp;" min","")</f>
        <v/>
      </c>
      <c r="S13" s="763">
        <f>GlobBerMedDisc!AB6</f>
        <v>0</v>
      </c>
      <c r="T13" s="757"/>
      <c r="U13" s="757"/>
      <c r="V13" s="757"/>
      <c r="W13" s="757"/>
      <c r="X13" s="757"/>
      <c r="Y13" s="757"/>
      <c r="Z13" s="539"/>
      <c r="AA13" s="539"/>
      <c r="AB13" s="539"/>
      <c r="AC13" s="539"/>
      <c r="AD13" s="539"/>
      <c r="AE13" s="539"/>
      <c r="AF13" s="539"/>
      <c r="AG13" s="539"/>
      <c r="AH13" s="539"/>
      <c r="AI13" s="539"/>
      <c r="AJ13" s="539"/>
      <c r="AK13" s="539"/>
      <c r="AL13" s="539"/>
      <c r="AM13" s="539"/>
      <c r="AN13" s="539"/>
      <c r="AO13" s="539"/>
      <c r="AP13" s="539"/>
      <c r="AQ13" s="539"/>
      <c r="AR13" s="539"/>
      <c r="AS13" s="539"/>
      <c r="AT13" s="539"/>
      <c r="AU13" s="539"/>
      <c r="AV13" s="539"/>
      <c r="AW13" s="539"/>
      <c r="AX13" s="539"/>
      <c r="AY13" s="539"/>
      <c r="AZ13" s="539"/>
      <c r="BA13" s="539"/>
      <c r="BB13" s="539"/>
      <c r="BC13" s="539"/>
      <c r="BD13" s="539"/>
      <c r="BE13" s="539"/>
      <c r="BF13" s="539"/>
      <c r="BG13" s="539"/>
      <c r="BH13" s="539"/>
      <c r="BI13" s="539"/>
      <c r="BJ13" s="539"/>
      <c r="BK13" s="539"/>
      <c r="BL13" s="539"/>
      <c r="BM13" s="539"/>
      <c r="BN13" s="539"/>
      <c r="BO13" s="539"/>
    </row>
    <row r="14" spans="2:67" ht="20.100000000000001" customHeight="1" thickTop="1" thickBot="1" x14ac:dyDescent="0.25">
      <c r="B14" s="537" t="str">
        <f>GlobBerMedDisc!AL7</f>
        <v/>
      </c>
      <c r="C14" s="537" t="str">
        <f>GlobBerMedDisc!AO7</f>
        <v/>
      </c>
      <c r="D14" s="607">
        <v>6</v>
      </c>
      <c r="E14" s="826" t="str">
        <f>GlobBerMedDisc!AP7</f>
        <v/>
      </c>
      <c r="F14" s="826"/>
      <c r="G14" s="826"/>
      <c r="H14" s="826"/>
      <c r="I14" s="760" t="str">
        <f>GlobBerMedDisc!W7</f>
        <v/>
      </c>
      <c r="J14" s="761" t="str">
        <f>IF(GlobBerMedDisc!C7&gt;1,GlobBerMedDisc!H7,"")</f>
        <v/>
      </c>
      <c r="K14" s="762" t="str">
        <f>IF(GlobBerMedDisc!C7&gt;1,GlobBerMedDisc!F7,"")</f>
        <v/>
      </c>
      <c r="L14" s="763">
        <f>GlobBerMedDisc!L7</f>
        <v>0</v>
      </c>
      <c r="M14" s="763" t="str">
        <f>GlobBerMedDisc!AM7</f>
        <v/>
      </c>
      <c r="N14" s="763" t="str">
        <f>IF(AND(GlobBerMedDisc!C7&gt;1,GlobBerMedDisc!O7&gt;1),GlobBerMedDisc!N7,"")</f>
        <v/>
      </c>
      <c r="O14" s="763" t="str">
        <f>IF(AND(GlobBerMedDisc!C7&gt;1,N14&lt;&gt;0,GlobBerMedDisc!O7&gt;1),"ml","")</f>
        <v/>
      </c>
      <c r="P14" s="763"/>
      <c r="Q14" s="763" t="str">
        <f>GlobBerMedDisc!AN7</f>
        <v/>
      </c>
      <c r="R14" s="763" t="str">
        <f>IF(AND(N14&lt;&gt;"",GlobBerMedDisc!Q7&gt;0),GlobBerMedDisc!Q7&amp;" min","")</f>
        <v/>
      </c>
      <c r="S14" s="763">
        <f>GlobBerMedDisc!AB7</f>
        <v>0</v>
      </c>
      <c r="T14" s="757"/>
      <c r="U14" s="757"/>
      <c r="V14" s="757"/>
      <c r="W14" s="757"/>
      <c r="X14" s="757"/>
      <c r="Y14" s="757"/>
    </row>
    <row r="15" spans="2:67" ht="20.100000000000001" customHeight="1" thickTop="1" thickBot="1" x14ac:dyDescent="0.25">
      <c r="B15" s="537" t="str">
        <f>GlobBerMedDisc!AL8</f>
        <v/>
      </c>
      <c r="C15" s="537" t="str">
        <f>GlobBerMedDisc!AO8</f>
        <v/>
      </c>
      <c r="D15" s="607">
        <v>7</v>
      </c>
      <c r="E15" s="826" t="str">
        <f>GlobBerMedDisc!AP8</f>
        <v/>
      </c>
      <c r="F15" s="826"/>
      <c r="G15" s="826"/>
      <c r="H15" s="826"/>
      <c r="I15" s="760" t="str">
        <f>GlobBerMedDisc!W8</f>
        <v/>
      </c>
      <c r="J15" s="761" t="str">
        <f>IF(GlobBerMedDisc!C8&gt;1,GlobBerMedDisc!H8,"")</f>
        <v/>
      </c>
      <c r="K15" s="762" t="str">
        <f>IF(GlobBerMedDisc!C8&gt;1,GlobBerMedDisc!F8,"")</f>
        <v/>
      </c>
      <c r="L15" s="763">
        <f>GlobBerMedDisc!L8</f>
        <v>0</v>
      </c>
      <c r="M15" s="763" t="str">
        <f>GlobBerMedDisc!AM8</f>
        <v/>
      </c>
      <c r="N15" s="763" t="str">
        <f>IF(AND(GlobBerMedDisc!C8&gt;1,GlobBerMedDisc!O8&gt;1),GlobBerMedDisc!N8,"")</f>
        <v/>
      </c>
      <c r="O15" s="763" t="str">
        <f>IF(AND(GlobBerMedDisc!C8&gt;1,N15&lt;&gt;0,GlobBerMedDisc!O8&gt;1),"ml","")</f>
        <v/>
      </c>
      <c r="P15" s="763"/>
      <c r="Q15" s="763" t="str">
        <f>GlobBerMedDisc!AN8</f>
        <v/>
      </c>
      <c r="R15" s="763" t="str">
        <f>IF(AND(N15&lt;&gt;"",GlobBerMedDisc!Q8&gt;0),GlobBerMedDisc!Q8&amp;" min","")</f>
        <v/>
      </c>
      <c r="S15" s="763">
        <f>GlobBerMedDisc!AB8</f>
        <v>0</v>
      </c>
      <c r="T15" s="757"/>
      <c r="U15" s="757"/>
      <c r="V15" s="757"/>
      <c r="W15" s="757"/>
      <c r="X15" s="757"/>
      <c r="Y15" s="757"/>
    </row>
    <row r="16" spans="2:67" ht="20.100000000000001" customHeight="1" thickTop="1" thickBot="1" x14ac:dyDescent="0.25">
      <c r="B16" s="537" t="str">
        <f>GlobBerMedDisc!AL9</f>
        <v/>
      </c>
      <c r="C16" s="537" t="str">
        <f>GlobBerMedDisc!AO9</f>
        <v/>
      </c>
      <c r="D16" s="607">
        <v>8</v>
      </c>
      <c r="E16" s="826" t="str">
        <f>GlobBerMedDisc!AP9</f>
        <v/>
      </c>
      <c r="F16" s="826"/>
      <c r="G16" s="826"/>
      <c r="H16" s="826"/>
      <c r="I16" s="760" t="str">
        <f>GlobBerMedDisc!W9</f>
        <v/>
      </c>
      <c r="J16" s="761" t="str">
        <f>IF(GlobBerMedDisc!C9&gt;1,GlobBerMedDisc!H9,"")</f>
        <v/>
      </c>
      <c r="K16" s="762" t="str">
        <f>IF(GlobBerMedDisc!C9&gt;1,GlobBerMedDisc!F9,"")</f>
        <v/>
      </c>
      <c r="L16" s="763">
        <f>GlobBerMedDisc!L9</f>
        <v>0</v>
      </c>
      <c r="M16" s="763" t="str">
        <f>GlobBerMedDisc!AM9</f>
        <v/>
      </c>
      <c r="N16" s="763" t="str">
        <f>IF(AND(GlobBerMedDisc!C9&gt;1,GlobBerMedDisc!O9&gt;1),GlobBerMedDisc!N9,"")</f>
        <v/>
      </c>
      <c r="O16" s="763" t="str">
        <f>IF(AND(GlobBerMedDisc!C9&gt;1,N16&lt;&gt;0,GlobBerMedDisc!O9&gt;1),"ml","")</f>
        <v/>
      </c>
      <c r="P16" s="763"/>
      <c r="Q16" s="763" t="str">
        <f>GlobBerMedDisc!AN9</f>
        <v/>
      </c>
      <c r="R16" s="763" t="str">
        <f>IF(AND(N16&lt;&gt;"",GlobBerMedDisc!Q9&gt;0),GlobBerMedDisc!Q9&amp;" min","")</f>
        <v/>
      </c>
      <c r="S16" s="763">
        <f>GlobBerMedDisc!AB9</f>
        <v>0</v>
      </c>
      <c r="T16" s="757"/>
      <c r="U16" s="757"/>
      <c r="V16" s="757"/>
      <c r="W16" s="757"/>
      <c r="X16" s="757"/>
      <c r="Y16" s="757"/>
    </row>
    <row r="17" spans="2:25" ht="20.100000000000001" customHeight="1" thickTop="1" thickBot="1" x14ac:dyDescent="0.25">
      <c r="B17" s="537" t="str">
        <f>GlobBerMedDisc!AL10</f>
        <v/>
      </c>
      <c r="C17" s="537" t="str">
        <f>GlobBerMedDisc!AO10</f>
        <v/>
      </c>
      <c r="D17" s="607">
        <v>9</v>
      </c>
      <c r="E17" s="826" t="str">
        <f>GlobBerMedDisc!AP10</f>
        <v/>
      </c>
      <c r="F17" s="826"/>
      <c r="G17" s="826"/>
      <c r="H17" s="826"/>
      <c r="I17" s="760" t="str">
        <f>GlobBerMedDisc!W10</f>
        <v/>
      </c>
      <c r="J17" s="761" t="str">
        <f>IF(GlobBerMedDisc!C10&gt;1,GlobBerMedDisc!H10,"")</f>
        <v/>
      </c>
      <c r="K17" s="762" t="str">
        <f>IF(GlobBerMedDisc!C10&gt;1,GlobBerMedDisc!F10,"")</f>
        <v/>
      </c>
      <c r="L17" s="763">
        <f>GlobBerMedDisc!L10</f>
        <v>0</v>
      </c>
      <c r="M17" s="763" t="str">
        <f>GlobBerMedDisc!AM10</f>
        <v/>
      </c>
      <c r="N17" s="763" t="str">
        <f>IF(AND(GlobBerMedDisc!C10&gt;1,GlobBerMedDisc!O10&gt;1),GlobBerMedDisc!N10,"")</f>
        <v/>
      </c>
      <c r="O17" s="763" t="str">
        <f>IF(AND(GlobBerMedDisc!C10&gt;1,N17&lt;&gt;0,GlobBerMedDisc!O10&gt;1),"ml","")</f>
        <v/>
      </c>
      <c r="P17" s="763"/>
      <c r="Q17" s="763" t="str">
        <f>GlobBerMedDisc!AN10</f>
        <v/>
      </c>
      <c r="R17" s="763" t="str">
        <f>IF(AND(N17&lt;&gt;"",GlobBerMedDisc!Q10&gt;0),GlobBerMedDisc!Q10&amp;" min","")</f>
        <v/>
      </c>
      <c r="S17" s="763">
        <f>GlobBerMedDisc!AB10</f>
        <v>0</v>
      </c>
      <c r="T17" s="757"/>
      <c r="U17" s="757"/>
      <c r="V17" s="757"/>
      <c r="W17" s="757"/>
      <c r="X17" s="757"/>
      <c r="Y17" s="757"/>
    </row>
    <row r="18" spans="2:25" ht="20.100000000000001" customHeight="1" thickTop="1" thickBot="1" x14ac:dyDescent="0.25">
      <c r="B18" s="537" t="str">
        <f>GlobBerMedDisc!AL11</f>
        <v/>
      </c>
      <c r="C18" s="537" t="str">
        <f>GlobBerMedDisc!AO11</f>
        <v/>
      </c>
      <c r="D18" s="607">
        <v>10</v>
      </c>
      <c r="E18" s="826" t="str">
        <f>GlobBerMedDisc!AP11</f>
        <v/>
      </c>
      <c r="F18" s="826"/>
      <c r="G18" s="826"/>
      <c r="H18" s="826"/>
      <c r="I18" s="760" t="str">
        <f>GlobBerMedDisc!W11</f>
        <v/>
      </c>
      <c r="J18" s="761" t="str">
        <f>IF(GlobBerMedDisc!C11&gt;1,GlobBerMedDisc!H11,"")</f>
        <v/>
      </c>
      <c r="K18" s="762" t="str">
        <f>IF(GlobBerMedDisc!C11&gt;1,GlobBerMedDisc!F11,"")</f>
        <v/>
      </c>
      <c r="L18" s="763">
        <f>GlobBerMedDisc!L11</f>
        <v>0</v>
      </c>
      <c r="M18" s="763" t="str">
        <f>GlobBerMedDisc!AM11</f>
        <v/>
      </c>
      <c r="N18" s="763" t="str">
        <f>IF(AND(GlobBerMedDisc!C11&gt;1,GlobBerMedDisc!O11&gt;1),GlobBerMedDisc!N11,"")</f>
        <v/>
      </c>
      <c r="O18" s="763" t="str">
        <f>IF(AND(GlobBerMedDisc!C11&gt;1,N18&lt;&gt;0,GlobBerMedDisc!O11&gt;1),"ml","")</f>
        <v/>
      </c>
      <c r="P18" s="763"/>
      <c r="Q18" s="763" t="str">
        <f>GlobBerMedDisc!AN11</f>
        <v/>
      </c>
      <c r="R18" s="763" t="str">
        <f>IF(AND(N18&lt;&gt;"",GlobBerMedDisc!Q11&gt;0),GlobBerMedDisc!Q11&amp;" min","")</f>
        <v/>
      </c>
      <c r="S18" s="763">
        <f>GlobBerMedDisc!AB11</f>
        <v>0</v>
      </c>
      <c r="T18" s="757"/>
      <c r="U18" s="757"/>
      <c r="V18" s="757"/>
      <c r="W18" s="757"/>
      <c r="X18" s="757"/>
      <c r="Y18" s="757"/>
    </row>
    <row r="19" spans="2:25" ht="20.100000000000001" customHeight="1" thickTop="1" thickBot="1" x14ac:dyDescent="0.25">
      <c r="B19" s="537" t="str">
        <f>GlobBerMedDisc!AL12</f>
        <v/>
      </c>
      <c r="C19" s="537" t="str">
        <f>GlobBerMedDisc!AO12</f>
        <v/>
      </c>
      <c r="D19" s="607">
        <v>11</v>
      </c>
      <c r="E19" s="826" t="str">
        <f>GlobBerMedDisc!AP12</f>
        <v/>
      </c>
      <c r="F19" s="826"/>
      <c r="G19" s="826"/>
      <c r="H19" s="826"/>
      <c r="I19" s="760" t="str">
        <f>GlobBerMedDisc!W12</f>
        <v/>
      </c>
      <c r="J19" s="761" t="str">
        <f>IF(GlobBerMedDisc!C12&gt;1,GlobBerMedDisc!H12,"")</f>
        <v/>
      </c>
      <c r="K19" s="762" t="str">
        <f>IF(GlobBerMedDisc!C12&gt;1,GlobBerMedDisc!F12,"")</f>
        <v/>
      </c>
      <c r="L19" s="763">
        <f>GlobBerMedDisc!L12</f>
        <v>0</v>
      </c>
      <c r="M19" s="763" t="str">
        <f>GlobBerMedDisc!AM12</f>
        <v/>
      </c>
      <c r="N19" s="763" t="str">
        <f>IF(AND(GlobBerMedDisc!C12&gt;1,GlobBerMedDisc!O12&gt;1),GlobBerMedDisc!N12,"")</f>
        <v/>
      </c>
      <c r="O19" s="763" t="str">
        <f>IF(AND(GlobBerMedDisc!C12&gt;1,N19&lt;&gt;0,GlobBerMedDisc!O12&gt;1),"ml","")</f>
        <v/>
      </c>
      <c r="P19" s="763"/>
      <c r="Q19" s="763" t="str">
        <f>GlobBerMedDisc!AN12</f>
        <v/>
      </c>
      <c r="R19" s="763" t="str">
        <f>IF(AND(N19&lt;&gt;"",GlobBerMedDisc!Q12&gt;0),GlobBerMedDisc!Q12&amp;" min","")</f>
        <v/>
      </c>
      <c r="S19" s="763">
        <f>GlobBerMedDisc!AB12</f>
        <v>0</v>
      </c>
      <c r="T19" s="757"/>
      <c r="U19" s="757"/>
      <c r="V19" s="757"/>
      <c r="W19" s="757"/>
      <c r="X19" s="757"/>
      <c r="Y19" s="757"/>
    </row>
    <row r="20" spans="2:25" ht="20.100000000000001" customHeight="1" thickTop="1" thickBot="1" x14ac:dyDescent="0.25">
      <c r="B20" s="537" t="str">
        <f>GlobBerMedDisc!AL13</f>
        <v/>
      </c>
      <c r="C20" s="537" t="str">
        <f>GlobBerMedDisc!AO13</f>
        <v/>
      </c>
      <c r="D20" s="607">
        <v>12</v>
      </c>
      <c r="E20" s="826" t="str">
        <f>GlobBerMedDisc!AP13</f>
        <v/>
      </c>
      <c r="F20" s="826"/>
      <c r="G20" s="826"/>
      <c r="H20" s="826"/>
      <c r="I20" s="760" t="str">
        <f>GlobBerMedDisc!W13</f>
        <v/>
      </c>
      <c r="J20" s="761" t="str">
        <f>IF(GlobBerMedDisc!C13&gt;1,GlobBerMedDisc!H13,"")</f>
        <v/>
      </c>
      <c r="K20" s="762" t="str">
        <f>IF(GlobBerMedDisc!C13&gt;1,GlobBerMedDisc!F13,"")</f>
        <v/>
      </c>
      <c r="L20" s="763">
        <f>GlobBerMedDisc!L13</f>
        <v>0</v>
      </c>
      <c r="M20" s="763" t="str">
        <f>GlobBerMedDisc!AM13</f>
        <v/>
      </c>
      <c r="N20" s="763" t="str">
        <f>IF(AND(GlobBerMedDisc!C13&gt;1,GlobBerMedDisc!O13&gt;1),GlobBerMedDisc!N13,"")</f>
        <v/>
      </c>
      <c r="O20" s="763" t="str">
        <f>IF(AND(GlobBerMedDisc!C13&gt;1,N20&lt;&gt;0,GlobBerMedDisc!O13&gt;1),"ml","")</f>
        <v/>
      </c>
      <c r="P20" s="763"/>
      <c r="Q20" s="763" t="str">
        <f>GlobBerMedDisc!AN13</f>
        <v/>
      </c>
      <c r="R20" s="763" t="str">
        <f>IF(AND(N20&lt;&gt;"",GlobBerMedDisc!Q13&gt;0),GlobBerMedDisc!Q13&amp;" min","")</f>
        <v/>
      </c>
      <c r="S20" s="763">
        <f>GlobBerMedDisc!AB13</f>
        <v>0</v>
      </c>
      <c r="T20" s="757"/>
      <c r="U20" s="757"/>
      <c r="V20" s="757"/>
      <c r="W20" s="757"/>
      <c r="X20" s="757"/>
      <c r="Y20" s="757"/>
    </row>
    <row r="21" spans="2:25" ht="20.100000000000001" customHeight="1" thickTop="1" thickBot="1" x14ac:dyDescent="0.25">
      <c r="B21" s="537" t="str">
        <f>GlobBerMedDisc!AL14</f>
        <v/>
      </c>
      <c r="C21" s="537" t="str">
        <f>GlobBerMedDisc!AO14</f>
        <v/>
      </c>
      <c r="D21" s="607">
        <v>13</v>
      </c>
      <c r="E21" s="826" t="str">
        <f>GlobBerMedDisc!AP14</f>
        <v/>
      </c>
      <c r="F21" s="826"/>
      <c r="G21" s="826"/>
      <c r="H21" s="826"/>
      <c r="I21" s="760" t="str">
        <f>GlobBerMedDisc!W14</f>
        <v/>
      </c>
      <c r="J21" s="761" t="str">
        <f>IF(GlobBerMedDisc!C14&gt;1,GlobBerMedDisc!H14,"")</f>
        <v/>
      </c>
      <c r="K21" s="762" t="str">
        <f>IF(GlobBerMedDisc!C14&gt;1,GlobBerMedDisc!F14,"")</f>
        <v/>
      </c>
      <c r="L21" s="763">
        <f>GlobBerMedDisc!L14</f>
        <v>0</v>
      </c>
      <c r="M21" s="763" t="str">
        <f>GlobBerMedDisc!AM14</f>
        <v/>
      </c>
      <c r="N21" s="763" t="str">
        <f>IF(AND(GlobBerMedDisc!C14&gt;1,GlobBerMedDisc!O14&gt;1),GlobBerMedDisc!N14,"")</f>
        <v/>
      </c>
      <c r="O21" s="763" t="str">
        <f>IF(AND(GlobBerMedDisc!C14&gt;1,N21&lt;&gt;0,GlobBerMedDisc!O14&gt;1),"ml","")</f>
        <v/>
      </c>
      <c r="P21" s="763"/>
      <c r="Q21" s="763" t="str">
        <f>GlobBerMedDisc!AN14</f>
        <v/>
      </c>
      <c r="R21" s="763" t="str">
        <f>IF(AND(N21&lt;&gt;"",GlobBerMedDisc!Q14&gt;0),GlobBerMedDisc!Q14&amp;" min","")</f>
        <v/>
      </c>
      <c r="S21" s="763">
        <f>GlobBerMedDisc!AB14</f>
        <v>0</v>
      </c>
      <c r="T21" s="757"/>
      <c r="U21" s="757"/>
      <c r="V21" s="757"/>
      <c r="W21" s="757"/>
      <c r="X21" s="757"/>
      <c r="Y21" s="757"/>
    </row>
    <row r="22" spans="2:25" ht="20.100000000000001" customHeight="1" thickTop="1" thickBot="1" x14ac:dyDescent="0.25">
      <c r="B22" s="537" t="str">
        <f>GlobBerMedDisc!AL15</f>
        <v/>
      </c>
      <c r="C22" s="537" t="str">
        <f>GlobBerMedDisc!AO15</f>
        <v/>
      </c>
      <c r="D22" s="607">
        <v>14</v>
      </c>
      <c r="E22" s="826" t="str">
        <f>GlobBerMedDisc!AP15</f>
        <v/>
      </c>
      <c r="F22" s="826"/>
      <c r="G22" s="826"/>
      <c r="H22" s="826"/>
      <c r="I22" s="760" t="str">
        <f>GlobBerMedDisc!W15</f>
        <v/>
      </c>
      <c r="J22" s="761" t="str">
        <f>IF(GlobBerMedDisc!C15&gt;1,GlobBerMedDisc!H15,"")</f>
        <v/>
      </c>
      <c r="K22" s="762" t="str">
        <f>IF(GlobBerMedDisc!C15&gt;1,GlobBerMedDisc!F15,"")</f>
        <v/>
      </c>
      <c r="L22" s="763">
        <f>GlobBerMedDisc!L15</f>
        <v>0</v>
      </c>
      <c r="M22" s="763" t="str">
        <f>GlobBerMedDisc!AM15</f>
        <v/>
      </c>
      <c r="N22" s="763" t="str">
        <f>IF(AND(GlobBerMedDisc!C15&gt;1,GlobBerMedDisc!O15&gt;1),GlobBerMedDisc!N15,"")</f>
        <v/>
      </c>
      <c r="O22" s="763" t="str">
        <f>IF(AND(GlobBerMedDisc!C15&gt;1,N22&lt;&gt;0,GlobBerMedDisc!O15&gt;1),"ml","")</f>
        <v/>
      </c>
      <c r="P22" s="763"/>
      <c r="Q22" s="763" t="str">
        <f>GlobBerMedDisc!AN15</f>
        <v/>
      </c>
      <c r="R22" s="763" t="str">
        <f>IF(AND(N22&lt;&gt;"",GlobBerMedDisc!Q15&gt;0),GlobBerMedDisc!Q15&amp;" min","")</f>
        <v/>
      </c>
      <c r="S22" s="763">
        <f>GlobBerMedDisc!AB15</f>
        <v>0</v>
      </c>
      <c r="T22" s="757"/>
      <c r="U22" s="757"/>
      <c r="V22" s="757"/>
      <c r="W22" s="757"/>
      <c r="X22" s="757"/>
      <c r="Y22" s="757"/>
    </row>
    <row r="23" spans="2:25" ht="20.100000000000001" customHeight="1" thickTop="1" thickBot="1" x14ac:dyDescent="0.25">
      <c r="B23" s="537" t="str">
        <f>GlobBerMedDisc!AL16</f>
        <v/>
      </c>
      <c r="C23" s="537" t="str">
        <f>GlobBerMedDisc!AO16</f>
        <v/>
      </c>
      <c r="D23" s="607">
        <v>15</v>
      </c>
      <c r="E23" s="826" t="str">
        <f>GlobBerMedDisc!AP16</f>
        <v/>
      </c>
      <c r="F23" s="826"/>
      <c r="G23" s="826"/>
      <c r="H23" s="826"/>
      <c r="I23" s="760" t="str">
        <f>GlobBerMedDisc!W16</f>
        <v/>
      </c>
      <c r="J23" s="761" t="str">
        <f>IF(GlobBerMedDisc!C16&gt;1,GlobBerMedDisc!H16,"")</f>
        <v/>
      </c>
      <c r="K23" s="762" t="str">
        <f>IF(GlobBerMedDisc!C16&gt;1,GlobBerMedDisc!F16,"")</f>
        <v/>
      </c>
      <c r="L23" s="763">
        <f>GlobBerMedDisc!L16</f>
        <v>0</v>
      </c>
      <c r="M23" s="763" t="str">
        <f>GlobBerMedDisc!AM16</f>
        <v/>
      </c>
      <c r="N23" s="763" t="str">
        <f>IF(AND(GlobBerMedDisc!C16&gt;1,GlobBerMedDisc!O16&gt;1),GlobBerMedDisc!N16,"")</f>
        <v/>
      </c>
      <c r="O23" s="763" t="str">
        <f>IF(AND(GlobBerMedDisc!C16&gt;1,N23&lt;&gt;0,GlobBerMedDisc!O16&gt;1),"ml","")</f>
        <v/>
      </c>
      <c r="P23" s="763"/>
      <c r="Q23" s="763" t="str">
        <f>GlobBerMedDisc!AN16</f>
        <v/>
      </c>
      <c r="R23" s="763" t="str">
        <f>IF(AND(N23&lt;&gt;"",GlobBerMedDisc!Q16&gt;0),GlobBerMedDisc!Q16&amp;" min","")</f>
        <v/>
      </c>
      <c r="S23" s="763">
        <f>GlobBerMedDisc!AB16</f>
        <v>0</v>
      </c>
      <c r="T23" s="757"/>
      <c r="U23" s="757"/>
      <c r="V23" s="757"/>
      <c r="W23" s="757"/>
      <c r="X23" s="757"/>
      <c r="Y23" s="757"/>
    </row>
    <row r="24" spans="2:25" ht="20.100000000000001" customHeight="1" thickTop="1" thickBot="1" x14ac:dyDescent="0.25">
      <c r="B24" s="537" t="str">
        <f>GlobBerMedDisc!AL17</f>
        <v/>
      </c>
      <c r="C24" s="537" t="str">
        <f>GlobBerMedDisc!AO17</f>
        <v/>
      </c>
      <c r="D24" s="607">
        <v>16</v>
      </c>
      <c r="E24" s="826" t="str">
        <f>GlobBerMedDisc!AP17</f>
        <v/>
      </c>
      <c r="F24" s="826"/>
      <c r="G24" s="826"/>
      <c r="H24" s="826"/>
      <c r="I24" s="760" t="str">
        <f>GlobBerMedDisc!W17</f>
        <v/>
      </c>
      <c r="J24" s="761" t="str">
        <f>IF(GlobBerMedDisc!C17&gt;1,GlobBerMedDisc!H17,"")</f>
        <v/>
      </c>
      <c r="K24" s="762" t="str">
        <f>IF(GlobBerMedDisc!C17&gt;1,GlobBerMedDisc!F17,"")</f>
        <v/>
      </c>
      <c r="L24" s="763">
        <f>GlobBerMedDisc!L17</f>
        <v>0</v>
      </c>
      <c r="M24" s="763" t="str">
        <f>GlobBerMedDisc!AM17</f>
        <v/>
      </c>
      <c r="N24" s="763" t="str">
        <f>IF(AND(GlobBerMedDisc!C17&gt;1,GlobBerMedDisc!O17&gt;1),GlobBerMedDisc!N17,"")</f>
        <v/>
      </c>
      <c r="O24" s="763" t="str">
        <f>IF(AND(GlobBerMedDisc!C17&gt;1,N24&lt;&gt;0,GlobBerMedDisc!O17&gt;1),"ml","")</f>
        <v/>
      </c>
      <c r="P24" s="763"/>
      <c r="Q24" s="763" t="str">
        <f>GlobBerMedDisc!AN17</f>
        <v/>
      </c>
      <c r="R24" s="763" t="str">
        <f>IF(AND(N24&lt;&gt;"",GlobBerMedDisc!Q17&gt;0),GlobBerMedDisc!Q17&amp;" min","")</f>
        <v/>
      </c>
      <c r="S24" s="763">
        <f>GlobBerMedDisc!AB17</f>
        <v>0</v>
      </c>
      <c r="T24" s="757"/>
      <c r="U24" s="757"/>
      <c r="V24" s="757"/>
      <c r="W24" s="757"/>
      <c r="X24" s="757"/>
      <c r="Y24" s="757"/>
    </row>
    <row r="25" spans="2:25" ht="20.100000000000001" customHeight="1" thickTop="1" thickBot="1" x14ac:dyDescent="0.25">
      <c r="B25" s="537" t="str">
        <f>GlobBerMedDisc!AL18</f>
        <v/>
      </c>
      <c r="C25" s="537" t="str">
        <f>GlobBerMedDisc!AO18</f>
        <v/>
      </c>
      <c r="D25" s="607">
        <v>17</v>
      </c>
      <c r="E25" s="826" t="str">
        <f>GlobBerMedDisc!AP18</f>
        <v/>
      </c>
      <c r="F25" s="826"/>
      <c r="G25" s="826"/>
      <c r="H25" s="826"/>
      <c r="I25" s="760" t="str">
        <f>GlobBerMedDisc!W18</f>
        <v/>
      </c>
      <c r="J25" s="761" t="str">
        <f>IF(GlobBerMedDisc!C18&gt;1,GlobBerMedDisc!H18,"")</f>
        <v/>
      </c>
      <c r="K25" s="762" t="str">
        <f>IF(GlobBerMedDisc!C18&gt;1,GlobBerMedDisc!F18,"")</f>
        <v/>
      </c>
      <c r="L25" s="763">
        <f>GlobBerMedDisc!L18</f>
        <v>0</v>
      </c>
      <c r="M25" s="763" t="str">
        <f>GlobBerMedDisc!AM18</f>
        <v/>
      </c>
      <c r="N25" s="763" t="str">
        <f>IF(AND(GlobBerMedDisc!C18&gt;1,GlobBerMedDisc!O18&gt;1),GlobBerMedDisc!N18,"")</f>
        <v/>
      </c>
      <c r="O25" s="763" t="str">
        <f>IF(AND(GlobBerMedDisc!C18&gt;1,N25&lt;&gt;0,GlobBerMedDisc!O18&gt;1),"ml","")</f>
        <v/>
      </c>
      <c r="P25" s="763"/>
      <c r="Q25" s="763" t="str">
        <f>GlobBerMedDisc!AN18</f>
        <v/>
      </c>
      <c r="R25" s="763" t="str">
        <f>IF(AND(N25&lt;&gt;"",GlobBerMedDisc!Q18&gt;0),GlobBerMedDisc!Q18&amp;" min","")</f>
        <v/>
      </c>
      <c r="S25" s="763">
        <f>GlobBerMedDisc!AB18</f>
        <v>0</v>
      </c>
      <c r="T25" s="757"/>
      <c r="U25" s="757"/>
      <c r="V25" s="757"/>
      <c r="W25" s="757"/>
      <c r="X25" s="757"/>
      <c r="Y25" s="757"/>
    </row>
    <row r="26" spans="2:25" ht="20.100000000000001" customHeight="1" thickTop="1" thickBot="1" x14ac:dyDescent="0.25">
      <c r="B26" s="537" t="str">
        <f>GlobBerMedDisc!AL19</f>
        <v/>
      </c>
      <c r="C26" s="537" t="str">
        <f>GlobBerMedDisc!AO19</f>
        <v/>
      </c>
      <c r="D26" s="607">
        <v>18</v>
      </c>
      <c r="E26" s="826" t="str">
        <f>GlobBerMedDisc!AP19</f>
        <v/>
      </c>
      <c r="F26" s="826"/>
      <c r="G26" s="826"/>
      <c r="H26" s="826"/>
      <c r="I26" s="760" t="str">
        <f>GlobBerMedDisc!W19</f>
        <v/>
      </c>
      <c r="J26" s="761" t="str">
        <f>IF(GlobBerMedDisc!C19&gt;1,GlobBerMedDisc!H19,"")</f>
        <v/>
      </c>
      <c r="K26" s="762" t="str">
        <f>IF(GlobBerMedDisc!C19&gt;1,GlobBerMedDisc!F19,"")</f>
        <v/>
      </c>
      <c r="L26" s="763">
        <f>GlobBerMedDisc!L19</f>
        <v>0</v>
      </c>
      <c r="M26" s="763" t="str">
        <f>GlobBerMedDisc!AM19</f>
        <v/>
      </c>
      <c r="N26" s="763" t="str">
        <f>IF(AND(GlobBerMedDisc!C19&gt;1,GlobBerMedDisc!O19&gt;1),GlobBerMedDisc!N19,"")</f>
        <v/>
      </c>
      <c r="O26" s="763" t="str">
        <f>IF(AND(GlobBerMedDisc!C19&gt;1,N26&lt;&gt;0,GlobBerMedDisc!O19&gt;1),"ml","")</f>
        <v/>
      </c>
      <c r="P26" s="763"/>
      <c r="Q26" s="763" t="str">
        <f>GlobBerMedDisc!AN19</f>
        <v/>
      </c>
      <c r="R26" s="763" t="str">
        <f>IF(AND(N26&lt;&gt;"",GlobBerMedDisc!Q19&gt;0),GlobBerMedDisc!Q19&amp;" min","")</f>
        <v/>
      </c>
      <c r="S26" s="763">
        <f>GlobBerMedDisc!AB19</f>
        <v>0</v>
      </c>
      <c r="T26" s="757"/>
      <c r="U26" s="757"/>
      <c r="V26" s="757"/>
      <c r="W26" s="757"/>
      <c r="X26" s="757"/>
      <c r="Y26" s="757"/>
    </row>
    <row r="27" spans="2:25" ht="20.100000000000001" customHeight="1" thickTop="1" thickBot="1" x14ac:dyDescent="0.25">
      <c r="B27" s="537" t="str">
        <f>GlobBerMedDisc!AL20</f>
        <v/>
      </c>
      <c r="C27" s="537" t="str">
        <f>GlobBerMedDisc!AO20</f>
        <v/>
      </c>
      <c r="D27" s="607">
        <v>19</v>
      </c>
      <c r="E27" s="826" t="str">
        <f>GlobBerMedDisc!AP20</f>
        <v/>
      </c>
      <c r="F27" s="826"/>
      <c r="G27" s="826"/>
      <c r="H27" s="826"/>
      <c r="I27" s="760" t="str">
        <f>GlobBerMedDisc!W20</f>
        <v/>
      </c>
      <c r="J27" s="761" t="str">
        <f>IF(GlobBerMedDisc!C20&gt;1,GlobBerMedDisc!H20,"")</f>
        <v/>
      </c>
      <c r="K27" s="762" t="str">
        <f>IF(GlobBerMedDisc!C20&gt;1,GlobBerMedDisc!F20,"")</f>
        <v/>
      </c>
      <c r="L27" s="763">
        <f>GlobBerMedDisc!L20</f>
        <v>0</v>
      </c>
      <c r="M27" s="763" t="str">
        <f>GlobBerMedDisc!AM20</f>
        <v/>
      </c>
      <c r="N27" s="763" t="str">
        <f>IF(AND(GlobBerMedDisc!C20&gt;1,GlobBerMedDisc!O20&gt;1),GlobBerMedDisc!N20,"")</f>
        <v/>
      </c>
      <c r="O27" s="763" t="str">
        <f>IF(AND(GlobBerMedDisc!C20&gt;1,N27&lt;&gt;0,GlobBerMedDisc!O20&gt;1),"ml","")</f>
        <v/>
      </c>
      <c r="P27" s="763"/>
      <c r="Q27" s="763" t="str">
        <f>GlobBerMedDisc!AN20</f>
        <v/>
      </c>
      <c r="R27" s="763" t="str">
        <f>IF(AND(N27&lt;&gt;"",GlobBerMedDisc!Q20&gt;0),GlobBerMedDisc!Q20&amp;" min","")</f>
        <v/>
      </c>
      <c r="S27" s="763">
        <f>GlobBerMedDisc!AB20</f>
        <v>0</v>
      </c>
      <c r="T27" s="757"/>
      <c r="U27" s="757"/>
      <c r="V27" s="757"/>
      <c r="W27" s="757"/>
      <c r="X27" s="757"/>
      <c r="Y27" s="757"/>
    </row>
    <row r="28" spans="2:25" ht="20.100000000000001" customHeight="1" thickTop="1" thickBot="1" x14ac:dyDescent="0.25">
      <c r="B28" s="537" t="str">
        <f>GlobBerMedDisc!AL21</f>
        <v/>
      </c>
      <c r="C28" s="537" t="str">
        <f>GlobBerMedDisc!AO21</f>
        <v/>
      </c>
      <c r="D28" s="607">
        <v>20</v>
      </c>
      <c r="E28" s="826" t="str">
        <f>GlobBerMedDisc!AP21</f>
        <v/>
      </c>
      <c r="F28" s="826"/>
      <c r="G28" s="826"/>
      <c r="H28" s="826"/>
      <c r="I28" s="760" t="str">
        <f>GlobBerMedDisc!W21</f>
        <v/>
      </c>
      <c r="J28" s="761" t="str">
        <f>IF(GlobBerMedDisc!C21&gt;1,GlobBerMedDisc!H21,"")</f>
        <v/>
      </c>
      <c r="K28" s="762" t="str">
        <f>IF(GlobBerMedDisc!C21&gt;1,GlobBerMedDisc!F21,"")</f>
        <v/>
      </c>
      <c r="L28" s="763">
        <f>GlobBerMedDisc!L21</f>
        <v>0</v>
      </c>
      <c r="M28" s="763" t="str">
        <f>GlobBerMedDisc!AM21</f>
        <v/>
      </c>
      <c r="N28" s="763" t="str">
        <f>IF(AND(GlobBerMedDisc!C21&gt;1,GlobBerMedDisc!O21&gt;1),GlobBerMedDisc!N21,"")</f>
        <v/>
      </c>
      <c r="O28" s="763" t="str">
        <f>IF(AND(GlobBerMedDisc!C21&gt;1,N28&lt;&gt;0,GlobBerMedDisc!O21&gt;1),"ml","")</f>
        <v/>
      </c>
      <c r="P28" s="763"/>
      <c r="Q28" s="763" t="str">
        <f>GlobBerMedDisc!AN21</f>
        <v/>
      </c>
      <c r="R28" s="763" t="str">
        <f>IF(AND(N28&lt;&gt;"",GlobBerMedDisc!Q21&gt;0),GlobBerMedDisc!Q21&amp;" min","")</f>
        <v/>
      </c>
      <c r="S28" s="763">
        <f>GlobBerMedDisc!AB21</f>
        <v>0</v>
      </c>
      <c r="T28" s="757"/>
      <c r="U28" s="757"/>
      <c r="V28" s="757"/>
      <c r="W28" s="757"/>
      <c r="X28" s="757"/>
      <c r="Y28" s="757"/>
    </row>
    <row r="29" spans="2:25" ht="20.100000000000001" customHeight="1" thickTop="1" thickBot="1" x14ac:dyDescent="0.25">
      <c r="B29" s="537" t="str">
        <f>GlobBerMedDisc!AL22</f>
        <v/>
      </c>
      <c r="C29" s="537" t="str">
        <f>GlobBerMedDisc!AO22</f>
        <v/>
      </c>
      <c r="D29" s="607">
        <v>21</v>
      </c>
      <c r="E29" s="826" t="str">
        <f>GlobBerMedDisc!AP22</f>
        <v/>
      </c>
      <c r="F29" s="826"/>
      <c r="G29" s="826"/>
      <c r="H29" s="826"/>
      <c r="I29" s="760" t="str">
        <f>GlobBerMedDisc!W22</f>
        <v/>
      </c>
      <c r="J29" s="761" t="str">
        <f>IF(GlobBerMedDisc!C22&gt;1,GlobBerMedDisc!H22,"")</f>
        <v/>
      </c>
      <c r="K29" s="762" t="str">
        <f>IF(GlobBerMedDisc!C22&gt;1,GlobBerMedDisc!F22,"")</f>
        <v/>
      </c>
      <c r="L29" s="763">
        <f>GlobBerMedDisc!L22</f>
        <v>0</v>
      </c>
      <c r="M29" s="763" t="str">
        <f>GlobBerMedDisc!AM22</f>
        <v/>
      </c>
      <c r="N29" s="763" t="str">
        <f>IF(AND(GlobBerMedDisc!C22&gt;1,GlobBerMedDisc!O22&gt;1),GlobBerMedDisc!N22,"")</f>
        <v/>
      </c>
      <c r="O29" s="763" t="str">
        <f>IF(AND(GlobBerMedDisc!C22&gt;1,N29&lt;&gt;0,GlobBerMedDisc!O22&gt;1),"ml","")</f>
        <v/>
      </c>
      <c r="P29" s="763"/>
      <c r="Q29" s="763" t="str">
        <f>GlobBerMedDisc!AN22</f>
        <v/>
      </c>
      <c r="R29" s="763" t="str">
        <f>IF(AND(N29&lt;&gt;"",GlobBerMedDisc!Q22&gt;0),GlobBerMedDisc!Q22&amp;" min","")</f>
        <v/>
      </c>
      <c r="S29" s="763">
        <f>GlobBerMedDisc!AB22</f>
        <v>0</v>
      </c>
      <c r="T29" s="757"/>
      <c r="U29" s="757"/>
      <c r="V29" s="757"/>
      <c r="W29" s="757"/>
      <c r="X29" s="757"/>
      <c r="Y29" s="757"/>
    </row>
    <row r="30" spans="2:25" ht="20.100000000000001" customHeight="1" thickTop="1" thickBot="1" x14ac:dyDescent="0.25">
      <c r="B30" s="537" t="str">
        <f>GlobBerMedDisc!AL23</f>
        <v/>
      </c>
      <c r="C30" s="537" t="str">
        <f>GlobBerMedDisc!AO23</f>
        <v/>
      </c>
      <c r="D30" s="607">
        <v>22</v>
      </c>
      <c r="E30" s="826" t="str">
        <f>GlobBerMedDisc!AP23</f>
        <v/>
      </c>
      <c r="F30" s="826"/>
      <c r="G30" s="826"/>
      <c r="H30" s="826"/>
      <c r="I30" s="760" t="str">
        <f>GlobBerMedDisc!W23</f>
        <v/>
      </c>
      <c r="J30" s="761" t="str">
        <f>IF(GlobBerMedDisc!C23&gt;1,GlobBerMedDisc!H23,"")</f>
        <v/>
      </c>
      <c r="K30" s="762" t="str">
        <f>IF(GlobBerMedDisc!C23&gt;1,GlobBerMedDisc!F23,"")</f>
        <v/>
      </c>
      <c r="L30" s="763">
        <f>GlobBerMedDisc!L23</f>
        <v>0</v>
      </c>
      <c r="M30" s="763" t="str">
        <f>GlobBerMedDisc!AM23</f>
        <v/>
      </c>
      <c r="N30" s="763" t="str">
        <f>IF(AND(GlobBerMedDisc!C23&gt;1,GlobBerMedDisc!O23&gt;1),GlobBerMedDisc!N23,"")</f>
        <v/>
      </c>
      <c r="O30" s="763" t="str">
        <f>IF(AND(GlobBerMedDisc!C23&gt;1,N30&lt;&gt;0,GlobBerMedDisc!O23&gt;1),"ml","")</f>
        <v/>
      </c>
      <c r="P30" s="763"/>
      <c r="Q30" s="763" t="str">
        <f>GlobBerMedDisc!AN23</f>
        <v/>
      </c>
      <c r="R30" s="763" t="str">
        <f>IF(AND(N30&lt;&gt;"",GlobBerMedDisc!Q23&gt;0),GlobBerMedDisc!Q23&amp;" min","")</f>
        <v/>
      </c>
      <c r="S30" s="763">
        <f>GlobBerMedDisc!AB23</f>
        <v>0</v>
      </c>
      <c r="T30" s="757"/>
      <c r="U30" s="757"/>
      <c r="V30" s="757"/>
      <c r="W30" s="757"/>
      <c r="X30" s="757"/>
      <c r="Y30" s="757"/>
    </row>
    <row r="31" spans="2:25" ht="20.100000000000001" customHeight="1" thickTop="1" thickBot="1" x14ac:dyDescent="0.25">
      <c r="B31" s="537" t="str">
        <f>GlobBerMedDisc!AL24</f>
        <v/>
      </c>
      <c r="C31" s="537" t="str">
        <f>GlobBerMedDisc!AO24</f>
        <v/>
      </c>
      <c r="D31" s="607">
        <v>23</v>
      </c>
      <c r="E31" s="826" t="str">
        <f>GlobBerMedDisc!AP24</f>
        <v/>
      </c>
      <c r="F31" s="826"/>
      <c r="G31" s="826"/>
      <c r="H31" s="826"/>
      <c r="I31" s="760" t="str">
        <f>GlobBerMedDisc!W24</f>
        <v/>
      </c>
      <c r="J31" s="761" t="str">
        <f>IF(GlobBerMedDisc!C24&gt;1,GlobBerMedDisc!H24,"")</f>
        <v/>
      </c>
      <c r="K31" s="762" t="str">
        <f>IF(GlobBerMedDisc!C24&gt;1,GlobBerMedDisc!F24,"")</f>
        <v/>
      </c>
      <c r="L31" s="763">
        <f>GlobBerMedDisc!L24</f>
        <v>0</v>
      </c>
      <c r="M31" s="763" t="str">
        <f>GlobBerMedDisc!AM24</f>
        <v/>
      </c>
      <c r="N31" s="763" t="str">
        <f>IF(AND(GlobBerMedDisc!C24&gt;1,GlobBerMedDisc!O24&gt;1),GlobBerMedDisc!N24,"")</f>
        <v/>
      </c>
      <c r="O31" s="763" t="str">
        <f>IF(AND(GlobBerMedDisc!C24&gt;1,N31&lt;&gt;0,GlobBerMedDisc!O24&gt;1),"ml","")</f>
        <v/>
      </c>
      <c r="P31" s="763"/>
      <c r="Q31" s="763" t="str">
        <f>GlobBerMedDisc!AN24</f>
        <v/>
      </c>
      <c r="R31" s="763" t="str">
        <f>IF(AND(N31&lt;&gt;"",GlobBerMedDisc!Q24&gt;0),GlobBerMedDisc!Q24&amp;" min","")</f>
        <v/>
      </c>
      <c r="S31" s="763">
        <f>GlobBerMedDisc!AB24</f>
        <v>0</v>
      </c>
      <c r="T31" s="757"/>
      <c r="U31" s="757"/>
      <c r="V31" s="757"/>
      <c r="W31" s="757"/>
      <c r="X31" s="757"/>
      <c r="Y31" s="757"/>
    </row>
    <row r="32" spans="2:25" ht="20.100000000000001" customHeight="1" thickTop="1" thickBot="1" x14ac:dyDescent="0.25">
      <c r="B32" s="537" t="str">
        <f>GlobBerMedDisc!AL25</f>
        <v/>
      </c>
      <c r="C32" s="537" t="str">
        <f>GlobBerMedDisc!AO25</f>
        <v/>
      </c>
      <c r="D32" s="607">
        <v>24</v>
      </c>
      <c r="E32" s="826" t="str">
        <f>GlobBerMedDisc!AP25</f>
        <v/>
      </c>
      <c r="F32" s="826"/>
      <c r="G32" s="826"/>
      <c r="H32" s="826"/>
      <c r="I32" s="760" t="str">
        <f>GlobBerMedDisc!W25</f>
        <v/>
      </c>
      <c r="J32" s="761" t="str">
        <f>IF(GlobBerMedDisc!C25&gt;1,GlobBerMedDisc!H25,"")</f>
        <v/>
      </c>
      <c r="K32" s="762" t="str">
        <f>IF(GlobBerMedDisc!C25&gt;1,GlobBerMedDisc!F25,"")</f>
        <v/>
      </c>
      <c r="L32" s="763">
        <f>GlobBerMedDisc!L25</f>
        <v>0</v>
      </c>
      <c r="M32" s="763" t="str">
        <f>GlobBerMedDisc!AM25</f>
        <v/>
      </c>
      <c r="N32" s="763" t="str">
        <f>IF(AND(GlobBerMedDisc!C25&gt;1,GlobBerMedDisc!O25&gt;1),GlobBerMedDisc!N25,"")</f>
        <v/>
      </c>
      <c r="O32" s="763" t="str">
        <f>IF(AND(GlobBerMedDisc!C25&gt;1,N32&lt;&gt;0,GlobBerMedDisc!O25&gt;1),"ml","")</f>
        <v/>
      </c>
      <c r="P32" s="763"/>
      <c r="Q32" s="763" t="str">
        <f>GlobBerMedDisc!AN25</f>
        <v/>
      </c>
      <c r="R32" s="763" t="str">
        <f>IF(AND(N32&lt;&gt;"",GlobBerMedDisc!Q25&gt;0),GlobBerMedDisc!Q25&amp;" min","")</f>
        <v/>
      </c>
      <c r="S32" s="763">
        <f>GlobBerMedDisc!AB25</f>
        <v>0</v>
      </c>
      <c r="T32" s="757"/>
      <c r="U32" s="757"/>
      <c r="V32" s="757"/>
      <c r="W32" s="757"/>
      <c r="X32" s="757"/>
      <c r="Y32" s="757"/>
    </row>
    <row r="33" spans="2:25" ht="20.100000000000001" customHeight="1" thickTop="1" thickBot="1" x14ac:dyDescent="0.25">
      <c r="B33" s="537" t="str">
        <f>GlobBerMedDisc!AL26</f>
        <v/>
      </c>
      <c r="C33" s="537" t="str">
        <f>GlobBerMedDisc!AO26</f>
        <v/>
      </c>
      <c r="D33" s="607">
        <v>25</v>
      </c>
      <c r="E33" s="826" t="str">
        <f>GlobBerMedDisc!AP26</f>
        <v/>
      </c>
      <c r="F33" s="826"/>
      <c r="G33" s="826"/>
      <c r="H33" s="826"/>
      <c r="I33" s="760" t="str">
        <f>GlobBerMedDisc!W26</f>
        <v/>
      </c>
      <c r="J33" s="761" t="str">
        <f>IF(GlobBerMedDisc!C26&gt;1,GlobBerMedDisc!H26,"")</f>
        <v/>
      </c>
      <c r="K33" s="762" t="str">
        <f>IF(GlobBerMedDisc!C26&gt;1,GlobBerMedDisc!F26,"")</f>
        <v/>
      </c>
      <c r="L33" s="763">
        <f>GlobBerMedDisc!L26</f>
        <v>0</v>
      </c>
      <c r="M33" s="763" t="str">
        <f>GlobBerMedDisc!AM26</f>
        <v/>
      </c>
      <c r="N33" s="763" t="str">
        <f>IF(AND(GlobBerMedDisc!C26&gt;1,GlobBerMedDisc!O26&gt;1),GlobBerMedDisc!N26,"")</f>
        <v/>
      </c>
      <c r="O33" s="763" t="str">
        <f>IF(AND(GlobBerMedDisc!C26&gt;1,N33&lt;&gt;0,GlobBerMedDisc!O26&gt;1),"ml","")</f>
        <v/>
      </c>
      <c r="P33" s="763"/>
      <c r="Q33" s="763" t="str">
        <f>GlobBerMedDisc!AN26</f>
        <v/>
      </c>
      <c r="R33" s="763" t="str">
        <f>IF(AND(N33&lt;&gt;"",GlobBerMedDisc!Q26&gt;0),GlobBerMedDisc!Q26&amp;" min","")</f>
        <v/>
      </c>
      <c r="S33" s="763">
        <f>GlobBerMedDisc!AB26</f>
        <v>0</v>
      </c>
      <c r="T33" s="757"/>
      <c r="U33" s="757"/>
      <c r="V33" s="757"/>
      <c r="W33" s="757"/>
      <c r="X33" s="757"/>
      <c r="Y33" s="757"/>
    </row>
    <row r="34" spans="2:25" ht="20.100000000000001" customHeight="1" thickTop="1" thickBot="1" x14ac:dyDescent="0.25">
      <c r="B34" s="537" t="str">
        <f>GlobBerMedDisc!AL27</f>
        <v/>
      </c>
      <c r="C34" s="537" t="str">
        <f>GlobBerMedDisc!AO27</f>
        <v/>
      </c>
      <c r="D34" s="607">
        <v>26</v>
      </c>
      <c r="E34" s="826" t="str">
        <f>GlobBerMedDisc!AP27</f>
        <v/>
      </c>
      <c r="F34" s="826"/>
      <c r="G34" s="826"/>
      <c r="H34" s="826"/>
      <c r="I34" s="760" t="str">
        <f>GlobBerMedDisc!W27</f>
        <v/>
      </c>
      <c r="J34" s="761" t="str">
        <f>IF(GlobBerMedDisc!C27&gt;1,GlobBerMedDisc!H27,"")</f>
        <v/>
      </c>
      <c r="K34" s="762" t="str">
        <f>IF(GlobBerMedDisc!C27&gt;1,GlobBerMedDisc!F27,"")</f>
        <v/>
      </c>
      <c r="L34" s="763">
        <f>GlobBerMedDisc!L27</f>
        <v>0</v>
      </c>
      <c r="M34" s="763" t="str">
        <f>GlobBerMedDisc!AM27</f>
        <v/>
      </c>
      <c r="N34" s="763" t="str">
        <f>IF(AND(GlobBerMedDisc!C27&gt;1,GlobBerMedDisc!O27&gt;1),GlobBerMedDisc!N27,"")</f>
        <v/>
      </c>
      <c r="O34" s="763" t="str">
        <f>IF(AND(GlobBerMedDisc!C27&gt;1,N34&lt;&gt;0,GlobBerMedDisc!O27&gt;1),"ml","")</f>
        <v/>
      </c>
      <c r="P34" s="763"/>
      <c r="Q34" s="763" t="str">
        <f>GlobBerMedDisc!AN27</f>
        <v/>
      </c>
      <c r="R34" s="763" t="str">
        <f>IF(AND(N34&lt;&gt;"",GlobBerMedDisc!Q27&gt;0),GlobBerMedDisc!Q27&amp;" min","")</f>
        <v/>
      </c>
      <c r="S34" s="763">
        <f>GlobBerMedDisc!AB27</f>
        <v>0</v>
      </c>
      <c r="T34" s="757"/>
      <c r="U34" s="757"/>
      <c r="V34" s="757"/>
      <c r="W34" s="757"/>
      <c r="X34" s="757"/>
      <c r="Y34" s="757"/>
    </row>
    <row r="35" spans="2:25" ht="20.100000000000001" customHeight="1" thickTop="1" thickBot="1" x14ac:dyDescent="0.25">
      <c r="B35" s="537" t="str">
        <f>GlobBerMedDisc!AL28</f>
        <v/>
      </c>
      <c r="C35" s="537" t="str">
        <f>GlobBerMedDisc!AO28</f>
        <v/>
      </c>
      <c r="D35" s="607">
        <v>27</v>
      </c>
      <c r="E35" s="826" t="str">
        <f>GlobBerMedDisc!AP28</f>
        <v/>
      </c>
      <c r="F35" s="826"/>
      <c r="G35" s="826"/>
      <c r="H35" s="826"/>
      <c r="I35" s="760" t="str">
        <f>GlobBerMedDisc!W28</f>
        <v/>
      </c>
      <c r="J35" s="761" t="str">
        <f>IF(GlobBerMedDisc!C28&gt;1,GlobBerMedDisc!H28,"")</f>
        <v/>
      </c>
      <c r="K35" s="762" t="str">
        <f>IF(GlobBerMedDisc!C28&gt;1,GlobBerMedDisc!F28,"")</f>
        <v/>
      </c>
      <c r="L35" s="763">
        <f>GlobBerMedDisc!L28</f>
        <v>0</v>
      </c>
      <c r="M35" s="763" t="str">
        <f>GlobBerMedDisc!AM28</f>
        <v/>
      </c>
      <c r="N35" s="763" t="str">
        <f>IF(AND(GlobBerMedDisc!C28&gt;1,GlobBerMedDisc!O28&gt;1),GlobBerMedDisc!N28,"")</f>
        <v/>
      </c>
      <c r="O35" s="763" t="str">
        <f>IF(AND(GlobBerMedDisc!C28&gt;1,N35&lt;&gt;0,GlobBerMedDisc!O28&gt;1),"ml","")</f>
        <v/>
      </c>
      <c r="P35" s="763"/>
      <c r="Q35" s="763" t="str">
        <f>GlobBerMedDisc!AN28</f>
        <v/>
      </c>
      <c r="R35" s="763" t="str">
        <f>IF(AND(N35&lt;&gt;"",GlobBerMedDisc!Q28&gt;0),GlobBerMedDisc!Q28&amp;" min","")</f>
        <v/>
      </c>
      <c r="S35" s="763">
        <f>GlobBerMedDisc!AB28</f>
        <v>0</v>
      </c>
      <c r="T35" s="757"/>
      <c r="U35" s="757"/>
      <c r="V35" s="757"/>
      <c r="W35" s="757"/>
      <c r="X35" s="757"/>
      <c r="Y35" s="757"/>
    </row>
    <row r="36" spans="2:25" ht="20.100000000000001" customHeight="1" thickTop="1" thickBot="1" x14ac:dyDescent="0.25">
      <c r="B36" s="537" t="str">
        <f>GlobBerMedDisc!AL29</f>
        <v/>
      </c>
      <c r="C36" s="537" t="str">
        <f>GlobBerMedDisc!AO29</f>
        <v/>
      </c>
      <c r="D36" s="607">
        <v>28</v>
      </c>
      <c r="E36" s="826" t="str">
        <f>GlobBerMedDisc!AP29</f>
        <v/>
      </c>
      <c r="F36" s="826"/>
      <c r="G36" s="826"/>
      <c r="H36" s="826"/>
      <c r="I36" s="760" t="str">
        <f>GlobBerMedDisc!W29</f>
        <v/>
      </c>
      <c r="J36" s="761" t="str">
        <f>IF(GlobBerMedDisc!C29&gt;1,GlobBerMedDisc!H29,"")</f>
        <v/>
      </c>
      <c r="K36" s="762" t="str">
        <f>IF(GlobBerMedDisc!C29&gt;1,GlobBerMedDisc!F29,"")</f>
        <v/>
      </c>
      <c r="L36" s="763">
        <f>GlobBerMedDisc!L29</f>
        <v>0</v>
      </c>
      <c r="M36" s="763" t="str">
        <f>GlobBerMedDisc!AM29</f>
        <v/>
      </c>
      <c r="N36" s="763" t="str">
        <f>IF(AND(GlobBerMedDisc!C29&gt;1,GlobBerMedDisc!O29&gt;1),GlobBerMedDisc!N29,"")</f>
        <v/>
      </c>
      <c r="O36" s="763" t="str">
        <f>IF(AND(GlobBerMedDisc!C29&gt;1,N36&lt;&gt;0,GlobBerMedDisc!O29&gt;1),"ml","")</f>
        <v/>
      </c>
      <c r="P36" s="763"/>
      <c r="Q36" s="763" t="str">
        <f>GlobBerMedDisc!AN29</f>
        <v/>
      </c>
      <c r="R36" s="763" t="str">
        <f>IF(AND(N36&lt;&gt;"",GlobBerMedDisc!Q29&gt;0),GlobBerMedDisc!Q29&amp;" min","")</f>
        <v/>
      </c>
      <c r="S36" s="763">
        <f>GlobBerMedDisc!AB29</f>
        <v>0</v>
      </c>
      <c r="T36" s="757"/>
      <c r="U36" s="757"/>
      <c r="V36" s="757"/>
      <c r="W36" s="757"/>
      <c r="X36" s="757"/>
      <c r="Y36" s="757"/>
    </row>
    <row r="37" spans="2:25" ht="20.100000000000001" customHeight="1" thickTop="1" thickBot="1" x14ac:dyDescent="0.25">
      <c r="B37" s="537" t="str">
        <f>GlobBerMedDisc!AL30</f>
        <v/>
      </c>
      <c r="C37" s="537" t="str">
        <f>GlobBerMedDisc!AO30</f>
        <v/>
      </c>
      <c r="D37" s="607">
        <v>29</v>
      </c>
      <c r="E37" s="826" t="str">
        <f>GlobBerMedDisc!AP30</f>
        <v/>
      </c>
      <c r="F37" s="826"/>
      <c r="G37" s="826"/>
      <c r="H37" s="826"/>
      <c r="I37" s="760" t="str">
        <f>GlobBerMedDisc!W30</f>
        <v/>
      </c>
      <c r="J37" s="761" t="str">
        <f>IF(GlobBerMedDisc!C30&gt;1,GlobBerMedDisc!H30,"")</f>
        <v/>
      </c>
      <c r="K37" s="762" t="str">
        <f>IF(GlobBerMedDisc!C30&gt;1,GlobBerMedDisc!F30,"")</f>
        <v/>
      </c>
      <c r="L37" s="763">
        <f>GlobBerMedDisc!L30</f>
        <v>0</v>
      </c>
      <c r="M37" s="763" t="str">
        <f>GlobBerMedDisc!AM30</f>
        <v/>
      </c>
      <c r="N37" s="763" t="str">
        <f>IF(AND(GlobBerMedDisc!C30&gt;1,GlobBerMedDisc!O30&gt;1),GlobBerMedDisc!N30,"")</f>
        <v/>
      </c>
      <c r="O37" s="763" t="str">
        <f>IF(AND(GlobBerMedDisc!C30&gt;1,N37&lt;&gt;0,GlobBerMedDisc!O30&gt;1),"ml","")</f>
        <v/>
      </c>
      <c r="P37" s="763"/>
      <c r="Q37" s="763" t="str">
        <f>GlobBerMedDisc!AN30</f>
        <v/>
      </c>
      <c r="R37" s="763" t="str">
        <f>IF(AND(N37&lt;&gt;"",GlobBerMedDisc!Q30&gt;0),GlobBerMedDisc!Q30&amp;" min","")</f>
        <v/>
      </c>
      <c r="S37" s="763">
        <f>GlobBerMedDisc!AB30</f>
        <v>0</v>
      </c>
      <c r="T37" s="757"/>
      <c r="U37" s="757"/>
      <c r="V37" s="757"/>
      <c r="W37" s="757"/>
      <c r="X37" s="757"/>
      <c r="Y37" s="757"/>
    </row>
    <row r="38" spans="2:25" ht="20.100000000000001" customHeight="1" thickTop="1" thickBot="1" x14ac:dyDescent="0.25">
      <c r="B38" s="537" t="str">
        <f>GlobBerMedDisc!AL31</f>
        <v/>
      </c>
      <c r="C38" s="537" t="str">
        <f>GlobBerMedDisc!AO31</f>
        <v/>
      </c>
      <c r="D38" s="607">
        <v>30</v>
      </c>
      <c r="E38" s="827" t="str">
        <f>GlobBerMedDisc!AP31</f>
        <v/>
      </c>
      <c r="F38" s="827"/>
      <c r="G38" s="827"/>
      <c r="H38" s="827"/>
      <c r="I38" s="754" t="str">
        <f>GlobBerMedDisc!W31</f>
        <v/>
      </c>
      <c r="J38" s="759" t="str">
        <f>IF(GlobBerMedDisc!C31&gt;1,GlobBerMedDisc!H31,"")</f>
        <v/>
      </c>
      <c r="K38" s="750" t="str">
        <f>IF(GlobBerMedDisc!C31&gt;1,GlobBerMedDisc!F31,"")</f>
        <v/>
      </c>
      <c r="L38" s="752">
        <f>GlobBerMedDisc!L31</f>
        <v>0</v>
      </c>
      <c r="M38" s="752" t="str">
        <f>GlobBerMedDisc!AM31</f>
        <v/>
      </c>
      <c r="N38" s="752" t="str">
        <f>IF(AND(GlobBerMedDisc!C31&gt;1,GlobBerMedDisc!O31&gt;1),GlobBerMedDisc!N31,"")</f>
        <v/>
      </c>
      <c r="O38" s="752" t="str">
        <f>IF(AND(GlobBerMedDisc!C31&gt;1,N38&lt;&gt;0,GlobBerMedDisc!O31&gt;1),"ml","")</f>
        <v/>
      </c>
      <c r="P38" s="752"/>
      <c r="Q38" s="752" t="str">
        <f>GlobBerMedDisc!AN31</f>
        <v/>
      </c>
      <c r="R38" s="752" t="str">
        <f>IF(AND(N38&lt;&gt;"",GlobBerMedDisc!Q31&gt;0),GlobBerMedDisc!Q31&amp;" min","")</f>
        <v/>
      </c>
      <c r="S38" s="752">
        <f>GlobBerMedDisc!AB31</f>
        <v>0</v>
      </c>
      <c r="T38" s="757"/>
      <c r="U38" s="757"/>
      <c r="V38" s="757"/>
      <c r="W38" s="757"/>
      <c r="X38" s="757"/>
      <c r="Y38" s="757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6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10"/>
    <col min="33" max="33" width="10.28515625" style="310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51"/>
      <c r="B1" s="311" t="s">
        <v>1003</v>
      </c>
      <c r="C1" s="311" t="s">
        <v>3950</v>
      </c>
      <c r="D1" s="135" t="s">
        <v>454</v>
      </c>
      <c r="E1" t="s">
        <v>157</v>
      </c>
      <c r="F1" t="s">
        <v>158</v>
      </c>
      <c r="G1" t="s">
        <v>142</v>
      </c>
      <c r="H1" t="s">
        <v>325</v>
      </c>
      <c r="I1" t="s">
        <v>368</v>
      </c>
      <c r="J1" t="s">
        <v>203</v>
      </c>
      <c r="K1" t="s">
        <v>143</v>
      </c>
      <c r="L1" t="s">
        <v>144</v>
      </c>
      <c r="M1" t="s">
        <v>96</v>
      </c>
      <c r="N1" t="s">
        <v>361</v>
      </c>
      <c r="O1" t="s">
        <v>362</v>
      </c>
      <c r="P1" t="s">
        <v>363</v>
      </c>
      <c r="Q1" t="s">
        <v>369</v>
      </c>
      <c r="R1" t="s">
        <v>222</v>
      </c>
      <c r="S1" t="s">
        <v>365</v>
      </c>
      <c r="T1" t="s">
        <v>366</v>
      </c>
      <c r="U1" s="311" t="s">
        <v>1002</v>
      </c>
      <c r="V1" t="s">
        <v>350</v>
      </c>
      <c r="W1" t="s">
        <v>438</v>
      </c>
      <c r="X1" t="s">
        <v>325</v>
      </c>
      <c r="Y1" t="s">
        <v>439</v>
      </c>
      <c r="Z1" t="s">
        <v>150</v>
      </c>
      <c r="AA1" t="s">
        <v>369</v>
      </c>
      <c r="AB1" t="s">
        <v>440</v>
      </c>
      <c r="AC1" t="s">
        <v>422</v>
      </c>
      <c r="AE1" s="311" t="s">
        <v>267</v>
      </c>
      <c r="AF1" s="311" t="s">
        <v>3782</v>
      </c>
      <c r="AG1" s="311" t="s">
        <v>3783</v>
      </c>
      <c r="AH1" s="311" t="s">
        <v>1004</v>
      </c>
      <c r="AI1" s="311" t="s">
        <v>199</v>
      </c>
      <c r="AJ1" s="311" t="s">
        <v>1005</v>
      </c>
      <c r="AK1" s="311" t="s">
        <v>1006</v>
      </c>
      <c r="AL1" s="311" t="s">
        <v>3778</v>
      </c>
      <c r="AM1" s="311" t="s">
        <v>3784</v>
      </c>
      <c r="AN1" s="311" t="s">
        <v>150</v>
      </c>
      <c r="AO1" s="311" t="s">
        <v>3787</v>
      </c>
      <c r="AP1" s="311" t="s">
        <v>3981</v>
      </c>
    </row>
    <row r="2" spans="1:42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31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10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310">
        <f t="shared" si="1"/>
        <v>0</v>
      </c>
      <c r="K3">
        <f t="shared" si="2"/>
        <v>0</v>
      </c>
      <c r="M3" s="310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1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1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1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10">
        <f t="shared" si="9"/>
        <v>0</v>
      </c>
      <c r="AF3" s="310" t="b">
        <v>0</v>
      </c>
      <c r="AI3">
        <v>0</v>
      </c>
      <c r="AL3" s="310" t="str">
        <f t="shared" ref="AL3:AL31" si="16">IF(OR(U3=0,U3=""),"","verw")</f>
        <v/>
      </c>
      <c r="AM3" s="310" t="str">
        <f t="shared" ref="AM3:AM31" si="17">IF(C3&gt;1,M3&amp;" "&amp;F3&amp;"/kg/dag","")</f>
        <v/>
      </c>
      <c r="AN3" s="310" t="str">
        <f t="shared" ref="AN3:AN31" si="18">IF(AND(C3&gt;1,O3&gt;1,N3&gt;0),ROUND(H3/N3,2)&amp;" "&amp;F3&amp;"/ml","")</f>
        <v/>
      </c>
      <c r="AO3" s="310" t="str">
        <f t="shared" ref="AO3:AO31" si="19">IF(AF3,"PRN","")</f>
        <v/>
      </c>
      <c r="AP3" s="310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310">
        <f t="shared" si="1"/>
        <v>0</v>
      </c>
      <c r="K4">
        <f t="shared" si="2"/>
        <v>0</v>
      </c>
      <c r="M4" s="310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10" t="str">
        <f t="shared" si="7"/>
        <v/>
      </c>
      <c r="X4" t="str">
        <f t="shared" si="8"/>
        <v/>
      </c>
      <c r="Y4" t="str">
        <f t="shared" si="12"/>
        <v/>
      </c>
      <c r="Z4" s="31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10" t="str">
        <f t="shared" si="14"/>
        <v/>
      </c>
      <c r="AD4">
        <f t="shared" si="15"/>
        <v>2</v>
      </c>
      <c r="AE4" s="310">
        <f t="shared" si="9"/>
        <v>0</v>
      </c>
      <c r="AF4" s="310" t="b">
        <v>0</v>
      </c>
      <c r="AI4">
        <v>0</v>
      </c>
      <c r="AL4" s="310" t="str">
        <f t="shared" si="16"/>
        <v/>
      </c>
      <c r="AM4" s="310" t="str">
        <f t="shared" si="17"/>
        <v/>
      </c>
      <c r="AN4" s="310" t="str">
        <f t="shared" si="18"/>
        <v/>
      </c>
      <c r="AO4" s="310" t="str">
        <f t="shared" si="19"/>
        <v/>
      </c>
      <c r="AP4" s="310" t="str">
        <f t="shared" si="20"/>
        <v/>
      </c>
    </row>
    <row r="5" spans="1:42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310">
        <f t="shared" si="1"/>
        <v>0</v>
      </c>
      <c r="K5">
        <f t="shared" si="2"/>
        <v>0</v>
      </c>
      <c r="M5" s="310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10" t="str">
        <f t="shared" si="7"/>
        <v/>
      </c>
      <c r="X5" t="str">
        <f t="shared" si="8"/>
        <v/>
      </c>
      <c r="Y5" t="str">
        <f t="shared" si="12"/>
        <v/>
      </c>
      <c r="Z5" s="31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10" t="str">
        <f t="shared" si="14"/>
        <v/>
      </c>
      <c r="AD5">
        <f t="shared" si="15"/>
        <v>2</v>
      </c>
      <c r="AE5" s="310">
        <f t="shared" si="9"/>
        <v>0</v>
      </c>
      <c r="AF5" s="310" t="b">
        <v>0</v>
      </c>
      <c r="AI5">
        <v>0</v>
      </c>
      <c r="AL5" s="310" t="str">
        <f t="shared" si="16"/>
        <v/>
      </c>
      <c r="AM5" s="310" t="str">
        <f t="shared" si="17"/>
        <v/>
      </c>
      <c r="AN5" s="310" t="str">
        <f t="shared" si="18"/>
        <v/>
      </c>
      <c r="AO5" s="310" t="str">
        <f t="shared" si="19"/>
        <v/>
      </c>
      <c r="AP5" s="310" t="str">
        <f t="shared" si="20"/>
        <v/>
      </c>
    </row>
    <row r="6" spans="1:42" x14ac:dyDescent="0.2">
      <c r="A6" s="351">
        <v>5</v>
      </c>
      <c r="E6" s="15">
        <v>0</v>
      </c>
      <c r="G6">
        <v>0</v>
      </c>
      <c r="H6">
        <f t="shared" si="0"/>
        <v>0</v>
      </c>
      <c r="I6">
        <v>1</v>
      </c>
      <c r="J6" s="310">
        <f t="shared" si="1"/>
        <v>0</v>
      </c>
      <c r="K6">
        <f t="shared" si="2"/>
        <v>0</v>
      </c>
      <c r="M6" s="310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10" t="str">
        <f t="shared" si="7"/>
        <v/>
      </c>
      <c r="X6" t="str">
        <f t="shared" si="8"/>
        <v/>
      </c>
      <c r="Y6" t="str">
        <f t="shared" si="12"/>
        <v/>
      </c>
      <c r="Z6" s="31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10" t="str">
        <f t="shared" si="14"/>
        <v/>
      </c>
      <c r="AD6">
        <f t="shared" si="15"/>
        <v>2</v>
      </c>
      <c r="AE6" s="310">
        <f t="shared" si="9"/>
        <v>0</v>
      </c>
      <c r="AF6" s="310" t="b">
        <v>0</v>
      </c>
      <c r="AI6">
        <v>0</v>
      </c>
      <c r="AL6" s="310" t="str">
        <f t="shared" si="16"/>
        <v/>
      </c>
      <c r="AM6" s="310" t="str">
        <f t="shared" si="17"/>
        <v/>
      </c>
      <c r="AN6" s="310" t="str">
        <f t="shared" si="18"/>
        <v/>
      </c>
      <c r="AO6" s="310" t="str">
        <f t="shared" si="19"/>
        <v/>
      </c>
      <c r="AP6" s="310" t="str">
        <f t="shared" si="20"/>
        <v/>
      </c>
    </row>
    <row r="7" spans="1:42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310">
        <f t="shared" si="1"/>
        <v>0</v>
      </c>
      <c r="K7">
        <f t="shared" si="2"/>
        <v>0</v>
      </c>
      <c r="M7" s="310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10" t="str">
        <f t="shared" si="7"/>
        <v/>
      </c>
      <c r="X7" t="str">
        <f t="shared" si="8"/>
        <v/>
      </c>
      <c r="Y7" t="str">
        <f t="shared" si="12"/>
        <v/>
      </c>
      <c r="Z7" s="31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10" t="str">
        <f t="shared" si="14"/>
        <v/>
      </c>
      <c r="AD7">
        <f t="shared" si="15"/>
        <v>2</v>
      </c>
      <c r="AE7" s="310">
        <f t="shared" si="9"/>
        <v>0</v>
      </c>
      <c r="AF7" s="310" t="b">
        <v>0</v>
      </c>
      <c r="AI7">
        <v>0</v>
      </c>
      <c r="AL7" s="310" t="str">
        <f t="shared" si="16"/>
        <v/>
      </c>
      <c r="AM7" s="310" t="str">
        <f t="shared" si="17"/>
        <v/>
      </c>
      <c r="AN7" s="310" t="str">
        <f t="shared" si="18"/>
        <v/>
      </c>
      <c r="AO7" s="310" t="str">
        <f t="shared" si="19"/>
        <v/>
      </c>
      <c r="AP7" s="310" t="str">
        <f t="shared" si="20"/>
        <v/>
      </c>
    </row>
    <row r="8" spans="1:42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310">
        <f t="shared" si="1"/>
        <v>0</v>
      </c>
      <c r="K8">
        <f t="shared" si="2"/>
        <v>0</v>
      </c>
      <c r="M8" s="310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10" t="str">
        <f t="shared" si="7"/>
        <v/>
      </c>
      <c r="X8" t="str">
        <f t="shared" si="8"/>
        <v/>
      </c>
      <c r="Y8" t="str">
        <f t="shared" si="12"/>
        <v/>
      </c>
      <c r="Z8" s="31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10" t="str">
        <f t="shared" si="14"/>
        <v/>
      </c>
      <c r="AD8">
        <f t="shared" si="15"/>
        <v>2</v>
      </c>
      <c r="AE8" s="310">
        <f t="shared" si="9"/>
        <v>0</v>
      </c>
      <c r="AF8" s="310" t="b">
        <v>0</v>
      </c>
      <c r="AI8">
        <v>0</v>
      </c>
      <c r="AL8" s="310" t="str">
        <f t="shared" si="16"/>
        <v/>
      </c>
      <c r="AM8" s="310" t="str">
        <f t="shared" si="17"/>
        <v/>
      </c>
      <c r="AN8" s="310" t="str">
        <f t="shared" si="18"/>
        <v/>
      </c>
      <c r="AO8" s="310" t="str">
        <f t="shared" si="19"/>
        <v/>
      </c>
      <c r="AP8" s="310" t="str">
        <f t="shared" si="20"/>
        <v/>
      </c>
    </row>
    <row r="9" spans="1:42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310">
        <f t="shared" si="1"/>
        <v>0</v>
      </c>
      <c r="K9">
        <f t="shared" si="2"/>
        <v>0</v>
      </c>
      <c r="M9" s="310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10" t="str">
        <f t="shared" si="7"/>
        <v/>
      </c>
      <c r="X9" t="str">
        <f t="shared" si="8"/>
        <v/>
      </c>
      <c r="Y9" t="str">
        <f t="shared" si="12"/>
        <v/>
      </c>
      <c r="Z9" s="31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10" t="str">
        <f t="shared" si="14"/>
        <v/>
      </c>
      <c r="AD9">
        <f t="shared" si="15"/>
        <v>2</v>
      </c>
      <c r="AE9" s="310">
        <f t="shared" si="9"/>
        <v>0</v>
      </c>
      <c r="AF9" s="310" t="b">
        <v>0</v>
      </c>
      <c r="AI9">
        <v>0</v>
      </c>
      <c r="AL9" s="310" t="str">
        <f t="shared" si="16"/>
        <v/>
      </c>
      <c r="AM9" s="310" t="str">
        <f t="shared" si="17"/>
        <v/>
      </c>
      <c r="AN9" s="310" t="str">
        <f t="shared" si="18"/>
        <v/>
      </c>
      <c r="AO9" s="310" t="str">
        <f t="shared" si="19"/>
        <v/>
      </c>
      <c r="AP9" s="310" t="str">
        <f t="shared" si="20"/>
        <v/>
      </c>
    </row>
    <row r="10" spans="1:42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310">
        <f t="shared" si="1"/>
        <v>0</v>
      </c>
      <c r="K10">
        <f t="shared" si="2"/>
        <v>0</v>
      </c>
      <c r="M10" s="310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10" t="str">
        <f t="shared" si="7"/>
        <v/>
      </c>
      <c r="X10" t="str">
        <f t="shared" si="8"/>
        <v/>
      </c>
      <c r="Y10" t="str">
        <f t="shared" si="12"/>
        <v/>
      </c>
      <c r="Z10" s="31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10" t="str">
        <f t="shared" si="14"/>
        <v/>
      </c>
      <c r="AD10">
        <f t="shared" si="15"/>
        <v>2</v>
      </c>
      <c r="AE10" s="310">
        <f t="shared" si="9"/>
        <v>0</v>
      </c>
      <c r="AF10" s="310" t="b">
        <v>0</v>
      </c>
      <c r="AI10">
        <v>0</v>
      </c>
      <c r="AL10" s="310" t="str">
        <f t="shared" si="16"/>
        <v/>
      </c>
      <c r="AM10" s="310" t="str">
        <f t="shared" si="17"/>
        <v/>
      </c>
      <c r="AN10" s="310" t="str">
        <f t="shared" si="18"/>
        <v/>
      </c>
      <c r="AO10" s="310" t="str">
        <f t="shared" si="19"/>
        <v/>
      </c>
      <c r="AP10" s="310" t="str">
        <f t="shared" si="20"/>
        <v/>
      </c>
    </row>
    <row r="11" spans="1:42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310">
        <f t="shared" si="1"/>
        <v>0</v>
      </c>
      <c r="K11">
        <f t="shared" si="2"/>
        <v>0</v>
      </c>
      <c r="M11" s="310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10" t="str">
        <f t="shared" si="7"/>
        <v/>
      </c>
      <c r="X11" t="str">
        <f t="shared" si="8"/>
        <v/>
      </c>
      <c r="Y11" t="str">
        <f t="shared" si="12"/>
        <v/>
      </c>
      <c r="Z11" s="31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10" t="str">
        <f t="shared" si="14"/>
        <v/>
      </c>
      <c r="AD11">
        <f t="shared" si="15"/>
        <v>2</v>
      </c>
      <c r="AE11" s="310">
        <f t="shared" si="9"/>
        <v>0</v>
      </c>
      <c r="AF11" s="310" t="b">
        <v>0</v>
      </c>
      <c r="AI11">
        <v>0</v>
      </c>
      <c r="AL11" s="310" t="str">
        <f t="shared" si="16"/>
        <v/>
      </c>
      <c r="AM11" s="310" t="str">
        <f t="shared" si="17"/>
        <v/>
      </c>
      <c r="AN11" s="310" t="str">
        <f t="shared" si="18"/>
        <v/>
      </c>
      <c r="AO11" s="310" t="str">
        <f t="shared" si="19"/>
        <v/>
      </c>
      <c r="AP11" s="310" t="str">
        <f t="shared" si="20"/>
        <v/>
      </c>
    </row>
    <row r="12" spans="1:42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310">
        <f t="shared" si="1"/>
        <v>0</v>
      </c>
      <c r="K12">
        <f t="shared" si="2"/>
        <v>0</v>
      </c>
      <c r="M12" s="310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10" t="str">
        <f t="shared" si="7"/>
        <v/>
      </c>
      <c r="X12" t="str">
        <f t="shared" si="8"/>
        <v/>
      </c>
      <c r="Y12" t="str">
        <f t="shared" si="12"/>
        <v/>
      </c>
      <c r="Z12" s="31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10" t="str">
        <f t="shared" si="14"/>
        <v/>
      </c>
      <c r="AD12">
        <f t="shared" si="15"/>
        <v>2</v>
      </c>
      <c r="AE12" s="310">
        <f t="shared" si="9"/>
        <v>0</v>
      </c>
      <c r="AF12" s="310" t="b">
        <v>0</v>
      </c>
      <c r="AI12">
        <v>0</v>
      </c>
      <c r="AL12" s="310" t="str">
        <f t="shared" si="16"/>
        <v/>
      </c>
      <c r="AM12" s="310" t="str">
        <f t="shared" si="17"/>
        <v/>
      </c>
      <c r="AN12" s="310" t="str">
        <f t="shared" si="18"/>
        <v/>
      </c>
      <c r="AO12" s="310" t="str">
        <f t="shared" si="19"/>
        <v/>
      </c>
      <c r="AP12" s="310" t="str">
        <f t="shared" si="20"/>
        <v/>
      </c>
    </row>
    <row r="13" spans="1:42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310">
        <f t="shared" si="1"/>
        <v>0</v>
      </c>
      <c r="K13">
        <f t="shared" si="2"/>
        <v>0</v>
      </c>
      <c r="M13" s="310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10" t="str">
        <f t="shared" si="7"/>
        <v/>
      </c>
      <c r="X13" t="str">
        <f t="shared" si="8"/>
        <v/>
      </c>
      <c r="Y13" t="str">
        <f t="shared" si="12"/>
        <v/>
      </c>
      <c r="Z13" s="31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10" t="str">
        <f t="shared" si="14"/>
        <v/>
      </c>
      <c r="AD13">
        <f t="shared" si="15"/>
        <v>2</v>
      </c>
      <c r="AE13" s="310">
        <f t="shared" si="9"/>
        <v>0</v>
      </c>
      <c r="AF13" s="310" t="b">
        <v>0</v>
      </c>
      <c r="AI13">
        <v>0</v>
      </c>
      <c r="AL13" s="310" t="str">
        <f t="shared" si="16"/>
        <v/>
      </c>
      <c r="AM13" s="310" t="str">
        <f t="shared" si="17"/>
        <v/>
      </c>
      <c r="AN13" s="310" t="str">
        <f t="shared" si="18"/>
        <v/>
      </c>
      <c r="AO13" s="310" t="str">
        <f t="shared" si="19"/>
        <v/>
      </c>
      <c r="AP13" s="310" t="str">
        <f t="shared" si="20"/>
        <v/>
      </c>
    </row>
    <row r="14" spans="1:42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310">
        <f t="shared" si="1"/>
        <v>0</v>
      </c>
      <c r="K14">
        <f t="shared" si="2"/>
        <v>0</v>
      </c>
      <c r="M14" s="310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10" t="str">
        <f t="shared" si="7"/>
        <v/>
      </c>
      <c r="X14" t="str">
        <f t="shared" si="8"/>
        <v/>
      </c>
      <c r="Y14" t="str">
        <f t="shared" si="12"/>
        <v/>
      </c>
      <c r="Z14" s="31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10" t="str">
        <f t="shared" si="14"/>
        <v/>
      </c>
      <c r="AD14">
        <f t="shared" si="15"/>
        <v>2</v>
      </c>
      <c r="AE14" s="310">
        <f t="shared" si="9"/>
        <v>0</v>
      </c>
      <c r="AF14" s="310" t="b">
        <v>0</v>
      </c>
      <c r="AI14">
        <v>0</v>
      </c>
      <c r="AL14" s="310" t="str">
        <f t="shared" si="16"/>
        <v/>
      </c>
      <c r="AM14" s="310" t="str">
        <f t="shared" si="17"/>
        <v/>
      </c>
      <c r="AN14" s="310" t="str">
        <f t="shared" si="18"/>
        <v/>
      </c>
      <c r="AO14" s="310" t="str">
        <f t="shared" si="19"/>
        <v/>
      </c>
      <c r="AP14" s="310" t="str">
        <f t="shared" si="20"/>
        <v/>
      </c>
    </row>
    <row r="15" spans="1:42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310">
        <f t="shared" si="1"/>
        <v>0</v>
      </c>
      <c r="K15">
        <f t="shared" si="2"/>
        <v>0</v>
      </c>
      <c r="M15" s="310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10" t="str">
        <f t="shared" si="7"/>
        <v/>
      </c>
      <c r="X15" t="str">
        <f t="shared" si="8"/>
        <v/>
      </c>
      <c r="Y15" t="str">
        <f t="shared" si="12"/>
        <v/>
      </c>
      <c r="Z15" s="31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10" t="str">
        <f t="shared" si="14"/>
        <v/>
      </c>
      <c r="AD15">
        <f t="shared" si="15"/>
        <v>2</v>
      </c>
      <c r="AE15" s="310">
        <f t="shared" si="9"/>
        <v>0</v>
      </c>
      <c r="AF15" s="310" t="b">
        <v>0</v>
      </c>
      <c r="AI15">
        <v>0</v>
      </c>
      <c r="AL15" s="310" t="str">
        <f t="shared" si="16"/>
        <v/>
      </c>
      <c r="AM15" s="310" t="str">
        <f t="shared" si="17"/>
        <v/>
      </c>
      <c r="AN15" s="310" t="str">
        <f t="shared" si="18"/>
        <v/>
      </c>
      <c r="AO15" s="310" t="str">
        <f t="shared" si="19"/>
        <v/>
      </c>
      <c r="AP15" s="310" t="str">
        <f t="shared" si="20"/>
        <v/>
      </c>
    </row>
    <row r="16" spans="1:42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310">
        <f t="shared" si="1"/>
        <v>0</v>
      </c>
      <c r="K16">
        <f t="shared" si="2"/>
        <v>0</v>
      </c>
      <c r="M16" s="310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10" t="str">
        <f t="shared" si="7"/>
        <v/>
      </c>
      <c r="X16" t="str">
        <f t="shared" si="8"/>
        <v/>
      </c>
      <c r="Y16" t="str">
        <f t="shared" si="12"/>
        <v/>
      </c>
      <c r="Z16" s="31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10" t="str">
        <f t="shared" si="14"/>
        <v/>
      </c>
      <c r="AD16">
        <f t="shared" si="15"/>
        <v>2</v>
      </c>
      <c r="AE16" s="310">
        <f t="shared" si="9"/>
        <v>0</v>
      </c>
      <c r="AF16" s="310" t="b">
        <v>0</v>
      </c>
      <c r="AI16">
        <v>0</v>
      </c>
      <c r="AL16" s="310" t="str">
        <f t="shared" si="16"/>
        <v/>
      </c>
      <c r="AM16" s="310" t="str">
        <f t="shared" si="17"/>
        <v/>
      </c>
      <c r="AN16" s="310" t="str">
        <f t="shared" si="18"/>
        <v/>
      </c>
      <c r="AO16" s="310" t="str">
        <f t="shared" si="19"/>
        <v/>
      </c>
      <c r="AP16" s="310" t="str">
        <f t="shared" si="20"/>
        <v/>
      </c>
    </row>
    <row r="17" spans="1:42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310">
        <f t="shared" si="1"/>
        <v>0</v>
      </c>
      <c r="K17">
        <f t="shared" si="2"/>
        <v>0</v>
      </c>
      <c r="M17" s="310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10" t="str">
        <f t="shared" si="7"/>
        <v/>
      </c>
      <c r="X17" t="str">
        <f t="shared" si="8"/>
        <v/>
      </c>
      <c r="Y17" t="str">
        <f t="shared" si="12"/>
        <v/>
      </c>
      <c r="Z17" s="31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10" t="str">
        <f t="shared" si="14"/>
        <v/>
      </c>
      <c r="AD17">
        <f t="shared" si="15"/>
        <v>2</v>
      </c>
      <c r="AE17" s="310">
        <f t="shared" si="9"/>
        <v>0</v>
      </c>
      <c r="AF17" s="310" t="b">
        <v>0</v>
      </c>
      <c r="AI17">
        <v>0</v>
      </c>
      <c r="AL17" s="310" t="str">
        <f t="shared" si="16"/>
        <v/>
      </c>
      <c r="AM17" s="310" t="str">
        <f t="shared" si="17"/>
        <v/>
      </c>
      <c r="AN17" s="310" t="str">
        <f t="shared" si="18"/>
        <v/>
      </c>
      <c r="AO17" s="310" t="str">
        <f t="shared" si="19"/>
        <v/>
      </c>
      <c r="AP17" s="310" t="str">
        <f t="shared" si="20"/>
        <v/>
      </c>
    </row>
    <row r="18" spans="1:42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310">
        <f t="shared" si="1"/>
        <v>0</v>
      </c>
      <c r="K18">
        <f t="shared" si="2"/>
        <v>0</v>
      </c>
      <c r="M18" s="310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10" t="str">
        <f t="shared" si="7"/>
        <v/>
      </c>
      <c r="X18" t="str">
        <f t="shared" si="8"/>
        <v/>
      </c>
      <c r="Y18" t="str">
        <f t="shared" si="12"/>
        <v/>
      </c>
      <c r="Z18" s="31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10" t="str">
        <f t="shared" si="14"/>
        <v/>
      </c>
      <c r="AD18">
        <f t="shared" si="15"/>
        <v>2</v>
      </c>
      <c r="AE18" s="310">
        <f t="shared" si="9"/>
        <v>0</v>
      </c>
      <c r="AF18" s="310" t="b">
        <v>0</v>
      </c>
      <c r="AI18">
        <v>0</v>
      </c>
      <c r="AL18" s="310" t="str">
        <f t="shared" si="16"/>
        <v/>
      </c>
      <c r="AM18" s="310" t="str">
        <f t="shared" si="17"/>
        <v/>
      </c>
      <c r="AN18" s="310" t="str">
        <f t="shared" si="18"/>
        <v/>
      </c>
      <c r="AO18" s="310" t="str">
        <f t="shared" si="19"/>
        <v/>
      </c>
      <c r="AP18" s="310" t="str">
        <f t="shared" si="20"/>
        <v/>
      </c>
    </row>
    <row r="19" spans="1:42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310">
        <f t="shared" si="1"/>
        <v>0</v>
      </c>
      <c r="K19">
        <f t="shared" si="2"/>
        <v>0</v>
      </c>
      <c r="M19" s="310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10" t="str">
        <f t="shared" si="7"/>
        <v/>
      </c>
      <c r="X19" t="str">
        <f t="shared" si="8"/>
        <v/>
      </c>
      <c r="Y19" t="str">
        <f t="shared" si="12"/>
        <v/>
      </c>
      <c r="Z19" s="31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10" t="str">
        <f t="shared" si="14"/>
        <v/>
      </c>
      <c r="AD19">
        <f t="shared" si="15"/>
        <v>2</v>
      </c>
      <c r="AE19" s="310">
        <f t="shared" si="9"/>
        <v>0</v>
      </c>
      <c r="AF19" s="310" t="b">
        <v>0</v>
      </c>
      <c r="AI19">
        <v>0</v>
      </c>
      <c r="AL19" s="310" t="str">
        <f t="shared" si="16"/>
        <v/>
      </c>
      <c r="AM19" s="310" t="str">
        <f t="shared" si="17"/>
        <v/>
      </c>
      <c r="AN19" s="310" t="str">
        <f t="shared" si="18"/>
        <v/>
      </c>
      <c r="AO19" s="310" t="str">
        <f t="shared" si="19"/>
        <v/>
      </c>
      <c r="AP19" s="310" t="str">
        <f t="shared" si="20"/>
        <v/>
      </c>
    </row>
    <row r="20" spans="1:42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310">
        <f t="shared" si="1"/>
        <v>0</v>
      </c>
      <c r="K20">
        <f t="shared" si="2"/>
        <v>0</v>
      </c>
      <c r="M20" s="310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10" t="str">
        <f t="shared" si="7"/>
        <v/>
      </c>
      <c r="X20" t="str">
        <f t="shared" si="8"/>
        <v/>
      </c>
      <c r="Y20" t="str">
        <f t="shared" si="12"/>
        <v/>
      </c>
      <c r="Z20" s="31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10" t="str">
        <f t="shared" si="14"/>
        <v/>
      </c>
      <c r="AD20">
        <f t="shared" si="15"/>
        <v>2</v>
      </c>
      <c r="AE20" s="310">
        <f t="shared" si="9"/>
        <v>0</v>
      </c>
      <c r="AF20" s="310" t="b">
        <v>0</v>
      </c>
      <c r="AI20">
        <v>0</v>
      </c>
      <c r="AL20" s="310" t="str">
        <f t="shared" si="16"/>
        <v/>
      </c>
      <c r="AM20" s="310" t="str">
        <f t="shared" si="17"/>
        <v/>
      </c>
      <c r="AN20" s="310" t="str">
        <f t="shared" si="18"/>
        <v/>
      </c>
      <c r="AO20" s="310" t="str">
        <f t="shared" si="19"/>
        <v/>
      </c>
      <c r="AP20" s="310" t="str">
        <f t="shared" si="20"/>
        <v/>
      </c>
    </row>
    <row r="21" spans="1:42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310">
        <f t="shared" si="1"/>
        <v>0</v>
      </c>
      <c r="K21">
        <f t="shared" si="2"/>
        <v>0</v>
      </c>
      <c r="M21" s="310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10" t="str">
        <f t="shared" si="7"/>
        <v/>
      </c>
      <c r="X21" t="str">
        <f t="shared" si="8"/>
        <v/>
      </c>
      <c r="Y21" t="str">
        <f t="shared" si="12"/>
        <v/>
      </c>
      <c r="Z21" s="31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10" t="str">
        <f t="shared" si="14"/>
        <v/>
      </c>
      <c r="AD21">
        <f t="shared" si="15"/>
        <v>2</v>
      </c>
      <c r="AE21" s="310">
        <f t="shared" si="9"/>
        <v>0</v>
      </c>
      <c r="AF21" s="310" t="b">
        <v>0</v>
      </c>
      <c r="AI21">
        <v>0</v>
      </c>
      <c r="AL21" s="310" t="str">
        <f t="shared" si="16"/>
        <v/>
      </c>
      <c r="AM21" s="310" t="str">
        <f t="shared" si="17"/>
        <v/>
      </c>
      <c r="AN21" s="310" t="str">
        <f t="shared" si="18"/>
        <v/>
      </c>
      <c r="AO21" s="310" t="str">
        <f t="shared" si="19"/>
        <v/>
      </c>
      <c r="AP21" s="310" t="str">
        <f t="shared" si="20"/>
        <v/>
      </c>
    </row>
    <row r="22" spans="1:42" x14ac:dyDescent="0.2">
      <c r="A22" s="310">
        <v>21</v>
      </c>
      <c r="B22" s="310"/>
      <c r="C22" s="310"/>
      <c r="D22" s="310"/>
      <c r="E22" s="312">
        <v>0</v>
      </c>
      <c r="F22" s="310"/>
      <c r="G22" s="310">
        <v>0</v>
      </c>
      <c r="H22" s="310">
        <f t="shared" ref="H22:H31" si="21">E22*G22</f>
        <v>0</v>
      </c>
      <c r="I22" s="310">
        <v>1</v>
      </c>
      <c r="J22" s="310">
        <f t="shared" si="1"/>
        <v>0</v>
      </c>
      <c r="K22" s="310">
        <f t="shared" ref="K22:K31" si="22">J22*H22</f>
        <v>0</v>
      </c>
      <c r="L22" s="310"/>
      <c r="M22" s="310">
        <f t="shared" si="3"/>
        <v>0</v>
      </c>
      <c r="N22" s="310">
        <v>0</v>
      </c>
      <c r="O22" s="310">
        <v>1</v>
      </c>
      <c r="P22" s="310">
        <f t="shared" ref="P22:P31" si="23">IF(O22&gt;1,N22*J22,0)</f>
        <v>0</v>
      </c>
      <c r="Q22" s="310">
        <v>0</v>
      </c>
      <c r="R22" s="310">
        <f t="shared" ref="R22:R31" si="24">IF(O22=2,P22*0.155,0)</f>
        <v>0</v>
      </c>
      <c r="S22" s="310">
        <f t="shared" ref="S22:S31" si="25">IF(O22=3,P22*0.05,0)</f>
        <v>0</v>
      </c>
      <c r="T22" s="310">
        <f t="shared" ref="T22:T31" si="26">IF(O22=4,P22*0.1,0)</f>
        <v>0</v>
      </c>
      <c r="U22" s="310"/>
      <c r="V22" s="310" t="str">
        <f t="shared" ref="V22:V31" si="27">IF(U22=0,"",IF(U22=-1,C22,D22))</f>
        <v/>
      </c>
      <c r="W22" s="310" t="str">
        <f t="shared" ref="W22:W31" si="28">IF(IF(U22=0,"",INDEX(tblMedDiscTijden,I22,2))=0,"",IF(U22=0,"",INDEX(tblMedDiscTijden,I22,2)))</f>
        <v/>
      </c>
      <c r="X22" s="310" t="str">
        <f t="shared" si="8"/>
        <v/>
      </c>
      <c r="Y22" s="310" t="str">
        <f t="shared" ref="Y22:Y31" si="29">IF(U22=0,"",TRIM(L22))</f>
        <v/>
      </c>
      <c r="Z22" s="310" t="str">
        <f>IF(P22=0,"","opl: "&amp;N22&amp;" mL "&amp;INDEX(tblMedDiscOplVl,O22,1)&amp;" "&amp;IF(Q22=0,"","("&amp;ROUND(GlobBerMedDisc!H22/GlobBerMedDisc!N22,2)&amp;" "&amp;GlobBerMedDisc!F22&amp;"/ml)"))</f>
        <v/>
      </c>
      <c r="AA22" s="310" t="str">
        <f t="shared" ref="AA22:AA31" si="30">IF(OR(Q22=0,Z22=""),"","in "&amp;Q22&amp;" min")</f>
        <v/>
      </c>
      <c r="AB22" s="310"/>
      <c r="AC22" s="310" t="str">
        <f t="shared" si="14"/>
        <v/>
      </c>
      <c r="AD22" s="310">
        <f t="shared" ref="AD22:AD31" si="31">IF(AE22&gt;=10,0,IF(AE22&gt;=1,1,IF(AE22&gt;=0,2,IF(AE22&gt;=0.1,3,IF(AE22&gt;=0.01,4,5)))))</f>
        <v>2</v>
      </c>
      <c r="AE22" s="310">
        <f t="shared" si="9"/>
        <v>0</v>
      </c>
      <c r="AF22" s="310" t="b">
        <v>0</v>
      </c>
      <c r="AI22">
        <v>0</v>
      </c>
      <c r="AL22" s="310" t="str">
        <f t="shared" si="16"/>
        <v/>
      </c>
      <c r="AM22" s="310" t="str">
        <f t="shared" si="17"/>
        <v/>
      </c>
      <c r="AN22" s="310" t="str">
        <f t="shared" si="18"/>
        <v/>
      </c>
      <c r="AO22" s="310" t="str">
        <f t="shared" si="19"/>
        <v/>
      </c>
      <c r="AP22" s="310" t="str">
        <f t="shared" si="20"/>
        <v/>
      </c>
    </row>
    <row r="23" spans="1:42" x14ac:dyDescent="0.2">
      <c r="A23" s="310">
        <v>22</v>
      </c>
      <c r="B23" s="310"/>
      <c r="C23" s="310"/>
      <c r="D23" s="310"/>
      <c r="E23" s="312">
        <v>0</v>
      </c>
      <c r="F23" s="310"/>
      <c r="G23" s="310">
        <v>0</v>
      </c>
      <c r="H23" s="310">
        <f t="shared" si="21"/>
        <v>0</v>
      </c>
      <c r="I23" s="310">
        <v>1</v>
      </c>
      <c r="J23" s="310">
        <f t="shared" si="1"/>
        <v>0</v>
      </c>
      <c r="K23" s="310">
        <f t="shared" si="22"/>
        <v>0</v>
      </c>
      <c r="L23" s="310"/>
      <c r="M23" s="310">
        <f t="shared" si="3"/>
        <v>0</v>
      </c>
      <c r="N23" s="310">
        <v>0</v>
      </c>
      <c r="O23" s="310">
        <v>1</v>
      </c>
      <c r="P23" s="310">
        <f t="shared" si="23"/>
        <v>0</v>
      </c>
      <c r="Q23" s="310">
        <v>0</v>
      </c>
      <c r="R23" s="310">
        <f t="shared" si="24"/>
        <v>0</v>
      </c>
      <c r="S23" s="310">
        <f t="shared" si="25"/>
        <v>0</v>
      </c>
      <c r="T23" s="310">
        <f t="shared" si="26"/>
        <v>0</v>
      </c>
      <c r="U23" s="310"/>
      <c r="V23" s="310" t="str">
        <f t="shared" si="27"/>
        <v/>
      </c>
      <c r="W23" s="310" t="str">
        <f t="shared" si="28"/>
        <v/>
      </c>
      <c r="X23" s="310" t="str">
        <f t="shared" si="8"/>
        <v/>
      </c>
      <c r="Y23" s="310" t="str">
        <f t="shared" si="29"/>
        <v/>
      </c>
      <c r="Z23" s="310" t="str">
        <f>IF(P23=0,"","opl: "&amp;N23&amp;" mL "&amp;INDEX(tblMedDiscOplVl,O23,1)&amp;" "&amp;IF(Q23=0,"","("&amp;ROUND(GlobBerMedDisc!H23/GlobBerMedDisc!N23,2)&amp;" "&amp;GlobBerMedDisc!F23&amp;"/ml)"))</f>
        <v/>
      </c>
      <c r="AA23" s="310" t="str">
        <f t="shared" si="30"/>
        <v/>
      </c>
      <c r="AB23" s="310"/>
      <c r="AC23" s="310" t="str">
        <f t="shared" si="14"/>
        <v/>
      </c>
      <c r="AD23" s="310">
        <f t="shared" si="31"/>
        <v>2</v>
      </c>
      <c r="AE23" s="310">
        <f t="shared" si="9"/>
        <v>0</v>
      </c>
      <c r="AF23" s="310" t="b">
        <v>0</v>
      </c>
      <c r="AI23">
        <v>0</v>
      </c>
      <c r="AL23" s="310" t="str">
        <f t="shared" si="16"/>
        <v/>
      </c>
      <c r="AM23" s="310" t="str">
        <f t="shared" si="17"/>
        <v/>
      </c>
      <c r="AN23" s="310" t="str">
        <f t="shared" si="18"/>
        <v/>
      </c>
      <c r="AO23" s="310" t="str">
        <f t="shared" si="19"/>
        <v/>
      </c>
      <c r="AP23" s="310" t="str">
        <f t="shared" si="20"/>
        <v/>
      </c>
    </row>
    <row r="24" spans="1:42" x14ac:dyDescent="0.2">
      <c r="A24" s="310">
        <v>23</v>
      </c>
      <c r="B24" s="310"/>
      <c r="C24" s="310"/>
      <c r="D24" s="310"/>
      <c r="E24" s="312">
        <v>0</v>
      </c>
      <c r="F24" s="310"/>
      <c r="G24" s="310">
        <v>0</v>
      </c>
      <c r="H24" s="310">
        <f t="shared" si="21"/>
        <v>0</v>
      </c>
      <c r="I24" s="310">
        <v>1</v>
      </c>
      <c r="J24" s="310">
        <f t="shared" si="1"/>
        <v>0</v>
      </c>
      <c r="K24" s="310">
        <f t="shared" si="22"/>
        <v>0</v>
      </c>
      <c r="L24" s="310"/>
      <c r="M24" s="310">
        <f t="shared" si="3"/>
        <v>0</v>
      </c>
      <c r="N24" s="310">
        <v>0</v>
      </c>
      <c r="O24" s="310">
        <v>1</v>
      </c>
      <c r="P24" s="310">
        <f t="shared" si="23"/>
        <v>0</v>
      </c>
      <c r="Q24" s="310">
        <v>0</v>
      </c>
      <c r="R24" s="310">
        <f t="shared" si="24"/>
        <v>0</v>
      </c>
      <c r="S24" s="310">
        <f t="shared" si="25"/>
        <v>0</v>
      </c>
      <c r="T24" s="310">
        <f t="shared" si="26"/>
        <v>0</v>
      </c>
      <c r="U24" s="310"/>
      <c r="V24" s="310" t="str">
        <f t="shared" si="27"/>
        <v/>
      </c>
      <c r="W24" s="310" t="str">
        <f t="shared" si="28"/>
        <v/>
      </c>
      <c r="X24" s="310" t="str">
        <f t="shared" si="8"/>
        <v/>
      </c>
      <c r="Y24" s="310" t="str">
        <f t="shared" si="29"/>
        <v/>
      </c>
      <c r="Z24" s="310" t="str">
        <f>IF(P24=0,"","opl: "&amp;N24&amp;" mL "&amp;INDEX(tblMedDiscOplVl,O24,1)&amp;" "&amp;IF(Q24=0,"","("&amp;ROUND(GlobBerMedDisc!H24/GlobBerMedDisc!N24,2)&amp;" "&amp;GlobBerMedDisc!F24&amp;"/ml)"))</f>
        <v/>
      </c>
      <c r="AA24" s="310" t="str">
        <f t="shared" si="30"/>
        <v/>
      </c>
      <c r="AB24" s="310"/>
      <c r="AC24" s="310" t="str">
        <f t="shared" si="14"/>
        <v/>
      </c>
      <c r="AD24" s="310">
        <f t="shared" si="31"/>
        <v>2</v>
      </c>
      <c r="AE24" s="310">
        <f t="shared" si="9"/>
        <v>0</v>
      </c>
      <c r="AF24" s="310" t="b">
        <v>0</v>
      </c>
      <c r="AI24">
        <v>0</v>
      </c>
      <c r="AL24" s="310" t="str">
        <f t="shared" si="16"/>
        <v/>
      </c>
      <c r="AM24" s="310" t="str">
        <f t="shared" si="17"/>
        <v/>
      </c>
      <c r="AN24" s="310" t="str">
        <f t="shared" si="18"/>
        <v/>
      </c>
      <c r="AO24" s="310" t="str">
        <f t="shared" si="19"/>
        <v/>
      </c>
      <c r="AP24" s="310" t="str">
        <f t="shared" si="20"/>
        <v/>
      </c>
    </row>
    <row r="25" spans="1:42" x14ac:dyDescent="0.2">
      <c r="A25" s="310">
        <v>24</v>
      </c>
      <c r="B25" s="310"/>
      <c r="C25" s="310"/>
      <c r="D25" s="310"/>
      <c r="E25" s="312">
        <v>0</v>
      </c>
      <c r="F25" s="310"/>
      <c r="G25" s="310">
        <v>0</v>
      </c>
      <c r="H25" s="310">
        <f t="shared" si="21"/>
        <v>0</v>
      </c>
      <c r="I25" s="310">
        <v>1</v>
      </c>
      <c r="J25" s="310">
        <f t="shared" si="1"/>
        <v>0</v>
      </c>
      <c r="K25" s="310">
        <f t="shared" si="22"/>
        <v>0</v>
      </c>
      <c r="L25" s="310"/>
      <c r="M25" s="310">
        <f t="shared" si="3"/>
        <v>0</v>
      </c>
      <c r="N25" s="310">
        <v>0</v>
      </c>
      <c r="O25" s="310">
        <v>1</v>
      </c>
      <c r="P25" s="310">
        <f t="shared" si="23"/>
        <v>0</v>
      </c>
      <c r="Q25" s="310">
        <v>0</v>
      </c>
      <c r="R25" s="310">
        <f t="shared" si="24"/>
        <v>0</v>
      </c>
      <c r="S25" s="310">
        <f t="shared" si="25"/>
        <v>0</v>
      </c>
      <c r="T25" s="310">
        <f t="shared" si="26"/>
        <v>0</v>
      </c>
      <c r="U25" s="310"/>
      <c r="V25" s="310" t="str">
        <f t="shared" si="27"/>
        <v/>
      </c>
      <c r="W25" s="310" t="str">
        <f t="shared" si="28"/>
        <v/>
      </c>
      <c r="X25" s="310" t="str">
        <f t="shared" si="8"/>
        <v/>
      </c>
      <c r="Y25" s="310" t="str">
        <f t="shared" si="29"/>
        <v/>
      </c>
      <c r="Z25" s="310" t="str">
        <f>IF(P25=0,"","opl: "&amp;N25&amp;" mL "&amp;INDEX(tblMedDiscOplVl,O25,1)&amp;" "&amp;IF(Q25=0,"","("&amp;ROUND(GlobBerMedDisc!H25/GlobBerMedDisc!N25,2)&amp;" "&amp;GlobBerMedDisc!F25&amp;"/ml)"))</f>
        <v/>
      </c>
      <c r="AA25" s="310" t="str">
        <f t="shared" si="30"/>
        <v/>
      </c>
      <c r="AB25" s="310"/>
      <c r="AC25" s="310" t="str">
        <f t="shared" si="14"/>
        <v/>
      </c>
      <c r="AD25" s="310">
        <f t="shared" si="31"/>
        <v>2</v>
      </c>
      <c r="AE25" s="310">
        <f t="shared" si="9"/>
        <v>0</v>
      </c>
      <c r="AF25" s="310" t="b">
        <v>0</v>
      </c>
      <c r="AI25">
        <v>0</v>
      </c>
      <c r="AL25" s="310" t="str">
        <f t="shared" si="16"/>
        <v/>
      </c>
      <c r="AM25" s="310" t="str">
        <f t="shared" si="17"/>
        <v/>
      </c>
      <c r="AN25" s="310" t="str">
        <f t="shared" si="18"/>
        <v/>
      </c>
      <c r="AO25" s="310" t="str">
        <f t="shared" si="19"/>
        <v/>
      </c>
      <c r="AP25" s="310" t="str">
        <f t="shared" si="20"/>
        <v/>
      </c>
    </row>
    <row r="26" spans="1:42" x14ac:dyDescent="0.2">
      <c r="A26" s="310">
        <v>25</v>
      </c>
      <c r="B26" s="310"/>
      <c r="C26" s="310"/>
      <c r="D26" s="310"/>
      <c r="E26" s="312">
        <v>0</v>
      </c>
      <c r="F26" s="310"/>
      <c r="G26" s="310">
        <v>0</v>
      </c>
      <c r="H26" s="310">
        <f t="shared" si="21"/>
        <v>0</v>
      </c>
      <c r="I26" s="310">
        <v>1</v>
      </c>
      <c r="J26" s="310">
        <f t="shared" si="1"/>
        <v>0</v>
      </c>
      <c r="K26" s="310">
        <f t="shared" si="22"/>
        <v>0</v>
      </c>
      <c r="L26" s="310"/>
      <c r="M26" s="310">
        <f t="shared" si="3"/>
        <v>0</v>
      </c>
      <c r="N26" s="310">
        <v>0</v>
      </c>
      <c r="O26" s="310">
        <v>1</v>
      </c>
      <c r="P26" s="310">
        <f t="shared" si="23"/>
        <v>0</v>
      </c>
      <c r="Q26" s="310">
        <v>0</v>
      </c>
      <c r="R26" s="310">
        <f t="shared" si="24"/>
        <v>0</v>
      </c>
      <c r="S26" s="310">
        <f t="shared" si="25"/>
        <v>0</v>
      </c>
      <c r="T26" s="310">
        <f t="shared" si="26"/>
        <v>0</v>
      </c>
      <c r="U26" s="310"/>
      <c r="V26" s="310" t="str">
        <f t="shared" si="27"/>
        <v/>
      </c>
      <c r="W26" s="310" t="str">
        <f t="shared" si="28"/>
        <v/>
      </c>
      <c r="X26" s="310" t="str">
        <f t="shared" si="8"/>
        <v/>
      </c>
      <c r="Y26" s="310" t="str">
        <f t="shared" si="29"/>
        <v/>
      </c>
      <c r="Z26" s="310" t="str">
        <f>IF(P26=0,"","opl: "&amp;N26&amp;" mL "&amp;INDEX(tblMedDiscOplVl,O26,1)&amp;" "&amp;IF(Q26=0,"","("&amp;ROUND(GlobBerMedDisc!H26/GlobBerMedDisc!N26,2)&amp;" "&amp;GlobBerMedDisc!F26&amp;"/ml)"))</f>
        <v/>
      </c>
      <c r="AA26" s="310" t="str">
        <f t="shared" si="30"/>
        <v/>
      </c>
      <c r="AB26" s="310"/>
      <c r="AC26" s="310" t="str">
        <f t="shared" si="14"/>
        <v/>
      </c>
      <c r="AD26" s="310">
        <f t="shared" si="31"/>
        <v>2</v>
      </c>
      <c r="AE26" s="310">
        <f t="shared" si="9"/>
        <v>0</v>
      </c>
      <c r="AF26" s="310" t="b">
        <v>0</v>
      </c>
      <c r="AI26">
        <v>0</v>
      </c>
      <c r="AL26" s="310" t="str">
        <f t="shared" si="16"/>
        <v/>
      </c>
      <c r="AM26" s="310" t="str">
        <f t="shared" si="17"/>
        <v/>
      </c>
      <c r="AN26" s="310" t="str">
        <f t="shared" si="18"/>
        <v/>
      </c>
      <c r="AO26" s="310" t="str">
        <f t="shared" si="19"/>
        <v/>
      </c>
      <c r="AP26" s="310" t="str">
        <f t="shared" si="20"/>
        <v/>
      </c>
    </row>
    <row r="27" spans="1:42" x14ac:dyDescent="0.2">
      <c r="A27" s="310">
        <v>26</v>
      </c>
      <c r="B27" s="310"/>
      <c r="C27" s="310"/>
      <c r="D27" s="310"/>
      <c r="E27" s="312">
        <v>0</v>
      </c>
      <c r="F27" s="310"/>
      <c r="G27" s="310">
        <v>0</v>
      </c>
      <c r="H27" s="310">
        <f t="shared" si="21"/>
        <v>0</v>
      </c>
      <c r="I27" s="310">
        <v>1</v>
      </c>
      <c r="J27" s="310">
        <f t="shared" si="1"/>
        <v>0</v>
      </c>
      <c r="K27" s="310">
        <f t="shared" si="22"/>
        <v>0</v>
      </c>
      <c r="L27" s="310"/>
      <c r="M27" s="310">
        <f t="shared" si="3"/>
        <v>0</v>
      </c>
      <c r="N27" s="310">
        <v>0</v>
      </c>
      <c r="O27" s="310">
        <v>1</v>
      </c>
      <c r="P27" s="310">
        <f t="shared" si="23"/>
        <v>0</v>
      </c>
      <c r="Q27" s="310">
        <v>0</v>
      </c>
      <c r="R27" s="310">
        <f t="shared" si="24"/>
        <v>0</v>
      </c>
      <c r="S27" s="310">
        <f t="shared" si="25"/>
        <v>0</v>
      </c>
      <c r="T27" s="310">
        <f t="shared" si="26"/>
        <v>0</v>
      </c>
      <c r="U27" s="310"/>
      <c r="V27" s="310" t="str">
        <f t="shared" si="27"/>
        <v/>
      </c>
      <c r="W27" s="310" t="str">
        <f t="shared" si="28"/>
        <v/>
      </c>
      <c r="X27" s="310" t="str">
        <f t="shared" si="8"/>
        <v/>
      </c>
      <c r="Y27" s="310" t="str">
        <f t="shared" si="29"/>
        <v/>
      </c>
      <c r="Z27" s="310" t="str">
        <f>IF(P27=0,"","opl: "&amp;N27&amp;" mL "&amp;INDEX(tblMedDiscOplVl,O27,1)&amp;" "&amp;IF(Q27=0,"","("&amp;ROUND(GlobBerMedDisc!H27/GlobBerMedDisc!N27,2)&amp;" "&amp;GlobBerMedDisc!F27&amp;"/ml)"))</f>
        <v/>
      </c>
      <c r="AA27" s="310" t="str">
        <f t="shared" si="30"/>
        <v/>
      </c>
      <c r="AB27" s="310"/>
      <c r="AC27" s="310" t="str">
        <f t="shared" si="14"/>
        <v/>
      </c>
      <c r="AD27" s="310">
        <f t="shared" si="31"/>
        <v>2</v>
      </c>
      <c r="AE27" s="310">
        <f t="shared" si="9"/>
        <v>0</v>
      </c>
      <c r="AF27" s="310" t="b">
        <v>0</v>
      </c>
      <c r="AI27">
        <v>0</v>
      </c>
      <c r="AL27" s="310" t="str">
        <f t="shared" si="16"/>
        <v/>
      </c>
      <c r="AM27" s="310" t="str">
        <f t="shared" si="17"/>
        <v/>
      </c>
      <c r="AN27" s="310" t="str">
        <f t="shared" si="18"/>
        <v/>
      </c>
      <c r="AO27" s="310" t="str">
        <f t="shared" si="19"/>
        <v/>
      </c>
      <c r="AP27" s="310" t="str">
        <f t="shared" si="20"/>
        <v/>
      </c>
    </row>
    <row r="28" spans="1:42" x14ac:dyDescent="0.2">
      <c r="A28" s="310">
        <v>27</v>
      </c>
      <c r="B28" s="310"/>
      <c r="C28" s="310"/>
      <c r="D28" s="310"/>
      <c r="E28" s="312">
        <v>0</v>
      </c>
      <c r="F28" s="310"/>
      <c r="G28" s="310">
        <v>0</v>
      </c>
      <c r="H28" s="310">
        <f t="shared" si="21"/>
        <v>0</v>
      </c>
      <c r="I28" s="310">
        <v>1</v>
      </c>
      <c r="J28" s="310">
        <f t="shared" si="1"/>
        <v>0</v>
      </c>
      <c r="K28" s="310">
        <f t="shared" si="22"/>
        <v>0</v>
      </c>
      <c r="L28" s="310"/>
      <c r="M28" s="310">
        <f t="shared" si="3"/>
        <v>0</v>
      </c>
      <c r="N28" s="310">
        <v>0</v>
      </c>
      <c r="O28" s="310">
        <v>1</v>
      </c>
      <c r="P28" s="310">
        <f t="shared" si="23"/>
        <v>0</v>
      </c>
      <c r="Q28" s="310">
        <v>0</v>
      </c>
      <c r="R28" s="310">
        <f t="shared" si="24"/>
        <v>0</v>
      </c>
      <c r="S28" s="310">
        <f t="shared" si="25"/>
        <v>0</v>
      </c>
      <c r="T28" s="310">
        <f t="shared" si="26"/>
        <v>0</v>
      </c>
      <c r="U28" s="310"/>
      <c r="V28" s="310" t="str">
        <f t="shared" si="27"/>
        <v/>
      </c>
      <c r="W28" s="310" t="str">
        <f t="shared" si="28"/>
        <v/>
      </c>
      <c r="X28" s="310" t="str">
        <f t="shared" si="8"/>
        <v/>
      </c>
      <c r="Y28" s="310" t="str">
        <f t="shared" si="29"/>
        <v/>
      </c>
      <c r="Z28" s="310" t="str">
        <f>IF(P28=0,"","opl: "&amp;N28&amp;" mL "&amp;INDEX(tblMedDiscOplVl,O28,1)&amp;" "&amp;IF(Q28=0,"","("&amp;ROUND(GlobBerMedDisc!H28/GlobBerMedDisc!N28,2)&amp;" "&amp;GlobBerMedDisc!F28&amp;"/ml)"))</f>
        <v/>
      </c>
      <c r="AA28" s="310" t="str">
        <f t="shared" si="30"/>
        <v/>
      </c>
      <c r="AB28" s="310"/>
      <c r="AC28" s="310" t="str">
        <f t="shared" si="14"/>
        <v/>
      </c>
      <c r="AD28" s="310">
        <f t="shared" si="31"/>
        <v>2</v>
      </c>
      <c r="AE28" s="310">
        <f t="shared" si="9"/>
        <v>0</v>
      </c>
      <c r="AF28" s="310" t="b">
        <v>0</v>
      </c>
      <c r="AI28">
        <v>0</v>
      </c>
      <c r="AL28" s="310" t="str">
        <f t="shared" si="16"/>
        <v/>
      </c>
      <c r="AM28" s="310" t="str">
        <f t="shared" si="17"/>
        <v/>
      </c>
      <c r="AN28" s="310" t="str">
        <f t="shared" si="18"/>
        <v/>
      </c>
      <c r="AO28" s="310" t="str">
        <f t="shared" si="19"/>
        <v/>
      </c>
      <c r="AP28" s="310" t="str">
        <f t="shared" si="20"/>
        <v/>
      </c>
    </row>
    <row r="29" spans="1:42" x14ac:dyDescent="0.2">
      <c r="A29" s="310">
        <v>28</v>
      </c>
      <c r="B29" s="310"/>
      <c r="C29" s="310"/>
      <c r="D29" s="310"/>
      <c r="E29" s="312">
        <v>0</v>
      </c>
      <c r="F29" s="310"/>
      <c r="G29" s="310">
        <v>0</v>
      </c>
      <c r="H29" s="310">
        <f t="shared" si="21"/>
        <v>0</v>
      </c>
      <c r="I29" s="310">
        <v>1</v>
      </c>
      <c r="J29" s="310">
        <f t="shared" si="1"/>
        <v>0</v>
      </c>
      <c r="K29" s="310">
        <f t="shared" si="22"/>
        <v>0</v>
      </c>
      <c r="L29" s="310"/>
      <c r="M29" s="310">
        <f t="shared" si="3"/>
        <v>0</v>
      </c>
      <c r="N29" s="310">
        <v>0</v>
      </c>
      <c r="O29" s="310">
        <v>1</v>
      </c>
      <c r="P29" s="310">
        <f t="shared" si="23"/>
        <v>0</v>
      </c>
      <c r="Q29" s="310">
        <v>0</v>
      </c>
      <c r="R29" s="310">
        <f t="shared" si="24"/>
        <v>0</v>
      </c>
      <c r="S29" s="310">
        <f t="shared" si="25"/>
        <v>0</v>
      </c>
      <c r="T29" s="310">
        <f t="shared" si="26"/>
        <v>0</v>
      </c>
      <c r="U29" s="310"/>
      <c r="V29" s="310" t="str">
        <f t="shared" si="27"/>
        <v/>
      </c>
      <c r="W29" s="310" t="str">
        <f t="shared" si="28"/>
        <v/>
      </c>
      <c r="X29" s="310" t="str">
        <f t="shared" si="8"/>
        <v/>
      </c>
      <c r="Y29" s="310" t="str">
        <f t="shared" si="29"/>
        <v/>
      </c>
      <c r="Z29" s="310" t="str">
        <f>IF(P29=0,"","opl: "&amp;N29&amp;" mL "&amp;INDEX(tblMedDiscOplVl,O29,1)&amp;" "&amp;IF(Q29=0,"","("&amp;ROUND(GlobBerMedDisc!H29/GlobBerMedDisc!N29,2)&amp;" "&amp;GlobBerMedDisc!F29&amp;"/ml)"))</f>
        <v/>
      </c>
      <c r="AA29" s="310" t="str">
        <f t="shared" si="30"/>
        <v/>
      </c>
      <c r="AB29" s="310"/>
      <c r="AC29" s="310" t="str">
        <f t="shared" si="14"/>
        <v/>
      </c>
      <c r="AD29" s="310">
        <f t="shared" si="31"/>
        <v>2</v>
      </c>
      <c r="AE29" s="310">
        <f t="shared" si="9"/>
        <v>0</v>
      </c>
      <c r="AF29" s="310" t="b">
        <v>0</v>
      </c>
      <c r="AI29">
        <v>0</v>
      </c>
      <c r="AL29" s="310" t="str">
        <f t="shared" si="16"/>
        <v/>
      </c>
      <c r="AM29" s="310" t="str">
        <f t="shared" si="17"/>
        <v/>
      </c>
      <c r="AN29" s="310" t="str">
        <f t="shared" si="18"/>
        <v/>
      </c>
      <c r="AO29" s="310" t="str">
        <f t="shared" si="19"/>
        <v/>
      </c>
      <c r="AP29" s="310" t="str">
        <f t="shared" si="20"/>
        <v/>
      </c>
    </row>
    <row r="30" spans="1:42" x14ac:dyDescent="0.2">
      <c r="A30" s="310">
        <v>29</v>
      </c>
      <c r="B30" s="310"/>
      <c r="C30" s="310"/>
      <c r="D30" s="310"/>
      <c r="E30" s="312">
        <v>0</v>
      </c>
      <c r="F30" s="310"/>
      <c r="G30" s="310">
        <v>0</v>
      </c>
      <c r="H30" s="310">
        <f t="shared" si="21"/>
        <v>0</v>
      </c>
      <c r="I30" s="310">
        <v>1</v>
      </c>
      <c r="J30" s="310">
        <f t="shared" si="1"/>
        <v>0</v>
      </c>
      <c r="K30" s="310">
        <f t="shared" si="22"/>
        <v>0</v>
      </c>
      <c r="L30" s="310"/>
      <c r="M30" s="310">
        <f t="shared" si="3"/>
        <v>0</v>
      </c>
      <c r="N30" s="310">
        <v>0</v>
      </c>
      <c r="O30" s="310">
        <v>1</v>
      </c>
      <c r="P30" s="310">
        <f t="shared" si="23"/>
        <v>0</v>
      </c>
      <c r="Q30" s="310">
        <v>0</v>
      </c>
      <c r="R30" s="310">
        <f t="shared" si="24"/>
        <v>0</v>
      </c>
      <c r="S30" s="310">
        <f t="shared" si="25"/>
        <v>0</v>
      </c>
      <c r="T30" s="310">
        <f t="shared" si="26"/>
        <v>0</v>
      </c>
      <c r="U30" s="310"/>
      <c r="V30" s="310" t="str">
        <f t="shared" si="27"/>
        <v/>
      </c>
      <c r="W30" s="310" t="str">
        <f t="shared" si="28"/>
        <v/>
      </c>
      <c r="X30" s="310" t="str">
        <f t="shared" si="8"/>
        <v/>
      </c>
      <c r="Y30" s="310" t="str">
        <f t="shared" si="29"/>
        <v/>
      </c>
      <c r="Z30" s="310" t="str">
        <f>IF(P30=0,"","opl: "&amp;N30&amp;" mL "&amp;INDEX(tblMedDiscOplVl,O30,1)&amp;" "&amp;IF(Q30=0,"","("&amp;ROUND(GlobBerMedDisc!H30/GlobBerMedDisc!N30,2)&amp;" "&amp;GlobBerMedDisc!F30&amp;"/ml)"))</f>
        <v/>
      </c>
      <c r="AA30" s="310" t="str">
        <f t="shared" si="30"/>
        <v/>
      </c>
      <c r="AB30" s="310"/>
      <c r="AC30" s="310" t="str">
        <f t="shared" si="14"/>
        <v/>
      </c>
      <c r="AD30" s="310">
        <f t="shared" si="31"/>
        <v>2</v>
      </c>
      <c r="AE30" s="310">
        <f t="shared" si="9"/>
        <v>0</v>
      </c>
      <c r="AF30" s="310" t="b">
        <v>0</v>
      </c>
      <c r="AI30">
        <v>0</v>
      </c>
      <c r="AL30" s="310" t="str">
        <f t="shared" si="16"/>
        <v/>
      </c>
      <c r="AM30" s="310" t="str">
        <f t="shared" si="17"/>
        <v/>
      </c>
      <c r="AN30" s="310" t="str">
        <f t="shared" si="18"/>
        <v/>
      </c>
      <c r="AO30" s="310" t="str">
        <f t="shared" si="19"/>
        <v/>
      </c>
      <c r="AP30" s="310" t="str">
        <f t="shared" si="20"/>
        <v/>
      </c>
    </row>
    <row r="31" spans="1:42" x14ac:dyDescent="0.2">
      <c r="A31" s="310">
        <v>30</v>
      </c>
      <c r="B31" s="310"/>
      <c r="C31" s="310"/>
      <c r="D31" s="310"/>
      <c r="E31" s="312">
        <v>0</v>
      </c>
      <c r="F31" s="310"/>
      <c r="G31" s="310">
        <v>0</v>
      </c>
      <c r="H31" s="310">
        <f t="shared" si="21"/>
        <v>0</v>
      </c>
      <c r="I31" s="310">
        <v>1</v>
      </c>
      <c r="J31" s="310">
        <f t="shared" si="1"/>
        <v>0</v>
      </c>
      <c r="K31" s="310">
        <f t="shared" si="22"/>
        <v>0</v>
      </c>
      <c r="L31" s="310"/>
      <c r="M31" s="310">
        <f t="shared" si="3"/>
        <v>0</v>
      </c>
      <c r="N31" s="310">
        <v>0</v>
      </c>
      <c r="O31" s="310">
        <v>1</v>
      </c>
      <c r="P31" s="310">
        <f t="shared" si="23"/>
        <v>0</v>
      </c>
      <c r="Q31" s="310">
        <v>0</v>
      </c>
      <c r="R31" s="310">
        <f t="shared" si="24"/>
        <v>0</v>
      </c>
      <c r="S31" s="310">
        <f t="shared" si="25"/>
        <v>0</v>
      </c>
      <c r="T31" s="310">
        <f t="shared" si="26"/>
        <v>0</v>
      </c>
      <c r="U31" s="310"/>
      <c r="V31" s="310" t="str">
        <f t="shared" si="27"/>
        <v/>
      </c>
      <c r="W31" s="310" t="str">
        <f t="shared" si="28"/>
        <v/>
      </c>
      <c r="X31" s="310" t="str">
        <f t="shared" si="8"/>
        <v/>
      </c>
      <c r="Y31" s="310" t="str">
        <f t="shared" si="29"/>
        <v/>
      </c>
      <c r="Z31" s="310" t="str">
        <f>IF(P31=0,"","opl: "&amp;N31&amp;" mL "&amp;INDEX(tblMedDiscOplVl,O31,1)&amp;" "&amp;IF(Q31=0,"","("&amp;ROUND(GlobBerMedDisc!H31/GlobBerMedDisc!N31,2)&amp;" "&amp;GlobBerMedDisc!F31&amp;"/ml)"))</f>
        <v/>
      </c>
      <c r="AA31" s="310" t="str">
        <f t="shared" si="30"/>
        <v/>
      </c>
      <c r="AB31" s="310"/>
      <c r="AC31" s="310" t="str">
        <f t="shared" si="14"/>
        <v/>
      </c>
      <c r="AD31" s="310">
        <f t="shared" si="31"/>
        <v>2</v>
      </c>
      <c r="AE31" s="310">
        <f t="shared" si="9"/>
        <v>0</v>
      </c>
      <c r="AF31" s="310" t="b">
        <v>0</v>
      </c>
      <c r="AI31">
        <v>0</v>
      </c>
      <c r="AL31" s="310" t="str">
        <f t="shared" si="16"/>
        <v/>
      </c>
      <c r="AM31" s="310" t="str">
        <f t="shared" si="17"/>
        <v/>
      </c>
      <c r="AN31" s="310" t="str">
        <f t="shared" si="18"/>
        <v/>
      </c>
      <c r="AO31" s="310" t="str">
        <f t="shared" si="19"/>
        <v/>
      </c>
      <c r="AP31" s="310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11" t="s">
        <v>215</v>
      </c>
    </row>
    <row r="40" spans="2:19" x14ac:dyDescent="0.2">
      <c r="D40" s="311"/>
    </row>
    <row r="41" spans="2:19" x14ac:dyDescent="0.2">
      <c r="D41" s="31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73"/>
  <sheetViews>
    <sheetView zoomScaleNormal="100" workbookViewId="0">
      <selection activeCell="H10" sqref="H1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310" customFormat="1" x14ac:dyDescent="0.2">
      <c r="A1" s="311" t="s">
        <v>1020</v>
      </c>
      <c r="B1" s="311" t="s">
        <v>1021</v>
      </c>
      <c r="D1" s="311" t="s">
        <v>3054</v>
      </c>
      <c r="E1" s="311" t="s">
        <v>1011</v>
      </c>
      <c r="G1" s="315"/>
      <c r="H1" s="311" t="s">
        <v>3054</v>
      </c>
      <c r="I1" s="311" t="s">
        <v>1011</v>
      </c>
      <c r="K1" s="311" t="s">
        <v>4021</v>
      </c>
      <c r="L1" s="311" t="s">
        <v>4022</v>
      </c>
      <c r="M1" s="311" t="s">
        <v>155</v>
      </c>
      <c r="P1" s="315" t="s">
        <v>4023</v>
      </c>
    </row>
    <row r="2" spans="1:18" ht="13.5" thickBot="1" x14ac:dyDescent="0.25">
      <c r="A2" s="311" t="s">
        <v>1007</v>
      </c>
      <c r="B2" t="b">
        <v>1</v>
      </c>
      <c r="D2" s="310" t="s">
        <v>3055</v>
      </c>
      <c r="E2" s="311" t="s">
        <v>3073</v>
      </c>
      <c r="G2" s="311" t="s">
        <v>4018</v>
      </c>
      <c r="H2" s="485" t="s">
        <v>4011</v>
      </c>
      <c r="I2" s="485" t="s">
        <v>4011</v>
      </c>
      <c r="K2" s="311" t="s">
        <v>4024</v>
      </c>
      <c r="L2" s="311"/>
      <c r="M2" s="311"/>
      <c r="N2" s="310"/>
      <c r="O2" s="310"/>
      <c r="P2" s="148"/>
      <c r="Q2" s="148"/>
      <c r="R2" s="148"/>
    </row>
    <row r="3" spans="1:18" ht="14.25" thickTop="1" thickBot="1" x14ac:dyDescent="0.25">
      <c r="A3" s="311" t="s">
        <v>1008</v>
      </c>
      <c r="B3" t="b">
        <v>0</v>
      </c>
      <c r="D3" s="310" t="s">
        <v>3056</v>
      </c>
      <c r="E3" s="311" t="s">
        <v>3074</v>
      </c>
      <c r="G3" s="311" t="s">
        <v>4015</v>
      </c>
      <c r="H3" s="529" t="s">
        <v>4015</v>
      </c>
      <c r="I3" s="529" t="s">
        <v>4015</v>
      </c>
      <c r="K3" s="311" t="s">
        <v>4024</v>
      </c>
      <c r="L3" s="311" t="s">
        <v>4015</v>
      </c>
      <c r="M3" s="310" t="e">
        <f>P3:R3</f>
        <v>#VALUE!</v>
      </c>
      <c r="N3" s="310"/>
      <c r="O3" s="310"/>
      <c r="P3" s="606" t="s">
        <v>4023</v>
      </c>
      <c r="Q3" s="606" t="s">
        <v>4015</v>
      </c>
      <c r="R3" s="605"/>
    </row>
    <row r="4" spans="1:18" ht="13.5" thickTop="1" x14ac:dyDescent="0.2">
      <c r="A4" s="311" t="s">
        <v>1009</v>
      </c>
      <c r="B4" s="311" t="s">
        <v>1011</v>
      </c>
      <c r="C4" s="310"/>
      <c r="D4" s="310" t="s">
        <v>3057</v>
      </c>
      <c r="E4" s="311" t="s">
        <v>3075</v>
      </c>
      <c r="G4" s="311" t="s">
        <v>4014</v>
      </c>
      <c r="H4" s="486" t="s">
        <v>4014</v>
      </c>
      <c r="I4" s="486" t="s">
        <v>4014</v>
      </c>
      <c r="K4" s="311" t="s">
        <v>4024</v>
      </c>
      <c r="L4" s="311" t="s">
        <v>4014</v>
      </c>
      <c r="M4" s="310" t="e">
        <f t="shared" ref="M4:M9" si="0">P4:R4</f>
        <v>#VALUE!</v>
      </c>
      <c r="N4" s="310"/>
      <c r="O4" s="310"/>
      <c r="P4" s="495" t="s">
        <v>4023</v>
      </c>
      <c r="Q4" s="495" t="s">
        <v>4014</v>
      </c>
      <c r="R4" s="495"/>
    </row>
    <row r="5" spans="1:18" x14ac:dyDescent="0.2">
      <c r="A5" s="311" t="s">
        <v>1010</v>
      </c>
      <c r="B5" s="311" t="s">
        <v>1012</v>
      </c>
      <c r="C5" s="310"/>
      <c r="D5" s="310" t="s">
        <v>3058</v>
      </c>
      <c r="E5" s="311" t="s">
        <v>3076</v>
      </c>
      <c r="G5" s="311" t="s">
        <v>4012</v>
      </c>
      <c r="H5" s="487" t="s">
        <v>4012</v>
      </c>
      <c r="I5" s="487" t="s">
        <v>4012</v>
      </c>
      <c r="K5" s="311" t="s">
        <v>4024</v>
      </c>
      <c r="L5" s="311" t="s">
        <v>4012</v>
      </c>
      <c r="M5" s="310" t="e">
        <f t="shared" si="0"/>
        <v>#VALUE!</v>
      </c>
      <c r="N5" s="310"/>
      <c r="O5" s="310"/>
      <c r="P5" s="525" t="s">
        <v>4023</v>
      </c>
      <c r="Q5" s="525" t="s">
        <v>4012</v>
      </c>
      <c r="R5" s="525"/>
    </row>
    <row r="6" spans="1:18" x14ac:dyDescent="0.2">
      <c r="A6" s="311" t="s">
        <v>1013</v>
      </c>
      <c r="B6" s="311" t="s">
        <v>4023</v>
      </c>
      <c r="C6" s="310"/>
      <c r="D6" s="310" t="s">
        <v>3059</v>
      </c>
      <c r="E6" s="311" t="s">
        <v>3077</v>
      </c>
      <c r="G6" s="311" t="s">
        <v>4013</v>
      </c>
      <c r="H6" s="804" t="s">
        <v>4013</v>
      </c>
      <c r="I6" s="488" t="s">
        <v>4013</v>
      </c>
      <c r="K6" s="311" t="s">
        <v>4024</v>
      </c>
      <c r="L6" s="311" t="s">
        <v>4013</v>
      </c>
      <c r="M6" s="310" t="e">
        <f t="shared" si="0"/>
        <v>#VALUE!</v>
      </c>
      <c r="N6" s="310"/>
      <c r="O6" s="310"/>
      <c r="P6" s="805" t="s">
        <v>4023</v>
      </c>
      <c r="Q6" s="805" t="s">
        <v>4013</v>
      </c>
      <c r="R6" s="805"/>
    </row>
    <row r="7" spans="1:18" x14ac:dyDescent="0.2">
      <c r="A7" s="311" t="s">
        <v>1014</v>
      </c>
      <c r="B7" t="s">
        <v>1015</v>
      </c>
      <c r="C7" s="310"/>
      <c r="D7" s="310" t="s">
        <v>3060</v>
      </c>
      <c r="E7" s="311" t="s">
        <v>3078</v>
      </c>
      <c r="G7" s="311" t="s">
        <v>4016</v>
      </c>
      <c r="H7" s="489" t="s">
        <v>4016</v>
      </c>
      <c r="I7" s="489" t="s">
        <v>4016</v>
      </c>
      <c r="K7" s="311" t="s">
        <v>4024</v>
      </c>
      <c r="L7" s="311" t="s">
        <v>4016</v>
      </c>
      <c r="M7" s="310" t="e">
        <f t="shared" si="0"/>
        <v>#VALUE!</v>
      </c>
      <c r="N7" s="310"/>
      <c r="O7" s="310"/>
      <c r="P7" s="526" t="s">
        <v>4023</v>
      </c>
      <c r="Q7" s="526" t="s">
        <v>4016</v>
      </c>
      <c r="R7" s="526"/>
    </row>
    <row r="8" spans="1:18" x14ac:dyDescent="0.2">
      <c r="A8" s="311" t="s">
        <v>1016</v>
      </c>
      <c r="B8" s="311" t="s">
        <v>1017</v>
      </c>
      <c r="C8" s="310"/>
      <c r="D8" s="310" t="s">
        <v>3061</v>
      </c>
      <c r="E8" s="311" t="s">
        <v>3079</v>
      </c>
      <c r="G8" s="311" t="s">
        <v>4019</v>
      </c>
      <c r="H8" s="490" t="s">
        <v>115</v>
      </c>
      <c r="I8" s="490" t="s">
        <v>115</v>
      </c>
      <c r="K8" s="311" t="s">
        <v>4024</v>
      </c>
      <c r="L8" s="311" t="s">
        <v>4019</v>
      </c>
      <c r="M8" s="310" t="e">
        <f t="shared" si="0"/>
        <v>#VALUE!</v>
      </c>
      <c r="N8" s="310"/>
      <c r="O8" s="310"/>
      <c r="P8" s="527" t="s">
        <v>4023</v>
      </c>
      <c r="Q8" s="527" t="s">
        <v>4019</v>
      </c>
      <c r="R8" s="527"/>
    </row>
    <row r="9" spans="1:18" x14ac:dyDescent="0.2">
      <c r="A9" s="311" t="s">
        <v>1018</v>
      </c>
      <c r="B9" t="s">
        <v>1019</v>
      </c>
      <c r="C9" s="310"/>
      <c r="D9" s="310" t="s">
        <v>3062</v>
      </c>
      <c r="E9" s="311" t="s">
        <v>3080</v>
      </c>
      <c r="G9" s="311" t="s">
        <v>4017</v>
      </c>
      <c r="H9" s="491" t="s">
        <v>4017</v>
      </c>
      <c r="I9" s="491" t="s">
        <v>4017</v>
      </c>
      <c r="K9" s="311" t="s">
        <v>4024</v>
      </c>
      <c r="L9" s="311" t="s">
        <v>4017</v>
      </c>
      <c r="M9" s="310" t="e">
        <f t="shared" si="0"/>
        <v>#VALUE!</v>
      </c>
      <c r="N9" s="310"/>
      <c r="O9" s="310"/>
      <c r="P9" s="528" t="s">
        <v>4023</v>
      </c>
      <c r="Q9" s="528" t="s">
        <v>4017</v>
      </c>
      <c r="R9" s="528"/>
    </row>
    <row r="10" spans="1:18" x14ac:dyDescent="0.2">
      <c r="A10" s="311" t="s">
        <v>1022</v>
      </c>
      <c r="B10" s="311" t="s">
        <v>1023</v>
      </c>
      <c r="C10" s="310"/>
      <c r="D10" s="310" t="s">
        <v>3063</v>
      </c>
      <c r="E10" s="311" t="s">
        <v>3081</v>
      </c>
      <c r="G10" s="311" t="s">
        <v>5174</v>
      </c>
      <c r="H10" s="931" t="s">
        <v>5174</v>
      </c>
      <c r="I10" s="931" t="s">
        <v>5174</v>
      </c>
      <c r="K10" s="311" t="s">
        <v>4020</v>
      </c>
      <c r="L10" s="311" t="s">
        <v>4018</v>
      </c>
      <c r="M10" s="310">
        <f>PedGuiMedIV!A1</f>
        <v>0</v>
      </c>
      <c r="P10" s="148"/>
      <c r="Q10" s="148"/>
      <c r="R10" s="148"/>
    </row>
    <row r="11" spans="1:18" x14ac:dyDescent="0.2">
      <c r="C11" s="310"/>
      <c r="D11" s="310" t="s">
        <v>3064</v>
      </c>
      <c r="E11" s="311" t="s">
        <v>3082</v>
      </c>
      <c r="G11" s="311" t="s">
        <v>4007</v>
      </c>
      <c r="H11" s="932" t="s">
        <v>4007</v>
      </c>
      <c r="I11" s="932" t="s">
        <v>4007</v>
      </c>
      <c r="K11" s="311" t="s">
        <v>4020</v>
      </c>
      <c r="L11" s="311" t="s">
        <v>4015</v>
      </c>
      <c r="M11" s="318" t="e">
        <f>PedGuiMedIV!E9:N23,PedGuiMedIV!E25:N29,PedGuiMedIV!F37</f>
        <v>#VALUE!</v>
      </c>
      <c r="P11" s="148"/>
      <c r="Q11" s="148"/>
      <c r="R11" s="148"/>
    </row>
    <row r="12" spans="1:18" x14ac:dyDescent="0.2">
      <c r="D12" s="310" t="s">
        <v>3065</v>
      </c>
      <c r="E12" s="311" t="s">
        <v>3083</v>
      </c>
      <c r="G12" s="311" t="s">
        <v>4008</v>
      </c>
      <c r="H12" s="933" t="s">
        <v>4008</v>
      </c>
      <c r="I12" s="933" t="s">
        <v>4008</v>
      </c>
      <c r="K12" s="311" t="s">
        <v>4020</v>
      </c>
      <c r="L12" s="311" t="s">
        <v>4014</v>
      </c>
      <c r="M12" s="318" t="e">
        <f>PedGuiMedIV!D9:D23,PedGuiMedIV!D25:D29,PedGuiMedIV!D37:E39</f>
        <v>#VALUE!</v>
      </c>
      <c r="P12" s="148"/>
      <c r="Q12" s="148"/>
      <c r="R12" s="148"/>
    </row>
    <row r="13" spans="1:18" x14ac:dyDescent="0.2">
      <c r="D13" s="310" t="s">
        <v>3066</v>
      </c>
      <c r="E13" s="311" t="s">
        <v>3084</v>
      </c>
      <c r="K13" s="311" t="s">
        <v>4020</v>
      </c>
      <c r="L13" s="311" t="s">
        <v>4012</v>
      </c>
      <c r="M13" s="318" t="e">
        <f>PedGuiMedIV!B1:N5</f>
        <v>#VALUE!</v>
      </c>
    </row>
    <row r="14" spans="1:18" x14ac:dyDescent="0.2">
      <c r="D14" s="310" t="s">
        <v>3067</v>
      </c>
      <c r="E14" s="311" t="s">
        <v>3085</v>
      </c>
      <c r="K14" s="311" t="s">
        <v>4020</v>
      </c>
      <c r="L14" s="311" t="s">
        <v>4013</v>
      </c>
      <c r="M14" t="str">
        <f>PedGuiMedIV!B7:N7</f>
        <v>Adviesdosering</v>
      </c>
    </row>
    <row r="15" spans="1:18" x14ac:dyDescent="0.2">
      <c r="D15" s="310" t="s">
        <v>3068</v>
      </c>
      <c r="E15" s="311" t="s">
        <v>3086</v>
      </c>
      <c r="K15" s="311" t="s">
        <v>4020</v>
      </c>
      <c r="L15" s="311" t="s">
        <v>4016</v>
      </c>
      <c r="M15" s="318" t="e">
        <f>PedGuiMedIV!D31:N35</f>
        <v>#VALUE!</v>
      </c>
    </row>
    <row r="16" spans="1:18" x14ac:dyDescent="0.2">
      <c r="D16" s="310" t="s">
        <v>3069</v>
      </c>
      <c r="E16" s="311" t="s">
        <v>3087</v>
      </c>
      <c r="K16" s="311" t="s">
        <v>4020</v>
      </c>
      <c r="L16" s="311" t="s">
        <v>4019</v>
      </c>
    </row>
    <row r="17" spans="4:13" x14ac:dyDescent="0.2">
      <c r="D17" s="310" t="s">
        <v>3070</v>
      </c>
      <c r="E17" s="311" t="s">
        <v>3088</v>
      </c>
      <c r="K17" s="311" t="s">
        <v>4020</v>
      </c>
      <c r="L17" s="311" t="s">
        <v>4017</v>
      </c>
    </row>
    <row r="18" spans="4:13" x14ac:dyDescent="0.2">
      <c r="D18" s="310" t="s">
        <v>3071</v>
      </c>
      <c r="E18" s="311" t="s">
        <v>3089</v>
      </c>
      <c r="K18" s="311" t="s">
        <v>4025</v>
      </c>
      <c r="L18" s="311" t="s">
        <v>4018</v>
      </c>
      <c r="M18">
        <f>GlobGuiMedDisc!A1</f>
        <v>0</v>
      </c>
    </row>
    <row r="19" spans="4:13" x14ac:dyDescent="0.2">
      <c r="D19" s="310" t="s">
        <v>3072</v>
      </c>
      <c r="E19" s="311" t="s">
        <v>3090</v>
      </c>
      <c r="K19" s="311" t="s">
        <v>4025</v>
      </c>
      <c r="L19" s="311" t="s">
        <v>4015</v>
      </c>
      <c r="M19" t="str">
        <f>GlobGuiMedDisc!E9:S38</f>
        <v/>
      </c>
    </row>
    <row r="20" spans="4:13" x14ac:dyDescent="0.2">
      <c r="E20" s="311" t="s">
        <v>3091</v>
      </c>
      <c r="H20" s="333"/>
      <c r="K20" s="311" t="s">
        <v>4025</v>
      </c>
      <c r="L20" s="311" t="s">
        <v>4014</v>
      </c>
      <c r="M20">
        <f>GlobGuiMedDisc!D9:D38</f>
        <v>12</v>
      </c>
    </row>
    <row r="21" spans="4:13" x14ac:dyDescent="0.2">
      <c r="E21" s="311" t="s">
        <v>3092</v>
      </c>
      <c r="K21" s="311" t="s">
        <v>4025</v>
      </c>
      <c r="L21" s="311" t="s">
        <v>4012</v>
      </c>
      <c r="M21" t="e">
        <f>GlobGuiMedDisc!B1:S5</f>
        <v>#VALUE!</v>
      </c>
    </row>
    <row r="22" spans="4:13" x14ac:dyDescent="0.2">
      <c r="E22" s="311" t="s">
        <v>3093</v>
      </c>
      <c r="K22" s="311" t="s">
        <v>4025</v>
      </c>
      <c r="L22" s="311" t="s">
        <v>4013</v>
      </c>
      <c r="M22" t="str">
        <f>GlobGuiMedDisc!B7:S7</f>
        <v>Dosering</v>
      </c>
    </row>
    <row r="23" spans="4:13" x14ac:dyDescent="0.2">
      <c r="E23" s="311" t="s">
        <v>3094</v>
      </c>
      <c r="K23" s="311" t="s">
        <v>4025</v>
      </c>
      <c r="L23" s="311" t="s">
        <v>4016</v>
      </c>
    </row>
    <row r="24" spans="4:13" x14ac:dyDescent="0.2">
      <c r="E24" s="311" t="s">
        <v>3095</v>
      </c>
      <c r="K24" s="311" t="s">
        <v>4025</v>
      </c>
      <c r="L24" s="311" t="s">
        <v>4019</v>
      </c>
    </row>
    <row r="25" spans="4:13" x14ac:dyDescent="0.2">
      <c r="E25" s="311" t="s">
        <v>3096</v>
      </c>
      <c r="K25" s="311" t="s">
        <v>4025</v>
      </c>
      <c r="L25" s="311" t="s">
        <v>4017</v>
      </c>
    </row>
    <row r="26" spans="4:13" x14ac:dyDescent="0.2">
      <c r="E26" s="311" t="s">
        <v>3097</v>
      </c>
      <c r="K26" s="311" t="s">
        <v>4026</v>
      </c>
      <c r="L26" s="311" t="s">
        <v>4018</v>
      </c>
      <c r="M26">
        <f>PedGuiLijnPM!A1</f>
        <v>0</v>
      </c>
    </row>
    <row r="27" spans="4:13" x14ac:dyDescent="0.2">
      <c r="E27" s="311" t="s">
        <v>3098</v>
      </c>
      <c r="K27" s="311" t="s">
        <v>4026</v>
      </c>
      <c r="L27" s="311" t="s">
        <v>4015</v>
      </c>
      <c r="M27" t="e">
        <f>PedGuiLijnPM!E16,PedGuiLijnPM!E23,PedGuiLijnPM!E25:E26,PedGuiLijnPM!E28,PedGuiLijnPM!E30:E31</f>
        <v>#VALUE!</v>
      </c>
    </row>
    <row r="28" spans="4:13" x14ac:dyDescent="0.2">
      <c r="E28" s="311" t="s">
        <v>3099</v>
      </c>
      <c r="K28" s="311" t="s">
        <v>4026</v>
      </c>
      <c r="L28" s="311" t="s">
        <v>4014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11" t="s">
        <v>3100</v>
      </c>
      <c r="K29" s="311" t="s">
        <v>4026</v>
      </c>
      <c r="L29" s="311" t="s">
        <v>4012</v>
      </c>
      <c r="M29" t="e">
        <f>PedGuiLijnPM!B1:K5</f>
        <v>#VALUE!</v>
      </c>
    </row>
    <row r="30" spans="4:13" x14ac:dyDescent="0.2">
      <c r="E30" s="311" t="s">
        <v>3101</v>
      </c>
      <c r="K30" s="311" t="s">
        <v>4026</v>
      </c>
      <c r="L30" s="311" t="s">
        <v>4013</v>
      </c>
      <c r="M30" t="e">
        <f>PedGuiLijnPM!B7:K7,PedGuiLijnPM!B19:K19</f>
        <v>#VALUE!</v>
      </c>
    </row>
    <row r="31" spans="4:13" x14ac:dyDescent="0.2">
      <c r="E31" s="311" t="s">
        <v>3102</v>
      </c>
      <c r="K31" s="311" t="s">
        <v>4026</v>
      </c>
      <c r="L31" s="311" t="s">
        <v>4016</v>
      </c>
    </row>
    <row r="32" spans="4:13" x14ac:dyDescent="0.2">
      <c r="E32" s="311" t="s">
        <v>3103</v>
      </c>
      <c r="K32" s="311" t="s">
        <v>4026</v>
      </c>
      <c r="L32" s="311" t="s">
        <v>4019</v>
      </c>
    </row>
    <row r="33" spans="5:13" x14ac:dyDescent="0.2">
      <c r="E33" s="311" t="s">
        <v>3104</v>
      </c>
      <c r="K33" s="311" t="s">
        <v>4026</v>
      </c>
      <c r="L33" s="311" t="s">
        <v>4017</v>
      </c>
    </row>
    <row r="34" spans="5:13" x14ac:dyDescent="0.2">
      <c r="E34" s="311" t="s">
        <v>3105</v>
      </c>
      <c r="K34" s="311" t="s">
        <v>4027</v>
      </c>
      <c r="L34" s="311" t="s">
        <v>4018</v>
      </c>
      <c r="M34">
        <f>PedGuiEntTPN!A1</f>
        <v>0</v>
      </c>
    </row>
    <row r="35" spans="5:13" x14ac:dyDescent="0.2">
      <c r="E35" s="311" t="s">
        <v>3106</v>
      </c>
      <c r="K35" s="311" t="s">
        <v>4027</v>
      </c>
      <c r="L35" s="311" t="s">
        <v>4015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11" t="s">
        <v>3107</v>
      </c>
      <c r="K36" s="311" t="s">
        <v>4027</v>
      </c>
      <c r="L36" s="311" t="s">
        <v>4014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11" t="s">
        <v>3108</v>
      </c>
      <c r="K37" s="311" t="s">
        <v>4027</v>
      </c>
      <c r="L37" s="311" t="s">
        <v>4012</v>
      </c>
      <c r="M37" t="e">
        <f>PedGuiEntTPN!B1:L5</f>
        <v>#VALUE!</v>
      </c>
    </row>
    <row r="38" spans="5:13" x14ac:dyDescent="0.2">
      <c r="E38" s="311" t="s">
        <v>3109</v>
      </c>
      <c r="K38" s="311" t="s">
        <v>4027</v>
      </c>
      <c r="L38" s="311" t="s">
        <v>4013</v>
      </c>
      <c r="M38" t="e">
        <f>PedGuiEntTPN!B7:L7,PedGuiEntTPN!B20:L20</f>
        <v>#VALUE!</v>
      </c>
    </row>
    <row r="39" spans="5:13" x14ac:dyDescent="0.2">
      <c r="E39" s="311" t="s">
        <v>3110</v>
      </c>
      <c r="K39" s="311" t="s">
        <v>4027</v>
      </c>
      <c r="L39" s="311" t="s">
        <v>4016</v>
      </c>
      <c r="M39" t="e">
        <f>PedGuiEntTPN!B41:L45</f>
        <v>#VALUE!</v>
      </c>
    </row>
    <row r="40" spans="5:13" x14ac:dyDescent="0.2">
      <c r="E40" s="311" t="s">
        <v>3111</v>
      </c>
      <c r="K40" s="311" t="s">
        <v>4027</v>
      </c>
      <c r="L40" s="311" t="s">
        <v>4019</v>
      </c>
    </row>
    <row r="41" spans="5:13" x14ac:dyDescent="0.2">
      <c r="E41" s="311" t="s">
        <v>3112</v>
      </c>
      <c r="K41" s="311" t="s">
        <v>4027</v>
      </c>
      <c r="L41" s="311" t="s">
        <v>4017</v>
      </c>
    </row>
    <row r="42" spans="5:13" x14ac:dyDescent="0.2">
      <c r="E42" s="311" t="s">
        <v>3113</v>
      </c>
      <c r="K42" s="311" t="s">
        <v>4028</v>
      </c>
      <c r="L42" s="311" t="s">
        <v>4018</v>
      </c>
      <c r="M42">
        <f>PedGuiLab!A1</f>
        <v>0</v>
      </c>
    </row>
    <row r="43" spans="5:13" x14ac:dyDescent="0.2">
      <c r="E43" s="311" t="s">
        <v>3114</v>
      </c>
      <c r="K43" s="311" t="s">
        <v>4028</v>
      </c>
      <c r="L43" s="311" t="s">
        <v>4015</v>
      </c>
      <c r="M43" t="str">
        <f>PedGuiLab!D43</f>
        <v/>
      </c>
    </row>
    <row r="44" spans="5:13" x14ac:dyDescent="0.2">
      <c r="E44" s="311" t="s">
        <v>3115</v>
      </c>
      <c r="K44" s="311" t="s">
        <v>4028</v>
      </c>
      <c r="L44" s="311" t="s">
        <v>4014</v>
      </c>
      <c r="M44" t="e">
        <f>PedGuiLab!B9:L9,PedGuiLab!B43:C44</f>
        <v>#VALUE!</v>
      </c>
    </row>
    <row r="45" spans="5:13" x14ac:dyDescent="0.2">
      <c r="E45" s="311" t="s">
        <v>3116</v>
      </c>
      <c r="K45" s="311" t="s">
        <v>4028</v>
      </c>
      <c r="L45" s="311" t="s">
        <v>4012</v>
      </c>
      <c r="M45" t="e">
        <f>PedGuiLab!B1:N5</f>
        <v>#VALUE!</v>
      </c>
    </row>
    <row r="46" spans="5:13" x14ac:dyDescent="0.2">
      <c r="E46" s="311" t="s">
        <v>3117</v>
      </c>
      <c r="K46" s="311" t="s">
        <v>4028</v>
      </c>
      <c r="L46" s="311" t="s">
        <v>4013</v>
      </c>
      <c r="M46">
        <f>PedGuiLab!B7:N7</f>
        <v>0</v>
      </c>
    </row>
    <row r="47" spans="5:13" x14ac:dyDescent="0.2">
      <c r="E47" s="311" t="s">
        <v>3118</v>
      </c>
      <c r="K47" s="311" t="s">
        <v>4028</v>
      </c>
      <c r="L47" s="311" t="s">
        <v>4016</v>
      </c>
    </row>
    <row r="48" spans="5:13" x14ac:dyDescent="0.2">
      <c r="E48" s="311" t="s">
        <v>3119</v>
      </c>
      <c r="K48" s="311" t="s">
        <v>4028</v>
      </c>
      <c r="L48" s="311" t="s">
        <v>4019</v>
      </c>
      <c r="M48" t="e">
        <f>PedGuiLab!B10:I41,PedGuiLab!K10:L41</f>
        <v>#VALUE!</v>
      </c>
    </row>
    <row r="49" spans="5:13" x14ac:dyDescent="0.2">
      <c r="E49" s="311" t="s">
        <v>3120</v>
      </c>
      <c r="K49" s="311" t="s">
        <v>4028</v>
      </c>
      <c r="L49" s="311" t="s">
        <v>4017</v>
      </c>
    </row>
    <row r="50" spans="5:13" x14ac:dyDescent="0.2">
      <c r="E50" s="311" t="s">
        <v>3121</v>
      </c>
      <c r="K50" s="311" t="s">
        <v>4029</v>
      </c>
      <c r="L50" s="311" t="s">
        <v>4018</v>
      </c>
      <c r="M50">
        <f>PedGuiAcuut!A1</f>
        <v>0</v>
      </c>
    </row>
    <row r="51" spans="5:13" x14ac:dyDescent="0.2">
      <c r="E51" s="311" t="s">
        <v>3122</v>
      </c>
      <c r="K51" s="311" t="s">
        <v>4029</v>
      </c>
      <c r="L51" s="311" t="s">
        <v>4015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11" t="s">
        <v>3123</v>
      </c>
      <c r="K52" s="311" t="s">
        <v>4029</v>
      </c>
      <c r="L52" s="311" t="s">
        <v>4014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11" t="s">
        <v>3124</v>
      </c>
      <c r="K53" s="311" t="s">
        <v>4029</v>
      </c>
      <c r="L53" s="311" t="s">
        <v>4012</v>
      </c>
      <c r="M53" t="e">
        <f>PedGuiAcuut!B2:G5</f>
        <v>#VALUE!</v>
      </c>
    </row>
    <row r="54" spans="5:13" x14ac:dyDescent="0.2">
      <c r="E54" s="311" t="s">
        <v>3125</v>
      </c>
      <c r="K54" s="311" t="s">
        <v>4029</v>
      </c>
      <c r="L54" s="311" t="s">
        <v>4013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11" t="s">
        <v>4029</v>
      </c>
      <c r="L55" s="311" t="s">
        <v>4016</v>
      </c>
    </row>
    <row r="56" spans="5:13" x14ac:dyDescent="0.2">
      <c r="K56" s="311" t="s">
        <v>4029</v>
      </c>
      <c r="L56" s="311" t="s">
        <v>4019</v>
      </c>
    </row>
    <row r="57" spans="5:13" x14ac:dyDescent="0.2">
      <c r="K57" s="311" t="s">
        <v>4029</v>
      </c>
      <c r="L57" s="311" t="s">
        <v>4017</v>
      </c>
    </row>
    <row r="58" spans="5:13" x14ac:dyDescent="0.2">
      <c r="K58" s="311" t="s">
        <v>4030</v>
      </c>
      <c r="L58" s="311" t="s">
        <v>4018</v>
      </c>
      <c r="M58">
        <f>PedGuiAfspr!A1</f>
        <v>0</v>
      </c>
    </row>
    <row r="59" spans="5:13" x14ac:dyDescent="0.2">
      <c r="K59" s="311" t="s">
        <v>4030</v>
      </c>
      <c r="L59" s="311" t="s">
        <v>4015</v>
      </c>
      <c r="M59" t="e">
        <f>PedGuiAfspr!C8:C11,PedGuiAfspr!C18:C19,PedGuiAfspr!G9:G10,PedGuiAfspr!I10,PedGuiAfspr!F18,PedGuiAfspr!D35</f>
        <v>#VALUE!</v>
      </c>
    </row>
    <row r="60" spans="5:13" x14ac:dyDescent="0.2">
      <c r="K60" s="311" t="s">
        <v>4030</v>
      </c>
      <c r="L60" s="311" t="s">
        <v>4014</v>
      </c>
      <c r="M60" t="e">
        <f>PedGuiAfspr!H10,PedGuiAfspr!F17:I17</f>
        <v>#VALUE!</v>
      </c>
    </row>
    <row r="61" spans="5:13" x14ac:dyDescent="0.2">
      <c r="K61" s="311" t="s">
        <v>4030</v>
      </c>
      <c r="L61" s="311" t="s">
        <v>4012</v>
      </c>
      <c r="M61" t="e">
        <f>PedGuiAfspr!B1:I4</f>
        <v>#VALUE!</v>
      </c>
    </row>
    <row r="62" spans="5:13" x14ac:dyDescent="0.2">
      <c r="K62" s="311" t="s">
        <v>4030</v>
      </c>
      <c r="L62" s="311" t="s">
        <v>4013</v>
      </c>
      <c r="M62" t="e">
        <f>PedGuiAfspr!B6:I6,PedGuiAfspr!B22:I22,PedGuiAfspr!B28:I28</f>
        <v>#VALUE!</v>
      </c>
    </row>
    <row r="63" spans="5:13" x14ac:dyDescent="0.2">
      <c r="K63" s="311" t="s">
        <v>4030</v>
      </c>
      <c r="L63" s="311" t="s">
        <v>4016</v>
      </c>
      <c r="M63" t="e">
        <f>PedGuiAfspr!B37:I41</f>
        <v>#VALUE!</v>
      </c>
    </row>
    <row r="64" spans="5:13" x14ac:dyDescent="0.2">
      <c r="K64" s="311" t="s">
        <v>4030</v>
      </c>
      <c r="L64" s="311" t="s">
        <v>4019</v>
      </c>
    </row>
    <row r="65" spans="11:13" x14ac:dyDescent="0.2">
      <c r="K65" s="311" t="s">
        <v>4030</v>
      </c>
      <c r="L65" s="311" t="s">
        <v>4017</v>
      </c>
    </row>
    <row r="66" spans="11:13" x14ac:dyDescent="0.2">
      <c r="K66" s="311" t="s">
        <v>4828</v>
      </c>
      <c r="L66" s="311" t="s">
        <v>4018</v>
      </c>
      <c r="M66">
        <f>NeoGuiInfB!A1</f>
        <v>0</v>
      </c>
    </row>
    <row r="67" spans="11:13" x14ac:dyDescent="0.2">
      <c r="K67" s="311" t="s">
        <v>4828</v>
      </c>
      <c r="L67" s="311" t="s">
        <v>4015</v>
      </c>
      <c r="M67" t="e">
        <f>NeoGuiInfB!F15,NeoGuiInfB!H17:H18,NeoGuiInfB!J17:J18,NeoGuiInfB!N18:N22,NeoGuiInfB!R19:R22,NeoGuiInfB!G28:H37,NeoGuiInfB!K28:K37,NeoGuiInfB!K26,NeoGuiInfB!K39:K41,NeoGuiInfB!D42:M43,NeoGuiInfB!G47,NeoGuiInfB!G51:G56,NeoGuiInfB!K51:K52,NeoGuiInfB!K58,NeoGuiInfB!F71,NeoGuiInfB!I57</f>
        <v>#VALUE!</v>
      </c>
    </row>
    <row r="68" spans="11:13" x14ac:dyDescent="0.2">
      <c r="K68" s="311" t="s">
        <v>4828</v>
      </c>
      <c r="L68" s="311" t="s">
        <v>4014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311" t="s">
        <v>4828</v>
      </c>
      <c r="L69" s="311" t="s">
        <v>4012</v>
      </c>
      <c r="M69" t="e">
        <f>NeoGuiInfB!C9:R12</f>
        <v>#VALUE!</v>
      </c>
    </row>
    <row r="70" spans="11:13" x14ac:dyDescent="0.2">
      <c r="K70" s="311" t="s">
        <v>4828</v>
      </c>
      <c r="L70" s="311" t="s">
        <v>4013</v>
      </c>
      <c r="M70" t="e">
        <f>NeoGuiInfB!C14:R14,NeoGuiInfB!C24:R24,NeoGuiInfB!C45:R45,NeoGuiInfB!C61:R61</f>
        <v>#VALUE!</v>
      </c>
    </row>
    <row r="71" spans="11:13" x14ac:dyDescent="0.2">
      <c r="K71" s="311" t="s">
        <v>4828</v>
      </c>
      <c r="L71" s="311" t="s">
        <v>4016</v>
      </c>
      <c r="M71" t="e">
        <f>NeoGuiInfB!C2:R7</f>
        <v>#VALUE!</v>
      </c>
    </row>
    <row r="72" spans="11:13" x14ac:dyDescent="0.2">
      <c r="K72" s="311" t="s">
        <v>4828</v>
      </c>
      <c r="L72" s="311" t="s">
        <v>4019</v>
      </c>
    </row>
    <row r="73" spans="11:13" x14ac:dyDescent="0.2">
      <c r="K73" s="311" t="s">
        <v>4828</v>
      </c>
      <c r="L73" s="311" t="s">
        <v>4017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693" activePane="bottomLeft" state="frozen"/>
      <selection pane="bottomLeft" activeCell="B1719" sqref="B1719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643" customWidth="1"/>
  </cols>
  <sheetData>
    <row r="1" spans="1:9" x14ac:dyDescent="0.2">
      <c r="A1" t="s">
        <v>1026</v>
      </c>
      <c r="B1" t="s">
        <v>1024</v>
      </c>
      <c r="C1" t="s">
        <v>1025</v>
      </c>
      <c r="D1" t="s">
        <v>2000</v>
      </c>
      <c r="E1" t="s">
        <v>1021</v>
      </c>
      <c r="F1" t="s">
        <v>1951</v>
      </c>
      <c r="G1" t="s">
        <v>1997</v>
      </c>
      <c r="H1" t="s">
        <v>1998</v>
      </c>
      <c r="I1" t="s">
        <v>1999</v>
      </c>
    </row>
    <row r="2" spans="1:9" x14ac:dyDescent="0.2">
      <c r="A2" t="s">
        <v>3147</v>
      </c>
      <c r="B2" t="s">
        <v>1027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1400</v>
      </c>
      <c r="B3" t="s">
        <v>1028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3148</v>
      </c>
      <c r="B4" t="s">
        <v>1029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3149</v>
      </c>
      <c r="B5" t="s">
        <v>1030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3150</v>
      </c>
      <c r="B6" t="s">
        <v>1031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4286</v>
      </c>
      <c r="B7" t="s">
        <v>1756</v>
      </c>
      <c r="D7" t="b">
        <f>IFERROR(VLOOKUP(B7,PatData!$A$2:$A$2000,1,),"")&lt;&gt;""</f>
        <v>0</v>
      </c>
      <c r="E7" t="s">
        <v>1026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1098</v>
      </c>
      <c r="B8" t="s">
        <v>1032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4836</v>
      </c>
      <c r="B9" t="s">
        <v>1033</v>
      </c>
      <c r="D9" t="b">
        <f>IFERROR(VLOOKUP(B9,PatData!$A$2:$A$2000,1,),"")&lt;&gt;""</f>
        <v>0</v>
      </c>
      <c r="E9" t="s">
        <v>155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3541</v>
      </c>
      <c r="B10" t="s">
        <v>2004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3542</v>
      </c>
      <c r="B11" t="s">
        <v>2005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3543</v>
      </c>
      <c r="B12" t="s">
        <v>2006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3544</v>
      </c>
      <c r="B13" t="s">
        <v>2007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3545</v>
      </c>
      <c r="B14" t="s">
        <v>2008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3546</v>
      </c>
      <c r="B15" t="s">
        <v>2009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3547</v>
      </c>
      <c r="B16" t="s">
        <v>2010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3548</v>
      </c>
      <c r="B17" t="s">
        <v>2011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3549</v>
      </c>
      <c r="B18" t="s">
        <v>2012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3550</v>
      </c>
      <c r="B19" t="s">
        <v>2013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3551</v>
      </c>
      <c r="B20" t="s">
        <v>2014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3552</v>
      </c>
      <c r="B21" t="s">
        <v>2015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3553</v>
      </c>
      <c r="B22" t="s">
        <v>2016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3554</v>
      </c>
      <c r="B23" t="s">
        <v>2017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3555</v>
      </c>
      <c r="B24" t="s">
        <v>2018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3556</v>
      </c>
      <c r="B25" t="s">
        <v>2019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3557</v>
      </c>
      <c r="B26" t="s">
        <v>2020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3558</v>
      </c>
      <c r="B27" t="s">
        <v>2021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3559</v>
      </c>
      <c r="B28" t="s">
        <v>2022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3560</v>
      </c>
      <c r="B29" t="s">
        <v>2023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3561</v>
      </c>
      <c r="B30" t="s">
        <v>2024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3562</v>
      </c>
      <c r="B31" t="s">
        <v>2025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3563</v>
      </c>
      <c r="B32" t="s">
        <v>2026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3564</v>
      </c>
      <c r="B33" t="s">
        <v>2027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3565</v>
      </c>
      <c r="B34" t="s">
        <v>2028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3566</v>
      </c>
      <c r="B35" t="s">
        <v>2029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3567</v>
      </c>
      <c r="B36" t="s">
        <v>2030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3568</v>
      </c>
      <c r="B37" t="s">
        <v>2031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3569</v>
      </c>
      <c r="B38" t="s">
        <v>2032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3570</v>
      </c>
      <c r="B39" t="s">
        <v>2033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3181</v>
      </c>
      <c r="B40" t="s">
        <v>2034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3182</v>
      </c>
      <c r="B41" t="s">
        <v>2035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3183</v>
      </c>
      <c r="B42" t="s">
        <v>2036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3184</v>
      </c>
      <c r="B43" t="s">
        <v>2037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3185</v>
      </c>
      <c r="B44" t="s">
        <v>2038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3186</v>
      </c>
      <c r="B45" t="s">
        <v>2039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3187</v>
      </c>
      <c r="B46" t="s">
        <v>2040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3188</v>
      </c>
      <c r="B47" t="s">
        <v>2041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3189</v>
      </c>
      <c r="B48" t="s">
        <v>2042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3190</v>
      </c>
      <c r="B49" t="s">
        <v>2043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3191</v>
      </c>
      <c r="B50" t="s">
        <v>2044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3192</v>
      </c>
      <c r="B51" t="s">
        <v>2045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3193</v>
      </c>
      <c r="B52" t="s">
        <v>2046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3194</v>
      </c>
      <c r="B53" t="s">
        <v>2047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3195</v>
      </c>
      <c r="B54" t="s">
        <v>2048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3196</v>
      </c>
      <c r="B55" t="s">
        <v>2049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3197</v>
      </c>
      <c r="B56" t="s">
        <v>2050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3198</v>
      </c>
      <c r="B57" t="s">
        <v>2051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3199</v>
      </c>
      <c r="B58" t="s">
        <v>2052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3200</v>
      </c>
      <c r="B59" t="s">
        <v>2053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3201</v>
      </c>
      <c r="B60" t="s">
        <v>2054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3202</v>
      </c>
      <c r="B61" t="s">
        <v>2055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3203</v>
      </c>
      <c r="B62" t="s">
        <v>2056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3204</v>
      </c>
      <c r="B63" t="s">
        <v>2057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3205</v>
      </c>
      <c r="B64" t="s">
        <v>2058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3206</v>
      </c>
      <c r="B65" t="s">
        <v>2059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3207</v>
      </c>
      <c r="B66" t="s">
        <v>2060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3208</v>
      </c>
      <c r="B67" t="s">
        <v>2061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3209</v>
      </c>
      <c r="B68" t="s">
        <v>2062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3210</v>
      </c>
      <c r="B69" t="s">
        <v>2063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3211</v>
      </c>
      <c r="B70" t="s">
        <v>2064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3212</v>
      </c>
      <c r="B71" t="s">
        <v>2065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3213</v>
      </c>
      <c r="B72" t="s">
        <v>2066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3214</v>
      </c>
      <c r="B73" t="s">
        <v>2067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3215</v>
      </c>
      <c r="B74" t="s">
        <v>2068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3216</v>
      </c>
      <c r="B75" t="s">
        <v>2069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3217</v>
      </c>
      <c r="B76" t="s">
        <v>2070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3218</v>
      </c>
      <c r="B77" t="s">
        <v>2071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3219</v>
      </c>
      <c r="B78" t="s">
        <v>2072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3220</v>
      </c>
      <c r="B79" t="s">
        <v>2073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3221</v>
      </c>
      <c r="B80" t="s">
        <v>2074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3222</v>
      </c>
      <c r="B81" t="s">
        <v>2075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3223</v>
      </c>
      <c r="B82" t="s">
        <v>2076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3224</v>
      </c>
      <c r="B83" t="s">
        <v>2077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3225</v>
      </c>
      <c r="B84" t="s">
        <v>2078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3226</v>
      </c>
      <c r="B85" t="s">
        <v>2079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3227</v>
      </c>
      <c r="B86" t="s">
        <v>2080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3228</v>
      </c>
      <c r="B87" t="s">
        <v>2081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3229</v>
      </c>
      <c r="B88" t="s">
        <v>2082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3230</v>
      </c>
      <c r="B89" t="s">
        <v>2083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3231</v>
      </c>
      <c r="B90" t="s">
        <v>2084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3232</v>
      </c>
      <c r="B91" t="s">
        <v>2085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3233</v>
      </c>
      <c r="B92" t="s">
        <v>2086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3234</v>
      </c>
      <c r="B93" t="s">
        <v>2087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3235</v>
      </c>
      <c r="B94" t="s">
        <v>2088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3236</v>
      </c>
      <c r="B95" t="s">
        <v>2089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3237</v>
      </c>
      <c r="B96" t="s">
        <v>2090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3238</v>
      </c>
      <c r="B97" t="s">
        <v>2091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3239</v>
      </c>
      <c r="B98" t="s">
        <v>2092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3240</v>
      </c>
      <c r="B99" t="s">
        <v>2093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3797</v>
      </c>
      <c r="B100" t="s">
        <v>2094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3798</v>
      </c>
      <c r="B101" t="s">
        <v>2095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3799</v>
      </c>
      <c r="B102" t="s">
        <v>2096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3800</v>
      </c>
      <c r="B103" t="s">
        <v>2097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3801</v>
      </c>
      <c r="B104" t="s">
        <v>2098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3802</v>
      </c>
      <c r="B105" t="s">
        <v>2099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3803</v>
      </c>
      <c r="B106" t="s">
        <v>2100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3804</v>
      </c>
      <c r="B107" t="s">
        <v>2101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3805</v>
      </c>
      <c r="B108" t="s">
        <v>2102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3806</v>
      </c>
      <c r="B109" t="s">
        <v>2103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3807</v>
      </c>
      <c r="B110" t="s">
        <v>2104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3808</v>
      </c>
      <c r="B111" t="s">
        <v>2105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3809</v>
      </c>
      <c r="B112" t="s">
        <v>2106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3810</v>
      </c>
      <c r="B113" t="s">
        <v>2107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3811</v>
      </c>
      <c r="B114" t="s">
        <v>2108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3812</v>
      </c>
      <c r="B115" t="s">
        <v>2109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3813</v>
      </c>
      <c r="B116" t="s">
        <v>2110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3814</v>
      </c>
      <c r="B117" t="s">
        <v>2111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3815</v>
      </c>
      <c r="B118" t="s">
        <v>2112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3816</v>
      </c>
      <c r="B119" t="s">
        <v>2113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3817</v>
      </c>
      <c r="B120" t="s">
        <v>2114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3818</v>
      </c>
      <c r="B121" t="s">
        <v>2115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3819</v>
      </c>
      <c r="B122" t="s">
        <v>2116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3820</v>
      </c>
      <c r="B123" t="s">
        <v>2117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3821</v>
      </c>
      <c r="B124" t="s">
        <v>2118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3822</v>
      </c>
      <c r="B125" t="s">
        <v>2119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3823</v>
      </c>
      <c r="B126" t="s">
        <v>2120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3824</v>
      </c>
      <c r="B127" t="s">
        <v>2121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3825</v>
      </c>
      <c r="B128" t="s">
        <v>2122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3826</v>
      </c>
      <c r="B129" t="s">
        <v>2123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3271</v>
      </c>
      <c r="B130" t="s">
        <v>2124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3272</v>
      </c>
      <c r="B131" t="s">
        <v>2125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3273</v>
      </c>
      <c r="B132" t="s">
        <v>2126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3274</v>
      </c>
      <c r="B133" t="s">
        <v>2127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3275</v>
      </c>
      <c r="B134" t="s">
        <v>2128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3276</v>
      </c>
      <c r="B135" t="s">
        <v>2129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3277</v>
      </c>
      <c r="B136" t="s">
        <v>2130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3278</v>
      </c>
      <c r="B137" t="s">
        <v>2131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3279</v>
      </c>
      <c r="B138" t="s">
        <v>2132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3280</v>
      </c>
      <c r="B139" t="s">
        <v>2133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3281</v>
      </c>
      <c r="B140" t="s">
        <v>2134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3282</v>
      </c>
      <c r="B141" t="s">
        <v>2135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3283</v>
      </c>
      <c r="B142" t="s">
        <v>2136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3284</v>
      </c>
      <c r="B143" t="s">
        <v>2137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3285</v>
      </c>
      <c r="B144" t="s">
        <v>2138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3286</v>
      </c>
      <c r="B145" t="s">
        <v>2139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3287</v>
      </c>
      <c r="B146" t="s">
        <v>2140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3288</v>
      </c>
      <c r="B147" t="s">
        <v>2141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3289</v>
      </c>
      <c r="B148" t="s">
        <v>2142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3290</v>
      </c>
      <c r="B149" t="s">
        <v>2143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3291</v>
      </c>
      <c r="B150" t="s">
        <v>2144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3292</v>
      </c>
      <c r="B151" t="s">
        <v>2145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3293</v>
      </c>
      <c r="B152" t="s">
        <v>2146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3294</v>
      </c>
      <c r="B153" t="s">
        <v>2147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3295</v>
      </c>
      <c r="B154" t="s">
        <v>2148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3296</v>
      </c>
      <c r="B155" t="s">
        <v>2149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3297</v>
      </c>
      <c r="B156" t="s">
        <v>2150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3298</v>
      </c>
      <c r="B157" t="s">
        <v>2151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3299</v>
      </c>
      <c r="B158" t="s">
        <v>2152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3300</v>
      </c>
      <c r="B159" t="s">
        <v>2153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3301</v>
      </c>
      <c r="B160" t="s">
        <v>2154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3302</v>
      </c>
      <c r="B161" t="s">
        <v>2155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3303</v>
      </c>
      <c r="B162" t="s">
        <v>2156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3304</v>
      </c>
      <c r="B163" t="s">
        <v>2157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3305</v>
      </c>
      <c r="B164" t="s">
        <v>2158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3306</v>
      </c>
      <c r="B165" t="s">
        <v>2159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3307</v>
      </c>
      <c r="B166" t="s">
        <v>2160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3308</v>
      </c>
      <c r="B167" t="s">
        <v>2161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3309</v>
      </c>
      <c r="B168" t="s">
        <v>2162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3310</v>
      </c>
      <c r="B169" t="s">
        <v>2163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3311</v>
      </c>
      <c r="B170" t="s">
        <v>2164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3312</v>
      </c>
      <c r="B171" t="s">
        <v>2165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3313</v>
      </c>
      <c r="B172" t="s">
        <v>2166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3314</v>
      </c>
      <c r="B173" t="s">
        <v>2167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3315</v>
      </c>
      <c r="B174" t="s">
        <v>2168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3316</v>
      </c>
      <c r="B175" t="s">
        <v>2169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3317</v>
      </c>
      <c r="B176" t="s">
        <v>2170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3318</v>
      </c>
      <c r="B177" t="s">
        <v>2171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3319</v>
      </c>
      <c r="B178" t="s">
        <v>2172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3320</v>
      </c>
      <c r="B179" t="s">
        <v>2173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3321</v>
      </c>
      <c r="B180" t="s">
        <v>2174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3322</v>
      </c>
      <c r="B181" t="s">
        <v>2175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3323</v>
      </c>
      <c r="B182" t="s">
        <v>2176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3324</v>
      </c>
      <c r="B183" t="s">
        <v>2177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3325</v>
      </c>
      <c r="B184" t="s">
        <v>2178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3326</v>
      </c>
      <c r="B185" t="s">
        <v>2179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3327</v>
      </c>
      <c r="B186" t="s">
        <v>2180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3328</v>
      </c>
      <c r="B187" t="s">
        <v>2181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3329</v>
      </c>
      <c r="B188" t="s">
        <v>2182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3330</v>
      </c>
      <c r="B189" t="s">
        <v>2183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3331</v>
      </c>
      <c r="B190" t="s">
        <v>2184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3332</v>
      </c>
      <c r="B191" t="s">
        <v>2185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3333</v>
      </c>
      <c r="B192" t="s">
        <v>2186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3334</v>
      </c>
      <c r="B193" t="s">
        <v>2187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3335</v>
      </c>
      <c r="B194" t="s">
        <v>2188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3336</v>
      </c>
      <c r="B195" t="s">
        <v>2189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3337</v>
      </c>
      <c r="B196" t="s">
        <v>2190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3338</v>
      </c>
      <c r="B197" t="s">
        <v>2191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3339</v>
      </c>
      <c r="B198" t="s">
        <v>2192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3340</v>
      </c>
      <c r="B199" t="s">
        <v>2193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3341</v>
      </c>
      <c r="B200" t="s">
        <v>2194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3342</v>
      </c>
      <c r="B201" t="s">
        <v>2195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3343</v>
      </c>
      <c r="B202" t="s">
        <v>2196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3344</v>
      </c>
      <c r="B203" t="s">
        <v>2197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3345</v>
      </c>
      <c r="B204" t="s">
        <v>2198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3346</v>
      </c>
      <c r="B205" t="s">
        <v>2199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3347</v>
      </c>
      <c r="B206" t="s">
        <v>2200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3348</v>
      </c>
      <c r="B207" t="s">
        <v>2201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3349</v>
      </c>
      <c r="B208" t="s">
        <v>2202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3350</v>
      </c>
      <c r="B209" t="s">
        <v>2203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3351</v>
      </c>
      <c r="B210" t="s">
        <v>2204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3352</v>
      </c>
      <c r="B211" t="s">
        <v>2205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3353</v>
      </c>
      <c r="B212" t="s">
        <v>2206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3354</v>
      </c>
      <c r="B213" t="s">
        <v>2207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3355</v>
      </c>
      <c r="B214" t="s">
        <v>2208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3356</v>
      </c>
      <c r="B215" t="s">
        <v>2209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3357</v>
      </c>
      <c r="B216" t="s">
        <v>2210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3358</v>
      </c>
      <c r="B217" t="s">
        <v>2211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3359</v>
      </c>
      <c r="B218" t="s">
        <v>2212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3360</v>
      </c>
      <c r="B219" t="s">
        <v>2213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3361</v>
      </c>
      <c r="B220" t="s">
        <v>2214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3362</v>
      </c>
      <c r="B221" t="s">
        <v>2215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3363</v>
      </c>
      <c r="B222" t="s">
        <v>2216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3364</v>
      </c>
      <c r="B223" t="s">
        <v>2217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3365</v>
      </c>
      <c r="B224" t="s">
        <v>2218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3366</v>
      </c>
      <c r="B225" t="s">
        <v>2219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3367</v>
      </c>
      <c r="B226" t="s">
        <v>2220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3368</v>
      </c>
      <c r="B227" t="s">
        <v>2221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3369</v>
      </c>
      <c r="B228" t="s">
        <v>2222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3370</v>
      </c>
      <c r="B229" t="s">
        <v>2223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3371</v>
      </c>
      <c r="B230" t="s">
        <v>2224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3372</v>
      </c>
      <c r="B231" t="s">
        <v>2225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3373</v>
      </c>
      <c r="B232" t="s">
        <v>2226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3374</v>
      </c>
      <c r="B233" t="s">
        <v>2227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3375</v>
      </c>
      <c r="B234" t="s">
        <v>2228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3376</v>
      </c>
      <c r="B235" t="s">
        <v>2229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3377</v>
      </c>
      <c r="B236" t="s">
        <v>2230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3378</v>
      </c>
      <c r="B237" t="s">
        <v>2231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3379</v>
      </c>
      <c r="B238" t="s">
        <v>2232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3380</v>
      </c>
      <c r="B239" t="s">
        <v>2233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3381</v>
      </c>
      <c r="B240" t="s">
        <v>2234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3382</v>
      </c>
      <c r="B241" t="s">
        <v>2235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3383</v>
      </c>
      <c r="B242" t="s">
        <v>2236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3384</v>
      </c>
      <c r="B243" t="s">
        <v>2237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3385</v>
      </c>
      <c r="B244" t="s">
        <v>2238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3386</v>
      </c>
      <c r="B245" t="s">
        <v>2239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3387</v>
      </c>
      <c r="B246" t="s">
        <v>2240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3388</v>
      </c>
      <c r="B247" t="s">
        <v>2241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3389</v>
      </c>
      <c r="B248" t="s">
        <v>2242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3390</v>
      </c>
      <c r="B249" t="s">
        <v>2243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3421</v>
      </c>
      <c r="B250" t="s">
        <v>2244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3422</v>
      </c>
      <c r="B251" t="s">
        <v>2245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3423</v>
      </c>
      <c r="B252" t="s">
        <v>2246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3424</v>
      </c>
      <c r="B253" t="s">
        <v>2247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3425</v>
      </c>
      <c r="B254" t="s">
        <v>2248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3426</v>
      </c>
      <c r="B255" t="s">
        <v>2249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3427</v>
      </c>
      <c r="B256" t="s">
        <v>2250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3428</v>
      </c>
      <c r="B257" t="s">
        <v>2251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3429</v>
      </c>
      <c r="B258" t="s">
        <v>2252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3430</v>
      </c>
      <c r="B259" t="s">
        <v>2253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3431</v>
      </c>
      <c r="B260" t="s">
        <v>2254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3432</v>
      </c>
      <c r="B261" t="s">
        <v>2255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3433</v>
      </c>
      <c r="B262" t="s">
        <v>2256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3434</v>
      </c>
      <c r="B263" t="s">
        <v>2257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3435</v>
      </c>
      <c r="B264" t="s">
        <v>2258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3436</v>
      </c>
      <c r="B265" t="s">
        <v>2259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3437</v>
      </c>
      <c r="B266" t="s">
        <v>2260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3438</v>
      </c>
      <c r="B267" t="s">
        <v>2261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3439</v>
      </c>
      <c r="B268" t="s">
        <v>2262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3440</v>
      </c>
      <c r="B269" t="s">
        <v>2263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3441</v>
      </c>
      <c r="B270" t="s">
        <v>2264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3442</v>
      </c>
      <c r="B271" t="s">
        <v>2265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3443</v>
      </c>
      <c r="B272" t="s">
        <v>2266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3444</v>
      </c>
      <c r="B273" t="s">
        <v>2267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3445</v>
      </c>
      <c r="B274" t="s">
        <v>2268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3446</v>
      </c>
      <c r="B275" t="s">
        <v>2269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3447</v>
      </c>
      <c r="B276" t="s">
        <v>2270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3448</v>
      </c>
      <c r="B277" t="s">
        <v>2271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3449</v>
      </c>
      <c r="B278" t="s">
        <v>2272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3450</v>
      </c>
      <c r="B279" t="s">
        <v>2273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3451</v>
      </c>
      <c r="B280" t="s">
        <v>2274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3452</v>
      </c>
      <c r="B281" t="s">
        <v>2275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3453</v>
      </c>
      <c r="B282" t="s">
        <v>2276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3454</v>
      </c>
      <c r="B283" t="s">
        <v>2277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3455</v>
      </c>
      <c r="B284" t="s">
        <v>2278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3456</v>
      </c>
      <c r="B285" t="s">
        <v>2279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3457</v>
      </c>
      <c r="B286" t="s">
        <v>2280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3458</v>
      </c>
      <c r="B287" t="s">
        <v>2281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3459</v>
      </c>
      <c r="B288" t="s">
        <v>2282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3460</v>
      </c>
      <c r="B289" t="s">
        <v>2283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3461</v>
      </c>
      <c r="B290" t="s">
        <v>2284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3462</v>
      </c>
      <c r="B291" t="s">
        <v>2285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3463</v>
      </c>
      <c r="B292" t="s">
        <v>2286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3464</v>
      </c>
      <c r="B293" t="s">
        <v>2287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3465</v>
      </c>
      <c r="B294" t="s">
        <v>2288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3466</v>
      </c>
      <c r="B295" t="s">
        <v>2289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3467</v>
      </c>
      <c r="B296" t="s">
        <v>2290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3468</v>
      </c>
      <c r="B297" t="s">
        <v>2291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3469</v>
      </c>
      <c r="B298" t="s">
        <v>2292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3470</v>
      </c>
      <c r="B299" t="s">
        <v>2293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3471</v>
      </c>
      <c r="B300" t="s">
        <v>2294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3472</v>
      </c>
      <c r="B301" t="s">
        <v>2295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3473</v>
      </c>
      <c r="B302" t="s">
        <v>2296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3474</v>
      </c>
      <c r="B303" t="s">
        <v>2297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3475</v>
      </c>
      <c r="B304" t="s">
        <v>2298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3476</v>
      </c>
      <c r="B305" t="s">
        <v>2299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3477</v>
      </c>
      <c r="B306" t="s">
        <v>2300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3478</v>
      </c>
      <c r="B307" t="s">
        <v>2301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3479</v>
      </c>
      <c r="B308" t="s">
        <v>2302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3480</v>
      </c>
      <c r="B309" t="s">
        <v>2303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3827</v>
      </c>
      <c r="B310" t="s">
        <v>2304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3828</v>
      </c>
      <c r="B311" t="s">
        <v>2305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3829</v>
      </c>
      <c r="B312" t="s">
        <v>2306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3830</v>
      </c>
      <c r="B313" t="s">
        <v>2307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3831</v>
      </c>
      <c r="B314" t="s">
        <v>2308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3832</v>
      </c>
      <c r="B315" t="s">
        <v>2309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3833</v>
      </c>
      <c r="B316" t="s">
        <v>2310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3834</v>
      </c>
      <c r="B317" t="s">
        <v>2311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3835</v>
      </c>
      <c r="B318" t="s">
        <v>2312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3836</v>
      </c>
      <c r="B319" t="s">
        <v>2313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3837</v>
      </c>
      <c r="B320" t="s">
        <v>2314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3838</v>
      </c>
      <c r="B321" t="s">
        <v>2315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3839</v>
      </c>
      <c r="B322" t="s">
        <v>2316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3840</v>
      </c>
      <c r="B323" t="s">
        <v>2317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3841</v>
      </c>
      <c r="B324" t="s">
        <v>2318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3842</v>
      </c>
      <c r="B325" t="s">
        <v>2319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3843</v>
      </c>
      <c r="B326" t="s">
        <v>2320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3844</v>
      </c>
      <c r="B327" t="s">
        <v>2321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3845</v>
      </c>
      <c r="B328" t="s">
        <v>2322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3846</v>
      </c>
      <c r="B329" t="s">
        <v>2323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3847</v>
      </c>
      <c r="B330" t="s">
        <v>2324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3848</v>
      </c>
      <c r="B331" t="s">
        <v>2325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3849</v>
      </c>
      <c r="B332" t="s">
        <v>2326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3850</v>
      </c>
      <c r="B333" t="s">
        <v>2327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3851</v>
      </c>
      <c r="B334" t="s">
        <v>2328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3852</v>
      </c>
      <c r="B335" t="s">
        <v>2329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3853</v>
      </c>
      <c r="B336" t="s">
        <v>2330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3854</v>
      </c>
      <c r="B337" t="s">
        <v>2331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3855</v>
      </c>
      <c r="B338" t="s">
        <v>2332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3856</v>
      </c>
      <c r="B339" t="s">
        <v>2333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3151</v>
      </c>
      <c r="B340" t="s">
        <v>3857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3152</v>
      </c>
      <c r="B341" t="s">
        <v>3858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3153</v>
      </c>
      <c r="B342" t="s">
        <v>3859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3154</v>
      </c>
      <c r="B343" t="s">
        <v>3860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3155</v>
      </c>
      <c r="B344" t="s">
        <v>3861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3156</v>
      </c>
      <c r="B345" t="s">
        <v>3862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3157</v>
      </c>
      <c r="B346" t="s">
        <v>3863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3158</v>
      </c>
      <c r="B347" t="s">
        <v>3864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3159</v>
      </c>
      <c r="B348" t="s">
        <v>3865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3160</v>
      </c>
      <c r="B349" t="s">
        <v>3866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3161</v>
      </c>
      <c r="B350" t="s">
        <v>3867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3162</v>
      </c>
      <c r="B351" t="s">
        <v>3868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3163</v>
      </c>
      <c r="B352" t="s">
        <v>3869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3164</v>
      </c>
      <c r="B353" t="s">
        <v>3870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3165</v>
      </c>
      <c r="B354" t="s">
        <v>3871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3166</v>
      </c>
      <c r="B355" t="s">
        <v>3872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3167</v>
      </c>
      <c r="B356" t="s">
        <v>3873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3168</v>
      </c>
      <c r="B357" t="s">
        <v>3874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3169</v>
      </c>
      <c r="B358" t="s">
        <v>3875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3170</v>
      </c>
      <c r="B359" t="s">
        <v>3876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3171</v>
      </c>
      <c r="B360" t="s">
        <v>3877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3172</v>
      </c>
      <c r="B361" t="s">
        <v>3878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3173</v>
      </c>
      <c r="B362" t="s">
        <v>3879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3174</v>
      </c>
      <c r="B363" t="s">
        <v>3880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3175</v>
      </c>
      <c r="B364" t="s">
        <v>3881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3176</v>
      </c>
      <c r="B365" t="s">
        <v>3882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3177</v>
      </c>
      <c r="B366" t="s">
        <v>3883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3178</v>
      </c>
      <c r="B367" t="s">
        <v>3884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3179</v>
      </c>
      <c r="B368" t="s">
        <v>3885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3180</v>
      </c>
      <c r="B369" t="s">
        <v>3886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3511</v>
      </c>
      <c r="B370" t="s">
        <v>3887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3512</v>
      </c>
      <c r="B371" t="s">
        <v>3888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3513</v>
      </c>
      <c r="B372" t="s">
        <v>3889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3514</v>
      </c>
      <c r="B373" t="s">
        <v>3890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3515</v>
      </c>
      <c r="B374" t="s">
        <v>3891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3516</v>
      </c>
      <c r="B375" t="s">
        <v>3892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3517</v>
      </c>
      <c r="B376" t="s">
        <v>3893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3518</v>
      </c>
      <c r="B377" t="s">
        <v>3894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3519</v>
      </c>
      <c r="B378" t="s">
        <v>3895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3520</v>
      </c>
      <c r="B379" t="s">
        <v>3896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3521</v>
      </c>
      <c r="B380" t="s">
        <v>3897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3522</v>
      </c>
      <c r="B381" t="s">
        <v>3898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3523</v>
      </c>
      <c r="B382" t="s">
        <v>3899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3524</v>
      </c>
      <c r="B383" t="s">
        <v>3900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3525</v>
      </c>
      <c r="B384" t="s">
        <v>3901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3526</v>
      </c>
      <c r="B385" t="s">
        <v>3902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3527</v>
      </c>
      <c r="B386" t="s">
        <v>3903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3528</v>
      </c>
      <c r="B387" t="s">
        <v>3904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3529</v>
      </c>
      <c r="B388" t="s">
        <v>3905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3530</v>
      </c>
      <c r="B389" t="s">
        <v>3906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3531</v>
      </c>
      <c r="B390" t="s">
        <v>3907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3532</v>
      </c>
      <c r="B391" t="s">
        <v>3908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3533</v>
      </c>
      <c r="B392" t="s">
        <v>3909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3534</v>
      </c>
      <c r="B393" t="s">
        <v>3910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3535</v>
      </c>
      <c r="B394" t="s">
        <v>3911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3536</v>
      </c>
      <c r="B395" t="s">
        <v>3912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3537</v>
      </c>
      <c r="B396" t="s">
        <v>3913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3538</v>
      </c>
      <c r="B397" t="s">
        <v>3914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3539</v>
      </c>
      <c r="B398" t="s">
        <v>3915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3540</v>
      </c>
      <c r="B399" t="s">
        <v>3916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3481</v>
      </c>
      <c r="B400" t="s">
        <v>2334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3482</v>
      </c>
      <c r="B401" t="s">
        <v>2335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3483</v>
      </c>
      <c r="B402" t="s">
        <v>2336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3484</v>
      </c>
      <c r="B403" t="s">
        <v>2337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3485</v>
      </c>
      <c r="B404" t="s">
        <v>2338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3486</v>
      </c>
      <c r="B405" t="s">
        <v>2339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3487</v>
      </c>
      <c r="B406" t="s">
        <v>2340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3488</v>
      </c>
      <c r="B407" t="s">
        <v>2341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3489</v>
      </c>
      <c r="B408" t="s">
        <v>2342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3490</v>
      </c>
      <c r="B409" t="s">
        <v>2343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3491</v>
      </c>
      <c r="B410" t="s">
        <v>2344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3492</v>
      </c>
      <c r="B411" t="s">
        <v>2345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3493</v>
      </c>
      <c r="B412" t="s">
        <v>2346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3494</v>
      </c>
      <c r="B413" t="s">
        <v>2347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3495</v>
      </c>
      <c r="B414" t="s">
        <v>2348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3496</v>
      </c>
      <c r="B415" t="s">
        <v>2349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3497</v>
      </c>
      <c r="B416" t="s">
        <v>2350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3498</v>
      </c>
      <c r="B417" t="s">
        <v>2351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3499</v>
      </c>
      <c r="B418" t="s">
        <v>2352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3500</v>
      </c>
      <c r="B419" t="s">
        <v>2353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3501</v>
      </c>
      <c r="B420" t="s">
        <v>2354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3502</v>
      </c>
      <c r="B421" t="s">
        <v>2355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3503</v>
      </c>
      <c r="B422" t="s">
        <v>2356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3504</v>
      </c>
      <c r="B423" t="s">
        <v>2357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3505</v>
      </c>
      <c r="B424" t="s">
        <v>2358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3506</v>
      </c>
      <c r="B425" t="s">
        <v>2359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3507</v>
      </c>
      <c r="B426" t="s">
        <v>2360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3508</v>
      </c>
      <c r="B427" t="s">
        <v>2361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3509</v>
      </c>
      <c r="B428" t="s">
        <v>2362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3510</v>
      </c>
      <c r="B429" t="s">
        <v>2363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3241</v>
      </c>
      <c r="B430" t="s">
        <v>2364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3242</v>
      </c>
      <c r="B431" t="s">
        <v>2365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3243</v>
      </c>
      <c r="B432" t="s">
        <v>2366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3244</v>
      </c>
      <c r="B433" t="s">
        <v>2367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3245</v>
      </c>
      <c r="B434" t="s">
        <v>2368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3246</v>
      </c>
      <c r="B435" t="s">
        <v>2369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3247</v>
      </c>
      <c r="B436" t="s">
        <v>2370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3248</v>
      </c>
      <c r="B437" t="s">
        <v>2371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3249</v>
      </c>
      <c r="B438" t="s">
        <v>2372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3250</v>
      </c>
      <c r="B439" t="s">
        <v>2373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3251</v>
      </c>
      <c r="B440" t="s">
        <v>2374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3252</v>
      </c>
      <c r="B441" t="s">
        <v>2375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3253</v>
      </c>
      <c r="B442" t="s">
        <v>2376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3254</v>
      </c>
      <c r="B443" t="s">
        <v>2377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3255</v>
      </c>
      <c r="B444" t="s">
        <v>2378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3256</v>
      </c>
      <c r="B445" t="s">
        <v>2379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3257</v>
      </c>
      <c r="B446" t="s">
        <v>2380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3258</v>
      </c>
      <c r="B447" t="s">
        <v>2381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3259</v>
      </c>
      <c r="B448" t="s">
        <v>2382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3260</v>
      </c>
      <c r="B449" t="s">
        <v>2383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3261</v>
      </c>
      <c r="B450" t="s">
        <v>2384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3262</v>
      </c>
      <c r="B451" t="s">
        <v>2385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3263</v>
      </c>
      <c r="B452" t="s">
        <v>2386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3264</v>
      </c>
      <c r="B453" t="s">
        <v>2387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3265</v>
      </c>
      <c r="B454" t="s">
        <v>2388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3266</v>
      </c>
      <c r="B455" t="s">
        <v>2389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3267</v>
      </c>
      <c r="B456" t="s">
        <v>2390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3268</v>
      </c>
      <c r="B457" t="s">
        <v>2391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3269</v>
      </c>
      <c r="B458" t="s">
        <v>2392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3270</v>
      </c>
      <c r="B459" t="s">
        <v>2393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3917</v>
      </c>
      <c r="B460" t="s">
        <v>2394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3918</v>
      </c>
      <c r="B461" t="s">
        <v>2395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3919</v>
      </c>
      <c r="B462" t="s">
        <v>2396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3920</v>
      </c>
      <c r="B463" t="s">
        <v>2397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3921</v>
      </c>
      <c r="B464" t="s">
        <v>2398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3922</v>
      </c>
      <c r="B465" t="s">
        <v>2399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3923</v>
      </c>
      <c r="B466" t="s">
        <v>2400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3924</v>
      </c>
      <c r="B467" t="s">
        <v>2401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3925</v>
      </c>
      <c r="B468" t="s">
        <v>2402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3926</v>
      </c>
      <c r="B469" t="s">
        <v>2403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3927</v>
      </c>
      <c r="B470" t="s">
        <v>2404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3928</v>
      </c>
      <c r="B471" t="s">
        <v>2405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3929</v>
      </c>
      <c r="B472" t="s">
        <v>2406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3930</v>
      </c>
      <c r="B473" t="s">
        <v>2407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3931</v>
      </c>
      <c r="B474" t="s">
        <v>2408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3932</v>
      </c>
      <c r="B475" t="s">
        <v>2409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3933</v>
      </c>
      <c r="B476" t="s">
        <v>2410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3934</v>
      </c>
      <c r="B477" t="s">
        <v>2411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3935</v>
      </c>
      <c r="B478" t="s">
        <v>2412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3936</v>
      </c>
      <c r="B479" t="s">
        <v>2413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3937</v>
      </c>
      <c r="B480" t="s">
        <v>2414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3938</v>
      </c>
      <c r="B481" t="s">
        <v>2415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3939</v>
      </c>
      <c r="B482" t="s">
        <v>2416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3940</v>
      </c>
      <c r="B483" t="s">
        <v>2417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3941</v>
      </c>
      <c r="B484" t="s">
        <v>2418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3942</v>
      </c>
      <c r="B485" t="s">
        <v>2419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3943</v>
      </c>
      <c r="B486" t="s">
        <v>2420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3944</v>
      </c>
      <c r="B487" t="s">
        <v>2421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3945</v>
      </c>
      <c r="B488" t="s">
        <v>2422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3946</v>
      </c>
      <c r="B489" t="s">
        <v>2423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3571</v>
      </c>
      <c r="B490" t="s">
        <v>2424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3572</v>
      </c>
      <c r="B491" t="s">
        <v>2425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3573</v>
      </c>
      <c r="B492" t="s">
        <v>2426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3574</v>
      </c>
      <c r="B493" t="s">
        <v>2427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3575</v>
      </c>
      <c r="B494" t="s">
        <v>2428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3576</v>
      </c>
      <c r="B495" t="s">
        <v>2429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3577</v>
      </c>
      <c r="B496" t="s">
        <v>2430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3578</v>
      </c>
      <c r="B497" t="s">
        <v>2431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3579</v>
      </c>
      <c r="B498" t="s">
        <v>2432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3580</v>
      </c>
      <c r="B499" t="s">
        <v>2433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3581</v>
      </c>
      <c r="B500" t="s">
        <v>2434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3582</v>
      </c>
      <c r="B501" t="s">
        <v>2435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3583</v>
      </c>
      <c r="B502" t="s">
        <v>2436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3584</v>
      </c>
      <c r="B503" t="s">
        <v>2437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3585</v>
      </c>
      <c r="B504" t="s">
        <v>2438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3586</v>
      </c>
      <c r="B505" t="s">
        <v>2439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3587</v>
      </c>
      <c r="B506" t="s">
        <v>2440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3588</v>
      </c>
      <c r="B507" t="s">
        <v>2441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3589</v>
      </c>
      <c r="B508" t="s">
        <v>2442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3590</v>
      </c>
      <c r="B509" t="s">
        <v>2443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3591</v>
      </c>
      <c r="B510" t="s">
        <v>2444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3592</v>
      </c>
      <c r="B511" t="s">
        <v>2445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3593</v>
      </c>
      <c r="B512" t="s">
        <v>2446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3594</v>
      </c>
      <c r="B513" t="s">
        <v>2447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3595</v>
      </c>
      <c r="B514" t="s">
        <v>2448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3596</v>
      </c>
      <c r="B515" t="s">
        <v>2449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3597</v>
      </c>
      <c r="B516" t="s">
        <v>2450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3598</v>
      </c>
      <c r="B517" t="s">
        <v>2451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3599</v>
      </c>
      <c r="B518" t="s">
        <v>2452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3600</v>
      </c>
      <c r="B519" t="s">
        <v>2453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3601</v>
      </c>
      <c r="B520" t="s">
        <v>2454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3602</v>
      </c>
      <c r="B521" t="s">
        <v>2455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3603</v>
      </c>
      <c r="B522" t="s">
        <v>2456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3604</v>
      </c>
      <c r="B523" t="s">
        <v>2457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3605</v>
      </c>
      <c r="B524" t="s">
        <v>2458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3606</v>
      </c>
      <c r="B525" t="s">
        <v>2459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3607</v>
      </c>
      <c r="B526" t="s">
        <v>2460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3608</v>
      </c>
      <c r="B527" t="s">
        <v>2461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3609</v>
      </c>
      <c r="B528" t="s">
        <v>2462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3610</v>
      </c>
      <c r="B529" t="s">
        <v>2463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3611</v>
      </c>
      <c r="B530" t="s">
        <v>2464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3612</v>
      </c>
      <c r="B531" t="s">
        <v>2465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3613</v>
      </c>
      <c r="B532" t="s">
        <v>2466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3614</v>
      </c>
      <c r="B533" t="s">
        <v>2467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3615</v>
      </c>
      <c r="B534" t="s">
        <v>2468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3616</v>
      </c>
      <c r="B535" t="s">
        <v>2469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3617</v>
      </c>
      <c r="B536" t="s">
        <v>2470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3618</v>
      </c>
      <c r="B537" t="s">
        <v>2471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3619</v>
      </c>
      <c r="B538" t="s">
        <v>2472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3620</v>
      </c>
      <c r="B539" t="s">
        <v>2473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3621</v>
      </c>
      <c r="B540" t="s">
        <v>2474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3622</v>
      </c>
      <c r="B541" t="s">
        <v>2475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3623</v>
      </c>
      <c r="B542" t="s">
        <v>2476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3624</v>
      </c>
      <c r="B543" t="s">
        <v>2477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3625</v>
      </c>
      <c r="B544" t="s">
        <v>2478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3626</v>
      </c>
      <c r="B545" t="s">
        <v>2479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3627</v>
      </c>
      <c r="B546" t="s">
        <v>2480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3628</v>
      </c>
      <c r="B547" t="s">
        <v>2481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3629</v>
      </c>
      <c r="B548" t="s">
        <v>2482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3630</v>
      </c>
      <c r="B549" t="s">
        <v>2483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3391</v>
      </c>
      <c r="B550" t="s">
        <v>3951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3392</v>
      </c>
      <c r="B551" t="s">
        <v>3952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3393</v>
      </c>
      <c r="B552" t="s">
        <v>3953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3394</v>
      </c>
      <c r="B553" t="s">
        <v>3954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3395</v>
      </c>
      <c r="B554" t="s">
        <v>3955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3396</v>
      </c>
      <c r="B555" t="s">
        <v>3956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3397</v>
      </c>
      <c r="B556" t="s">
        <v>3957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3398</v>
      </c>
      <c r="B557" t="s">
        <v>3958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3399</v>
      </c>
      <c r="B558" t="s">
        <v>3959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3400</v>
      </c>
      <c r="B559" t="s">
        <v>3960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3401</v>
      </c>
      <c r="B560" t="s">
        <v>3961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3402</v>
      </c>
      <c r="B561" t="s">
        <v>3962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3403</v>
      </c>
      <c r="B562" t="s">
        <v>3963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3404</v>
      </c>
      <c r="B563" t="s">
        <v>3964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3405</v>
      </c>
      <c r="B564" t="s">
        <v>3965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3406</v>
      </c>
      <c r="B565" t="s">
        <v>3966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3407</v>
      </c>
      <c r="B566" t="s">
        <v>3967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3408</v>
      </c>
      <c r="B567" t="s">
        <v>3968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3409</v>
      </c>
      <c r="B568" t="s">
        <v>3969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3410</v>
      </c>
      <c r="B569" t="s">
        <v>3970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3411</v>
      </c>
      <c r="B570" t="s">
        <v>3971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3412</v>
      </c>
      <c r="B571" t="s">
        <v>3972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3413</v>
      </c>
      <c r="B572" t="s">
        <v>3973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3414</v>
      </c>
      <c r="B573" t="s">
        <v>3974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3415</v>
      </c>
      <c r="B574" t="s">
        <v>3975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3416</v>
      </c>
      <c r="B575" t="s">
        <v>3976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3417</v>
      </c>
      <c r="B576" t="s">
        <v>3977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3418</v>
      </c>
      <c r="B577" t="s">
        <v>3978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3419</v>
      </c>
      <c r="B578" t="s">
        <v>3979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3420</v>
      </c>
      <c r="B579" t="s">
        <v>3980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310" customFormat="1" x14ac:dyDescent="0.2">
      <c r="A580" t="s">
        <v>4641</v>
      </c>
      <c r="B580" t="s">
        <v>4642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310" customFormat="1" x14ac:dyDescent="0.2">
      <c r="A581" t="s">
        <v>4643</v>
      </c>
      <c r="B581" t="s">
        <v>4644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310" customFormat="1" x14ac:dyDescent="0.2">
      <c r="A582" t="s">
        <v>4645</v>
      </c>
      <c r="B582" t="s">
        <v>4646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310" customFormat="1" x14ac:dyDescent="0.2">
      <c r="A583" t="s">
        <v>4647</v>
      </c>
      <c r="B583" t="s">
        <v>4648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310" customFormat="1" x14ac:dyDescent="0.2">
      <c r="A584" t="s">
        <v>4649</v>
      </c>
      <c r="B584" t="s">
        <v>4650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310" customFormat="1" x14ac:dyDescent="0.2">
      <c r="A585" t="s">
        <v>4651</v>
      </c>
      <c r="B585" t="s">
        <v>4652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310" customFormat="1" x14ac:dyDescent="0.2">
      <c r="A586" t="s">
        <v>4653</v>
      </c>
      <c r="B586" t="s">
        <v>4654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310" customFormat="1" x14ac:dyDescent="0.2">
      <c r="A587" t="s">
        <v>4655</v>
      </c>
      <c r="B587" t="s">
        <v>4656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310" customFormat="1" x14ac:dyDescent="0.2">
      <c r="A588" t="s">
        <v>4657</v>
      </c>
      <c r="B588" t="s">
        <v>4658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310" customFormat="1" x14ac:dyDescent="0.2">
      <c r="A589" t="s">
        <v>4659</v>
      </c>
      <c r="B589" t="s">
        <v>4660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310" customFormat="1" x14ac:dyDescent="0.2">
      <c r="A590" t="s">
        <v>4661</v>
      </c>
      <c r="B590" t="s">
        <v>4662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310" customFormat="1" x14ac:dyDescent="0.2">
      <c r="A591" t="s">
        <v>4663</v>
      </c>
      <c r="B591" t="s">
        <v>4664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310" customFormat="1" x14ac:dyDescent="0.2">
      <c r="A592" t="s">
        <v>4047</v>
      </c>
      <c r="B592" t="s">
        <v>4349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310" customFormat="1" x14ac:dyDescent="0.2">
      <c r="A593" t="s">
        <v>4665</v>
      </c>
      <c r="B593" t="s">
        <v>5123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310" customFormat="1" x14ac:dyDescent="0.2">
      <c r="A594" t="s">
        <v>4048</v>
      </c>
      <c r="B594" t="s">
        <v>5124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310" customFormat="1" x14ac:dyDescent="0.2">
      <c r="A595" t="s">
        <v>4049</v>
      </c>
      <c r="B595" t="s">
        <v>5125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310" customFormat="1" x14ac:dyDescent="0.2">
      <c r="A596" t="s">
        <v>4050</v>
      </c>
      <c r="B596" t="s">
        <v>5126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310" customFormat="1" x14ac:dyDescent="0.2">
      <c r="A597" t="s">
        <v>4051</v>
      </c>
      <c r="B597" t="s">
        <v>5127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310" customFormat="1" x14ac:dyDescent="0.2">
      <c r="A598" t="s">
        <v>4052</v>
      </c>
      <c r="B598" t="s">
        <v>5128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310" customFormat="1" x14ac:dyDescent="0.2">
      <c r="A599" t="s">
        <v>4053</v>
      </c>
      <c r="B599" t="s">
        <v>5129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310" customFormat="1" x14ac:dyDescent="0.2">
      <c r="A600" t="s">
        <v>4054</v>
      </c>
      <c r="B600" t="s">
        <v>5130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310" customFormat="1" x14ac:dyDescent="0.2">
      <c r="A601" t="s">
        <v>4055</v>
      </c>
      <c r="B601" t="s">
        <v>5131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310" customFormat="1" x14ac:dyDescent="0.2">
      <c r="A602" t="s">
        <v>4056</v>
      </c>
      <c r="B602" t="s">
        <v>5132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310" customFormat="1" x14ac:dyDescent="0.2">
      <c r="A603" t="s">
        <v>4057</v>
      </c>
      <c r="B603" t="s">
        <v>4837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310" customFormat="1" x14ac:dyDescent="0.2">
      <c r="A604" t="s">
        <v>4058</v>
      </c>
      <c r="B604" t="s">
        <v>4838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310" customFormat="1" x14ac:dyDescent="0.2">
      <c r="A605" t="s">
        <v>4059</v>
      </c>
      <c r="B605" t="s">
        <v>4839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310" customFormat="1" x14ac:dyDescent="0.2">
      <c r="A606" t="s">
        <v>4060</v>
      </c>
      <c r="B606" t="s">
        <v>4840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310" customFormat="1" x14ac:dyDescent="0.2">
      <c r="A607" t="s">
        <v>4061</v>
      </c>
      <c r="B607" t="s">
        <v>4841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310" customFormat="1" x14ac:dyDescent="0.2">
      <c r="A608" t="s">
        <v>4062</v>
      </c>
      <c r="B608" t="s">
        <v>4842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310" customFormat="1" x14ac:dyDescent="0.2">
      <c r="A609" t="s">
        <v>4063</v>
      </c>
      <c r="B609" t="s">
        <v>4843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310" customFormat="1" x14ac:dyDescent="0.2">
      <c r="A610" t="s">
        <v>4064</v>
      </c>
      <c r="B610" t="s">
        <v>4844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310" customFormat="1" x14ac:dyDescent="0.2">
      <c r="A611" t="s">
        <v>4065</v>
      </c>
      <c r="B611" t="s">
        <v>4845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310" customFormat="1" x14ac:dyDescent="0.2">
      <c r="A612" t="s">
        <v>4066</v>
      </c>
      <c r="B612" t="s">
        <v>4846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310" customFormat="1" x14ac:dyDescent="0.2">
      <c r="A613" t="s">
        <v>4067</v>
      </c>
      <c r="B613" t="s">
        <v>4350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310" customFormat="1" x14ac:dyDescent="0.2">
      <c r="A614" t="s">
        <v>4068</v>
      </c>
      <c r="B614" t="s">
        <v>4351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310" customFormat="1" x14ac:dyDescent="0.2">
      <c r="A615" t="s">
        <v>4069</v>
      </c>
      <c r="B615" t="s">
        <v>4847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310" customFormat="1" x14ac:dyDescent="0.2">
      <c r="A616" t="s">
        <v>4070</v>
      </c>
      <c r="B616" t="s">
        <v>4848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310" customFormat="1" x14ac:dyDescent="0.2">
      <c r="A617" t="s">
        <v>4071</v>
      </c>
      <c r="B617" t="s">
        <v>4849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310" customFormat="1" x14ac:dyDescent="0.2">
      <c r="A618" t="s">
        <v>4072</v>
      </c>
      <c r="B618" t="s">
        <v>4850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310" customFormat="1" x14ac:dyDescent="0.2">
      <c r="A619" t="s">
        <v>4073</v>
      </c>
      <c r="B619" t="s">
        <v>4851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310" customFormat="1" x14ac:dyDescent="0.2">
      <c r="A620" t="s">
        <v>4074</v>
      </c>
      <c r="B620" t="s">
        <v>4852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310" customFormat="1" x14ac:dyDescent="0.2">
      <c r="A621" t="s">
        <v>4075</v>
      </c>
      <c r="B621" t="s">
        <v>4853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310" customFormat="1" x14ac:dyDescent="0.2">
      <c r="A622" t="s">
        <v>4076</v>
      </c>
      <c r="B622" t="s">
        <v>4854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310" customFormat="1" x14ac:dyDescent="0.2">
      <c r="A623" t="s">
        <v>4077</v>
      </c>
      <c r="B623" t="s">
        <v>4855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310" customFormat="1" x14ac:dyDescent="0.2">
      <c r="A624" t="s">
        <v>4078</v>
      </c>
      <c r="B624" t="s">
        <v>4856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310" customFormat="1" x14ac:dyDescent="0.2">
      <c r="A625" t="s">
        <v>4079</v>
      </c>
      <c r="B625" t="s">
        <v>4352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310" customFormat="1" x14ac:dyDescent="0.2">
      <c r="A626" t="s">
        <v>4080</v>
      </c>
      <c r="B626" t="s">
        <v>4353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310" customFormat="1" x14ac:dyDescent="0.2">
      <c r="A627" t="s">
        <v>4081</v>
      </c>
      <c r="B627" t="s">
        <v>4354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310" customFormat="1" x14ac:dyDescent="0.2">
      <c r="A628" t="s">
        <v>4082</v>
      </c>
      <c r="B628" t="s">
        <v>4355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310" customFormat="1" x14ac:dyDescent="0.2">
      <c r="A629" t="s">
        <v>4083</v>
      </c>
      <c r="B629" t="s">
        <v>4356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310" customFormat="1" x14ac:dyDescent="0.2">
      <c r="A630" t="s">
        <v>4084</v>
      </c>
      <c r="B630" t="s">
        <v>4357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310" customFormat="1" x14ac:dyDescent="0.2">
      <c r="A631" t="s">
        <v>4085</v>
      </c>
      <c r="B631" t="s">
        <v>4358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310" customFormat="1" x14ac:dyDescent="0.2">
      <c r="A632" t="s">
        <v>4086</v>
      </c>
      <c r="B632" t="s">
        <v>4359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310" customFormat="1" x14ac:dyDescent="0.2">
      <c r="A633" t="s">
        <v>4087</v>
      </c>
      <c r="B633" t="s">
        <v>4360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310" customFormat="1" x14ac:dyDescent="0.2">
      <c r="A634" t="s">
        <v>4088</v>
      </c>
      <c r="B634" t="s">
        <v>4361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310" customFormat="1" x14ac:dyDescent="0.2">
      <c r="A635" t="s">
        <v>4089</v>
      </c>
      <c r="B635" t="s">
        <v>4362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310" customFormat="1" x14ac:dyDescent="0.2">
      <c r="A636" t="s">
        <v>4090</v>
      </c>
      <c r="B636" t="s">
        <v>4363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310" customFormat="1" x14ac:dyDescent="0.2">
      <c r="A637" t="s">
        <v>4091</v>
      </c>
      <c r="B637" t="s">
        <v>4857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310" customFormat="1" x14ac:dyDescent="0.2">
      <c r="A638" t="s">
        <v>4092</v>
      </c>
      <c r="B638" t="s">
        <v>4364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310" customFormat="1" x14ac:dyDescent="0.2">
      <c r="A639" t="s">
        <v>4093</v>
      </c>
      <c r="B639" t="s">
        <v>4365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310" customFormat="1" x14ac:dyDescent="0.2">
      <c r="A640" t="s">
        <v>4094</v>
      </c>
      <c r="B640" t="s">
        <v>4366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310" customFormat="1" x14ac:dyDescent="0.2">
      <c r="A641" t="s">
        <v>4095</v>
      </c>
      <c r="B641" t="s">
        <v>4367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310" customFormat="1" x14ac:dyDescent="0.2">
      <c r="A642" t="s">
        <v>4096</v>
      </c>
      <c r="B642" t="s">
        <v>4368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310" customFormat="1" x14ac:dyDescent="0.2">
      <c r="A643" t="s">
        <v>4097</v>
      </c>
      <c r="B643" t="s">
        <v>4369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310" customFormat="1" x14ac:dyDescent="0.2">
      <c r="A644" t="s">
        <v>4098</v>
      </c>
      <c r="B644" t="s">
        <v>4370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310" customFormat="1" x14ac:dyDescent="0.2">
      <c r="A645" t="s">
        <v>4099</v>
      </c>
      <c r="B645" t="s">
        <v>4371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310" customFormat="1" x14ac:dyDescent="0.2">
      <c r="A646" t="s">
        <v>4100</v>
      </c>
      <c r="B646" t="s">
        <v>4372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310" customFormat="1" x14ac:dyDescent="0.2">
      <c r="A647" t="s">
        <v>4101</v>
      </c>
      <c r="B647" t="s">
        <v>4373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310" customFormat="1" x14ac:dyDescent="0.2">
      <c r="A648" t="s">
        <v>4102</v>
      </c>
      <c r="B648" t="s">
        <v>4374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310" customFormat="1" x14ac:dyDescent="0.2">
      <c r="A649" t="s">
        <v>4103</v>
      </c>
      <c r="B649" t="s">
        <v>4375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310" customFormat="1" x14ac:dyDescent="0.2">
      <c r="A650" t="s">
        <v>4104</v>
      </c>
      <c r="B650" t="s">
        <v>4858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310" customFormat="1" x14ac:dyDescent="0.2">
      <c r="A651" t="s">
        <v>4105</v>
      </c>
      <c r="B651" t="s">
        <v>4376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310" customFormat="1" x14ac:dyDescent="0.2">
      <c r="A652" t="s">
        <v>4106</v>
      </c>
      <c r="B652" t="s">
        <v>4377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310" customFormat="1" x14ac:dyDescent="0.2">
      <c r="A653" t="s">
        <v>4107</v>
      </c>
      <c r="B653" t="s">
        <v>4378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310" customFormat="1" x14ac:dyDescent="0.2">
      <c r="A654" t="s">
        <v>4108</v>
      </c>
      <c r="B654" t="s">
        <v>4379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310" customFormat="1" x14ac:dyDescent="0.2">
      <c r="A655" t="s">
        <v>4109</v>
      </c>
      <c r="B655" t="s">
        <v>4380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310" customFormat="1" x14ac:dyDescent="0.2">
      <c r="A656" t="s">
        <v>4110</v>
      </c>
      <c r="B656" t="s">
        <v>4381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310" customFormat="1" x14ac:dyDescent="0.2">
      <c r="A657" t="s">
        <v>4111</v>
      </c>
      <c r="B657" t="s">
        <v>4382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310" customFormat="1" x14ac:dyDescent="0.2">
      <c r="A658" t="s">
        <v>4112</v>
      </c>
      <c r="B658" t="s">
        <v>4383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310" customFormat="1" x14ac:dyDescent="0.2">
      <c r="A659" t="s">
        <v>4113</v>
      </c>
      <c r="B659" t="s">
        <v>4384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310" customFormat="1" x14ac:dyDescent="0.2">
      <c r="A660" t="s">
        <v>4114</v>
      </c>
      <c r="B660" t="s">
        <v>4385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310" customFormat="1" x14ac:dyDescent="0.2">
      <c r="A661" t="s">
        <v>4115</v>
      </c>
      <c r="B661" t="s">
        <v>4386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310" customFormat="1" x14ac:dyDescent="0.2">
      <c r="A662" t="s">
        <v>4116</v>
      </c>
      <c r="B662" t="s">
        <v>4387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310" customFormat="1" x14ac:dyDescent="0.2">
      <c r="A663" t="s">
        <v>4117</v>
      </c>
      <c r="B663" t="s">
        <v>4388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310" customFormat="1" x14ac:dyDescent="0.2">
      <c r="A664" t="s">
        <v>4118</v>
      </c>
      <c r="B664" t="s">
        <v>4389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310" customFormat="1" x14ac:dyDescent="0.2">
      <c r="A665" t="s">
        <v>4119</v>
      </c>
      <c r="B665" t="s">
        <v>5134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310" customFormat="1" x14ac:dyDescent="0.2">
      <c r="A666" t="s">
        <v>4120</v>
      </c>
      <c r="B666" t="s">
        <v>4390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310" customFormat="1" x14ac:dyDescent="0.2">
      <c r="A667" t="s">
        <v>4121</v>
      </c>
      <c r="B667" t="s">
        <v>4391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310" customFormat="1" x14ac:dyDescent="0.2">
      <c r="A668" t="s">
        <v>4122</v>
      </c>
      <c r="B668" t="s">
        <v>4392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310" customFormat="1" x14ac:dyDescent="0.2">
      <c r="A669" t="s">
        <v>4123</v>
      </c>
      <c r="B669" t="s">
        <v>4393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310" customFormat="1" x14ac:dyDescent="0.2">
      <c r="A670" t="s">
        <v>4124</v>
      </c>
      <c r="B670" t="s">
        <v>4394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310" customFormat="1" x14ac:dyDescent="0.2">
      <c r="A671" t="s">
        <v>4125</v>
      </c>
      <c r="B671" t="s">
        <v>4395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310" customFormat="1" x14ac:dyDescent="0.2">
      <c r="A672" t="s">
        <v>4126</v>
      </c>
      <c r="B672" t="s">
        <v>4396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310" customFormat="1" x14ac:dyDescent="0.2">
      <c r="A673" t="s">
        <v>4666</v>
      </c>
      <c r="B673" t="s">
        <v>4397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310" customFormat="1" x14ac:dyDescent="0.2">
      <c r="A674" t="s">
        <v>4667</v>
      </c>
      <c r="B674" t="s">
        <v>4398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310" customFormat="1" x14ac:dyDescent="0.2">
      <c r="A675" t="s">
        <v>4127</v>
      </c>
      <c r="B675" t="s">
        <v>4399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310" customFormat="1" x14ac:dyDescent="0.2">
      <c r="A676" t="s">
        <v>4128</v>
      </c>
      <c r="B676" t="s">
        <v>4400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310" customFormat="1" x14ac:dyDescent="0.2">
      <c r="A677" t="s">
        <v>4129</v>
      </c>
      <c r="B677" t="s">
        <v>4401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310" customFormat="1" x14ac:dyDescent="0.2">
      <c r="A678" t="s">
        <v>4130</v>
      </c>
      <c r="B678" t="s">
        <v>4402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310" customFormat="1" x14ac:dyDescent="0.2">
      <c r="A679" t="s">
        <v>4131</v>
      </c>
      <c r="B679" t="s">
        <v>4403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310" customFormat="1" x14ac:dyDescent="0.2">
      <c r="A680" t="s">
        <v>4132</v>
      </c>
      <c r="B680" t="s">
        <v>4404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310" customFormat="1" x14ac:dyDescent="0.2">
      <c r="A681" t="s">
        <v>4133</v>
      </c>
      <c r="B681" t="s">
        <v>4405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310" customFormat="1" x14ac:dyDescent="0.2">
      <c r="A682" t="s">
        <v>4134</v>
      </c>
      <c r="B682" t="s">
        <v>4406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310" customFormat="1" x14ac:dyDescent="0.2">
      <c r="A683" t="s">
        <v>4135</v>
      </c>
      <c r="B683" t="s">
        <v>4407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310" customFormat="1" x14ac:dyDescent="0.2">
      <c r="A684" t="s">
        <v>4136</v>
      </c>
      <c r="B684" t="s">
        <v>4408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310" customFormat="1" x14ac:dyDescent="0.2">
      <c r="A685" t="s">
        <v>4137</v>
      </c>
      <c r="B685" t="s">
        <v>4409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310" customFormat="1" x14ac:dyDescent="0.2">
      <c r="A686" t="s">
        <v>4138</v>
      </c>
      <c r="B686" t="s">
        <v>4410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310" customFormat="1" x14ac:dyDescent="0.2">
      <c r="A687" t="s">
        <v>4139</v>
      </c>
      <c r="B687" t="s">
        <v>4411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310" customFormat="1" x14ac:dyDescent="0.2">
      <c r="A688" t="s">
        <v>4140</v>
      </c>
      <c r="B688" t="s">
        <v>4412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310" customFormat="1" x14ac:dyDescent="0.2">
      <c r="A689" t="s">
        <v>4141</v>
      </c>
      <c r="B689" t="s">
        <v>4413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310" customFormat="1" x14ac:dyDescent="0.2">
      <c r="A690" t="s">
        <v>4142</v>
      </c>
      <c r="B690" t="s">
        <v>4414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310" customFormat="1" x14ac:dyDescent="0.2">
      <c r="A691" t="s">
        <v>4143</v>
      </c>
      <c r="B691" t="s">
        <v>4415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310" customFormat="1" x14ac:dyDescent="0.2">
      <c r="A692" t="s">
        <v>4144</v>
      </c>
      <c r="B692" t="s">
        <v>4416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310" customFormat="1" x14ac:dyDescent="0.2">
      <c r="A693" t="s">
        <v>4145</v>
      </c>
      <c r="B693" t="s">
        <v>4417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310" customFormat="1" x14ac:dyDescent="0.2">
      <c r="A694" t="s">
        <v>4146</v>
      </c>
      <c r="B694" t="s">
        <v>4418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310" customFormat="1" x14ac:dyDescent="0.2">
      <c r="A695" t="s">
        <v>4147</v>
      </c>
      <c r="B695" t="s">
        <v>4419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310" customFormat="1" x14ac:dyDescent="0.2">
      <c r="A696" t="s">
        <v>4148</v>
      </c>
      <c r="B696" t="s">
        <v>4420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4859</v>
      </c>
      <c r="B697" t="s">
        <v>4421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4860</v>
      </c>
      <c r="B698" t="s">
        <v>4422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4861</v>
      </c>
      <c r="B699" t="s">
        <v>4423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4862</v>
      </c>
      <c r="B700" t="s">
        <v>4424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4863</v>
      </c>
      <c r="B701" t="s">
        <v>4425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5135</v>
      </c>
      <c r="B702" t="s">
        <v>4426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1289</v>
      </c>
      <c r="B703" t="s">
        <v>1768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1290</v>
      </c>
      <c r="B704" t="s">
        <v>1769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1291</v>
      </c>
      <c r="B705" t="s">
        <v>1770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1292</v>
      </c>
      <c r="B706" t="s">
        <v>1771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1293</v>
      </c>
      <c r="B707" t="s">
        <v>1772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1294</v>
      </c>
      <c r="B708" t="s">
        <v>1773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1295</v>
      </c>
      <c r="B709" t="s">
        <v>1774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1296</v>
      </c>
      <c r="B710" t="s">
        <v>1775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1297</v>
      </c>
      <c r="B711" t="s">
        <v>1776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1298</v>
      </c>
      <c r="B712" t="s">
        <v>1777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1299</v>
      </c>
      <c r="B713" t="s">
        <v>1778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1300</v>
      </c>
      <c r="B714" t="s">
        <v>1779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1301</v>
      </c>
      <c r="B715" t="s">
        <v>1780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1302</v>
      </c>
      <c r="B716" t="s">
        <v>1781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1303</v>
      </c>
      <c r="B717" t="s">
        <v>1782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1304</v>
      </c>
      <c r="B718" t="s">
        <v>1783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1305</v>
      </c>
      <c r="B719" t="s">
        <v>1784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1306</v>
      </c>
      <c r="B720" t="s">
        <v>1785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1307</v>
      </c>
      <c r="B721" t="s">
        <v>1786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1308</v>
      </c>
      <c r="B722" t="s">
        <v>1787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1309</v>
      </c>
      <c r="B723" t="s">
        <v>1788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1310</v>
      </c>
      <c r="B724" t="s">
        <v>1789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1311</v>
      </c>
      <c r="B725" t="s">
        <v>1790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1312</v>
      </c>
      <c r="B726" t="s">
        <v>1791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1313</v>
      </c>
      <c r="B727" t="s">
        <v>1792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1314</v>
      </c>
      <c r="B728" t="s">
        <v>1793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1315</v>
      </c>
      <c r="B729" t="s">
        <v>1794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1316</v>
      </c>
      <c r="B730" t="s">
        <v>1795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1317</v>
      </c>
      <c r="B731" t="s">
        <v>1796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1318</v>
      </c>
      <c r="B732" t="s">
        <v>1797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1319</v>
      </c>
      <c r="B733" t="s">
        <v>1798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1320</v>
      </c>
      <c r="B734" t="s">
        <v>1799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1321</v>
      </c>
      <c r="B735" t="s">
        <v>1800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1322</v>
      </c>
      <c r="B736" t="s">
        <v>1801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1323</v>
      </c>
      <c r="B737" t="s">
        <v>1802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1324</v>
      </c>
      <c r="B738" t="s">
        <v>1803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1325</v>
      </c>
      <c r="B739" t="s">
        <v>1804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1326</v>
      </c>
      <c r="B740" t="s">
        <v>1805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1327</v>
      </c>
      <c r="B741" t="s">
        <v>1806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1328</v>
      </c>
      <c r="B742" t="s">
        <v>1807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1329</v>
      </c>
      <c r="B743" t="s">
        <v>1808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1330</v>
      </c>
      <c r="B744" t="s">
        <v>1809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1331</v>
      </c>
      <c r="B745" t="s">
        <v>1810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1332</v>
      </c>
      <c r="B746" t="s">
        <v>1811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1333</v>
      </c>
      <c r="B747" t="s">
        <v>1812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1334</v>
      </c>
      <c r="B748" t="s">
        <v>1813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1335</v>
      </c>
      <c r="B749" t="s">
        <v>1814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1336</v>
      </c>
      <c r="B750" t="s">
        <v>1815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1337</v>
      </c>
      <c r="B751" t="s">
        <v>1816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1338</v>
      </c>
      <c r="B752" t="s">
        <v>1817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1339</v>
      </c>
      <c r="B753" t="s">
        <v>1818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1340</v>
      </c>
      <c r="B754" t="s">
        <v>1819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1341</v>
      </c>
      <c r="B755" t="s">
        <v>1820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1342</v>
      </c>
      <c r="B756" t="s">
        <v>1821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1343</v>
      </c>
      <c r="B757" t="s">
        <v>1822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1344</v>
      </c>
      <c r="B758" t="s">
        <v>1823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1345</v>
      </c>
      <c r="B759" t="s">
        <v>1824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1346</v>
      </c>
      <c r="B760" t="s">
        <v>1825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1347</v>
      </c>
      <c r="B761" t="s">
        <v>1826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1348</v>
      </c>
      <c r="B762" t="s">
        <v>1827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1349</v>
      </c>
      <c r="B763" t="s">
        <v>1828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1350</v>
      </c>
      <c r="B764" t="s">
        <v>1829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1351</v>
      </c>
      <c r="B765" t="s">
        <v>1830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1352</v>
      </c>
      <c r="B766" t="s">
        <v>1831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1353</v>
      </c>
      <c r="B767" t="s">
        <v>1832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1354</v>
      </c>
      <c r="B768" t="s">
        <v>1833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1355</v>
      </c>
      <c r="B769" t="s">
        <v>1834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1356</v>
      </c>
      <c r="B770" t="s">
        <v>1835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1357</v>
      </c>
      <c r="B771" t="s">
        <v>1836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1358</v>
      </c>
      <c r="B772" t="s">
        <v>1837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1359</v>
      </c>
      <c r="B773" t="s">
        <v>1838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1360</v>
      </c>
      <c r="B774" t="s">
        <v>1839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1361</v>
      </c>
      <c r="B775" t="s">
        <v>1840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1362</v>
      </c>
      <c r="B776" t="s">
        <v>1841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1363</v>
      </c>
      <c r="B777" t="s">
        <v>1842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1364</v>
      </c>
      <c r="B778" t="s">
        <v>1843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1365</v>
      </c>
      <c r="B779" t="s">
        <v>1844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1366</v>
      </c>
      <c r="B780" t="s">
        <v>1845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1367</v>
      </c>
      <c r="B781" t="s">
        <v>1846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1368</v>
      </c>
      <c r="B782" t="s">
        <v>1847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1369</v>
      </c>
      <c r="B783" t="s">
        <v>1848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1370</v>
      </c>
      <c r="B784" t="s">
        <v>1849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1371</v>
      </c>
      <c r="B785" t="s">
        <v>1850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1372</v>
      </c>
      <c r="B786" t="s">
        <v>1851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1373</v>
      </c>
      <c r="B787" t="s">
        <v>1852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1374</v>
      </c>
      <c r="B788" t="s">
        <v>1853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1288</v>
      </c>
      <c r="B789" t="s">
        <v>1767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1375</v>
      </c>
      <c r="B790" t="s">
        <v>1854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1376</v>
      </c>
      <c r="B791" t="s">
        <v>1855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1377</v>
      </c>
      <c r="B792" t="s">
        <v>1856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1378</v>
      </c>
      <c r="B793" t="s">
        <v>1857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1379</v>
      </c>
      <c r="B794" t="s">
        <v>1858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1380</v>
      </c>
      <c r="B795" t="s">
        <v>1859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1381</v>
      </c>
      <c r="B796" t="s">
        <v>1860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1382</v>
      </c>
      <c r="B797" t="s">
        <v>1861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1383</v>
      </c>
      <c r="B798" t="s">
        <v>1862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1384</v>
      </c>
      <c r="B799" t="s">
        <v>1863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1385</v>
      </c>
      <c r="B800" t="s">
        <v>1864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1386</v>
      </c>
      <c r="B801" t="s">
        <v>1865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1387</v>
      </c>
      <c r="B802" t="s">
        <v>1866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1388</v>
      </c>
      <c r="B803" t="s">
        <v>1867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1389</v>
      </c>
      <c r="B804" t="s">
        <v>1868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1390</v>
      </c>
      <c r="B805" t="s">
        <v>1869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1391</v>
      </c>
      <c r="B806" t="s">
        <v>1870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1392</v>
      </c>
      <c r="B807" t="s">
        <v>1871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1393</v>
      </c>
      <c r="B808" t="s">
        <v>1872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1394</v>
      </c>
      <c r="B809" t="s">
        <v>1873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1395</v>
      </c>
      <c r="B810" t="s">
        <v>1874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1396</v>
      </c>
      <c r="B811" t="s">
        <v>1875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310" customFormat="1" x14ac:dyDescent="0.2">
      <c r="A812" t="s">
        <v>1397</v>
      </c>
      <c r="B812" t="s">
        <v>1876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310" customFormat="1" x14ac:dyDescent="0.2">
      <c r="A813" t="s">
        <v>1398</v>
      </c>
      <c r="B813" t="s">
        <v>1877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310" customFormat="1" x14ac:dyDescent="0.2">
      <c r="A814" t="s">
        <v>1399</v>
      </c>
      <c r="B814" t="s">
        <v>1878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310" customFormat="1" x14ac:dyDescent="0.2">
      <c r="A815" t="s">
        <v>1095</v>
      </c>
      <c r="B815" t="s">
        <v>1879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310" customFormat="1" x14ac:dyDescent="0.2">
      <c r="A816" t="s">
        <v>1288</v>
      </c>
      <c r="B816" t="s">
        <v>1880</v>
      </c>
      <c r="C816"/>
      <c r="D816" t="b">
        <f>IFERROR(VLOOKUP(B816,PatData!$A$2:$A$2000,1,),"")&lt;&gt;""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310" customFormat="1" x14ac:dyDescent="0.2">
      <c r="A817" t="s">
        <v>1095</v>
      </c>
      <c r="B817" t="s">
        <v>1755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310" customFormat="1" x14ac:dyDescent="0.2">
      <c r="A818" t="s">
        <v>4149</v>
      </c>
      <c r="B818" t="s">
        <v>4427</v>
      </c>
      <c r="C818"/>
      <c r="D818" t="b">
        <f>IFERROR(VLOOKUP(B818,PatData!$A$2:$A$2000,1,),"")&lt;&gt;""</f>
        <v>1</v>
      </c>
      <c r="E818">
        <v>10</v>
      </c>
      <c r="F818" t="b">
        <v>0</v>
      </c>
      <c r="G818" t="b">
        <v>1</v>
      </c>
      <c r="H818" t="b">
        <v>1</v>
      </c>
      <c r="I818" t="b">
        <v>0</v>
      </c>
    </row>
    <row r="819" spans="1:9" s="310" customFormat="1" x14ac:dyDescent="0.2">
      <c r="A819" t="s">
        <v>4668</v>
      </c>
      <c r="B819" t="s">
        <v>4864</v>
      </c>
      <c r="C819"/>
      <c r="D819" t="b">
        <f>IFERROR(VLOOKUP(B819,PatData!$A$2:$A$2000,1,),"")&lt;&gt;""</f>
        <v>1</v>
      </c>
      <c r="E819">
        <v>3</v>
      </c>
      <c r="F819" t="b">
        <v>0</v>
      </c>
      <c r="G819" t="b">
        <v>1</v>
      </c>
      <c r="H819" t="b">
        <v>1</v>
      </c>
      <c r="I819" t="b">
        <v>0</v>
      </c>
    </row>
    <row r="820" spans="1:9" s="310" customFormat="1" x14ac:dyDescent="0.2">
      <c r="A820" t="s">
        <v>4150</v>
      </c>
      <c r="B820" t="s">
        <v>4865</v>
      </c>
      <c r="C820"/>
      <c r="D820" t="b">
        <f>IFERROR(VLOOKUP(B820,PatData!$A$2:$A$2000,1,),"")&lt;&gt;""</f>
        <v>1</v>
      </c>
      <c r="E820">
        <v>6</v>
      </c>
      <c r="F820" t="b">
        <v>0</v>
      </c>
      <c r="G820" t="b">
        <v>1</v>
      </c>
      <c r="H820" t="b">
        <v>1</v>
      </c>
      <c r="I820" t="b">
        <v>0</v>
      </c>
    </row>
    <row r="821" spans="1:9" s="310" customFormat="1" x14ac:dyDescent="0.2">
      <c r="A821" t="s">
        <v>4151</v>
      </c>
      <c r="B821" t="s">
        <v>4866</v>
      </c>
      <c r="C821"/>
      <c r="D821" t="b">
        <f>IFERROR(VLOOKUP(B821,PatData!$A$2:$A$2000,1,),"")&lt;&gt;""</f>
        <v>1</v>
      </c>
      <c r="E821">
        <v>8</v>
      </c>
      <c r="F821" t="b">
        <v>0</v>
      </c>
      <c r="G821" t="b">
        <v>1</v>
      </c>
      <c r="H821" t="b">
        <v>1</v>
      </c>
      <c r="I821" t="b">
        <v>0</v>
      </c>
    </row>
    <row r="822" spans="1:9" s="310" customFormat="1" x14ac:dyDescent="0.2">
      <c r="A822" t="s">
        <v>4152</v>
      </c>
      <c r="B822" t="s">
        <v>4867</v>
      </c>
      <c r="C822"/>
      <c r="D822" t="b">
        <f>IFERROR(VLOOKUP(B822,PatData!$A$2:$A$2000,1,),"")&lt;&gt;""</f>
        <v>1</v>
      </c>
      <c r="E822">
        <v>13</v>
      </c>
      <c r="F822" t="b">
        <v>0</v>
      </c>
      <c r="G822" t="b">
        <v>1</v>
      </c>
      <c r="H822" t="b">
        <v>1</v>
      </c>
      <c r="I822" t="b">
        <v>0</v>
      </c>
    </row>
    <row r="823" spans="1:9" s="310" customFormat="1" x14ac:dyDescent="0.2">
      <c r="A823" t="s">
        <v>4153</v>
      </c>
      <c r="B823" t="s">
        <v>4868</v>
      </c>
      <c r="C823"/>
      <c r="D823" t="b">
        <f>IFERROR(VLOOKUP(B823,PatData!$A$2:$A$2000,1,),"")&lt;&gt;""</f>
        <v>1</v>
      </c>
      <c r="E823">
        <v>15</v>
      </c>
      <c r="F823" t="b">
        <v>0</v>
      </c>
      <c r="G823" t="b">
        <v>1</v>
      </c>
      <c r="H823" t="b">
        <v>1</v>
      </c>
      <c r="I823" t="b">
        <v>0</v>
      </c>
    </row>
    <row r="824" spans="1:9" s="310" customFormat="1" x14ac:dyDescent="0.2">
      <c r="A824" t="s">
        <v>4154</v>
      </c>
      <c r="B824" t="s">
        <v>4869</v>
      </c>
      <c r="C824"/>
      <c r="D824" t="b">
        <f>IFERROR(VLOOKUP(B824,PatData!$A$2:$A$2000,1,),"")&lt;&gt;""</f>
        <v>1</v>
      </c>
      <c r="E824">
        <v>17</v>
      </c>
      <c r="F824" t="b">
        <v>0</v>
      </c>
      <c r="G824" t="b">
        <v>1</v>
      </c>
      <c r="H824" t="b">
        <v>1</v>
      </c>
      <c r="I824" t="b">
        <v>0</v>
      </c>
    </row>
    <row r="825" spans="1:9" s="310" customFormat="1" x14ac:dyDescent="0.2">
      <c r="A825" t="s">
        <v>4155</v>
      </c>
      <c r="B825" t="s">
        <v>4870</v>
      </c>
      <c r="C825"/>
      <c r="D825" t="b">
        <f>IFERROR(VLOOKUP(B825,PatData!$A$2:$A$2000,1,),"")&lt;&gt;""</f>
        <v>1</v>
      </c>
      <c r="E825">
        <v>19</v>
      </c>
      <c r="F825" t="b">
        <v>0</v>
      </c>
      <c r="G825" t="b">
        <v>1</v>
      </c>
      <c r="H825" t="b">
        <v>1</v>
      </c>
      <c r="I825" t="b">
        <v>0</v>
      </c>
    </row>
    <row r="826" spans="1:9" s="310" customFormat="1" x14ac:dyDescent="0.2">
      <c r="A826" t="s">
        <v>4156</v>
      </c>
      <c r="B826" t="s">
        <v>4871</v>
      </c>
      <c r="C826"/>
      <c r="D826" t="b">
        <f>IFERROR(VLOOKUP(B826,PatData!$A$2:$A$2000,1,),"")&lt;&gt;""</f>
        <v>1</v>
      </c>
      <c r="E826">
        <v>21</v>
      </c>
      <c r="F826" t="b">
        <v>0</v>
      </c>
      <c r="G826" t="b">
        <v>1</v>
      </c>
      <c r="H826" t="b">
        <v>1</v>
      </c>
      <c r="I826" t="b">
        <v>0</v>
      </c>
    </row>
    <row r="827" spans="1:9" s="310" customFormat="1" x14ac:dyDescent="0.2">
      <c r="A827" t="s">
        <v>4157</v>
      </c>
      <c r="B827" t="s">
        <v>4872</v>
      </c>
      <c r="C827"/>
      <c r="D827" t="b">
        <f>IFERROR(VLOOKUP(B827,PatData!$A$2:$A$2000,1,),"")&lt;&gt;""</f>
        <v>1</v>
      </c>
      <c r="E827">
        <v>22</v>
      </c>
      <c r="F827" t="b">
        <v>0</v>
      </c>
      <c r="G827" t="b">
        <v>1</v>
      </c>
      <c r="H827" t="b">
        <v>1</v>
      </c>
      <c r="I827" t="b">
        <v>0</v>
      </c>
    </row>
    <row r="828" spans="1:9" s="310" customFormat="1" x14ac:dyDescent="0.2">
      <c r="A828" t="s">
        <v>4158</v>
      </c>
      <c r="B828" t="s">
        <v>4873</v>
      </c>
      <c r="C828"/>
      <c r="D828" t="b">
        <f>IFERROR(VLOOKUP(B828,PatData!$A$2:$A$2000,1,),"")&lt;&gt;""</f>
        <v>1</v>
      </c>
      <c r="E828">
        <v>23</v>
      </c>
      <c r="F828" t="b">
        <v>0</v>
      </c>
      <c r="G828" t="b">
        <v>1</v>
      </c>
      <c r="H828" t="b">
        <v>1</v>
      </c>
      <c r="I828" t="b">
        <v>0</v>
      </c>
    </row>
    <row r="829" spans="1:9" s="310" customFormat="1" x14ac:dyDescent="0.2">
      <c r="A829" t="s">
        <v>4159</v>
      </c>
      <c r="B829" t="s">
        <v>4874</v>
      </c>
      <c r="C829"/>
      <c r="D829" t="b">
        <f>IFERROR(VLOOKUP(B829,PatData!$A$2:$A$2000,1,),"")&lt;&gt;""</f>
        <v>1</v>
      </c>
      <c r="E829">
        <v>10</v>
      </c>
      <c r="F829" t="b">
        <v>0</v>
      </c>
      <c r="G829" t="b">
        <v>1</v>
      </c>
      <c r="H829" t="b">
        <v>1</v>
      </c>
      <c r="I829" t="b">
        <v>0</v>
      </c>
    </row>
    <row r="830" spans="1:9" s="310" customFormat="1" x14ac:dyDescent="0.2">
      <c r="A830" t="s">
        <v>4160</v>
      </c>
      <c r="B830" t="s">
        <v>4875</v>
      </c>
      <c r="C830"/>
      <c r="D830" t="b">
        <f>IFERROR(VLOOKUP(B830,PatData!$A$2:$A$2000,1,),"")&lt;&gt;""</f>
        <v>1</v>
      </c>
      <c r="E830">
        <v>10</v>
      </c>
      <c r="F830" t="b">
        <v>0</v>
      </c>
      <c r="G830" t="b">
        <v>1</v>
      </c>
      <c r="H830" t="b">
        <v>1</v>
      </c>
      <c r="I830" t="b">
        <v>0</v>
      </c>
    </row>
    <row r="831" spans="1:9" s="310" customFormat="1" x14ac:dyDescent="0.2">
      <c r="A831" t="s">
        <v>4161</v>
      </c>
      <c r="B831" t="s">
        <v>4876</v>
      </c>
      <c r="C831"/>
      <c r="D831" t="b">
        <f>IFERROR(VLOOKUP(B831,PatData!$A$2:$A$2000,1,),"")&lt;&gt;""</f>
        <v>1</v>
      </c>
      <c r="E831">
        <v>10</v>
      </c>
      <c r="F831" t="b">
        <v>0</v>
      </c>
      <c r="G831" t="b">
        <v>1</v>
      </c>
      <c r="H831" t="b">
        <v>1</v>
      </c>
      <c r="I831" t="b">
        <v>0</v>
      </c>
    </row>
    <row r="832" spans="1:9" s="310" customFormat="1" x14ac:dyDescent="0.2">
      <c r="A832" t="s">
        <v>4162</v>
      </c>
      <c r="B832" t="s">
        <v>4877</v>
      </c>
      <c r="C832"/>
      <c r="D832" t="b">
        <f>IFERROR(VLOOKUP(B832,PatData!$A$2:$A$2000,1,),"")&lt;&gt;""</f>
        <v>1</v>
      </c>
      <c r="E832">
        <v>10</v>
      </c>
      <c r="F832" t="b">
        <v>0</v>
      </c>
      <c r="G832" t="b">
        <v>1</v>
      </c>
      <c r="H832" t="b">
        <v>1</v>
      </c>
      <c r="I832" t="b">
        <v>0</v>
      </c>
    </row>
    <row r="833" spans="1:9" s="310" customFormat="1" x14ac:dyDescent="0.2">
      <c r="A833" t="s">
        <v>4163</v>
      </c>
      <c r="B833" t="s">
        <v>4878</v>
      </c>
      <c r="C833"/>
      <c r="D833" t="b">
        <f>IFERROR(VLOOKUP(B833,PatData!$A$2:$A$2000,1,),"")&lt;&gt;""</f>
        <v>1</v>
      </c>
      <c r="E833">
        <v>10</v>
      </c>
      <c r="F833" t="b">
        <v>0</v>
      </c>
      <c r="G833" t="b">
        <v>1</v>
      </c>
      <c r="H833" t="b">
        <v>1</v>
      </c>
      <c r="I833" t="b">
        <v>0</v>
      </c>
    </row>
    <row r="834" spans="1:9" s="310" customFormat="1" x14ac:dyDescent="0.2">
      <c r="A834" t="s">
        <v>4164</v>
      </c>
      <c r="B834" t="s">
        <v>4879</v>
      </c>
      <c r="C834"/>
      <c r="D834" t="b">
        <f>IFERROR(VLOOKUP(B834,PatData!$A$2:$A$2000,1,),"")&lt;&gt;""</f>
        <v>1</v>
      </c>
      <c r="E834">
        <v>10</v>
      </c>
      <c r="F834" t="b">
        <v>0</v>
      </c>
      <c r="G834" t="b">
        <v>1</v>
      </c>
      <c r="H834" t="b">
        <v>1</v>
      </c>
      <c r="I834" t="b">
        <v>0</v>
      </c>
    </row>
    <row r="835" spans="1:9" s="310" customFormat="1" x14ac:dyDescent="0.2">
      <c r="A835" t="s">
        <v>4165</v>
      </c>
      <c r="B835" t="s">
        <v>4880</v>
      </c>
      <c r="C835"/>
      <c r="D835" t="b">
        <f>IFERROR(VLOOKUP(B835,PatData!$A$2:$A$2000,1,),"")&lt;&gt;""</f>
        <v>1</v>
      </c>
      <c r="E835">
        <v>10</v>
      </c>
      <c r="F835" t="b">
        <v>0</v>
      </c>
      <c r="G835" t="b">
        <v>1</v>
      </c>
      <c r="H835" t="b">
        <v>1</v>
      </c>
      <c r="I835" t="b">
        <v>0</v>
      </c>
    </row>
    <row r="836" spans="1:9" s="310" customFormat="1" x14ac:dyDescent="0.2">
      <c r="A836" t="s">
        <v>4166</v>
      </c>
      <c r="B836" t="s">
        <v>4881</v>
      </c>
      <c r="C836"/>
      <c r="D836" t="b">
        <f>IFERROR(VLOOKUP(B836,PatData!$A$2:$A$2000,1,),"")&lt;&gt;""</f>
        <v>1</v>
      </c>
      <c r="E836">
        <v>10</v>
      </c>
      <c r="F836" t="b">
        <v>0</v>
      </c>
      <c r="G836" t="b">
        <v>1</v>
      </c>
      <c r="H836" t="b">
        <v>1</v>
      </c>
      <c r="I836" t="b">
        <v>0</v>
      </c>
    </row>
    <row r="837" spans="1:9" s="310" customFormat="1" x14ac:dyDescent="0.2">
      <c r="A837" t="s">
        <v>4167</v>
      </c>
      <c r="B837" t="s">
        <v>4882</v>
      </c>
      <c r="C837"/>
      <c r="D837" t="b">
        <f>IFERROR(VLOOKUP(B837,PatData!$A$2:$A$2000,1,),"")&lt;&gt;""</f>
        <v>1</v>
      </c>
      <c r="E837">
        <v>10</v>
      </c>
      <c r="F837" t="b">
        <v>0</v>
      </c>
      <c r="G837" t="b">
        <v>1</v>
      </c>
      <c r="H837" t="b">
        <v>1</v>
      </c>
      <c r="I837" t="b">
        <v>0</v>
      </c>
    </row>
    <row r="838" spans="1:9" s="310" customFormat="1" x14ac:dyDescent="0.2">
      <c r="A838" t="s">
        <v>4168</v>
      </c>
      <c r="B838" t="s">
        <v>4883</v>
      </c>
      <c r="C838"/>
      <c r="D838" t="b">
        <f>IFERROR(VLOOKUP(B838,PatData!$A$2:$A$2000,1,),"")&lt;&gt;""</f>
        <v>1</v>
      </c>
      <c r="E838">
        <v>10</v>
      </c>
      <c r="F838" t="b">
        <v>0</v>
      </c>
      <c r="G838" t="b">
        <v>1</v>
      </c>
      <c r="H838" t="b">
        <v>1</v>
      </c>
      <c r="I838" t="b">
        <v>0</v>
      </c>
    </row>
    <row r="839" spans="1:9" s="310" customFormat="1" x14ac:dyDescent="0.2">
      <c r="A839" t="s">
        <v>4169</v>
      </c>
      <c r="B839" t="s">
        <v>4428</v>
      </c>
      <c r="C839"/>
      <c r="D839" t="b">
        <f>IFERROR(VLOOKUP(B839,PatData!$A$2:$A$2000,1,),"")&lt;&gt;""</f>
        <v>1</v>
      </c>
      <c r="E839" t="s">
        <v>5145</v>
      </c>
      <c r="F839" t="b">
        <v>0</v>
      </c>
      <c r="G839" t="b">
        <v>1</v>
      </c>
      <c r="H839" t="b">
        <v>1</v>
      </c>
      <c r="I839" t="b">
        <v>0</v>
      </c>
    </row>
    <row r="840" spans="1:9" s="310" customFormat="1" x14ac:dyDescent="0.2">
      <c r="A840" t="s">
        <v>4170</v>
      </c>
      <c r="B840" t="s">
        <v>4429</v>
      </c>
      <c r="C840"/>
      <c r="D840" t="b">
        <f>IFERROR(VLOOKUP(B840,PatData!$A$2:$A$2000,1,),"")&lt;&gt;""</f>
        <v>1</v>
      </c>
      <c r="E840" t="s">
        <v>5146</v>
      </c>
      <c r="F840" t="b">
        <v>0</v>
      </c>
      <c r="G840" t="b">
        <v>1</v>
      </c>
      <c r="H840" t="b">
        <v>1</v>
      </c>
      <c r="I840" t="b">
        <v>0</v>
      </c>
    </row>
    <row r="841" spans="1:9" s="310" customFormat="1" x14ac:dyDescent="0.2">
      <c r="A841" t="s">
        <v>4171</v>
      </c>
      <c r="B841" t="s">
        <v>4884</v>
      </c>
      <c r="C841"/>
      <c r="D841" t="b">
        <f>IFERROR(VLOOKUP(B841,PatData!$A$2:$A$2000,1,),"")&lt;&gt;""</f>
        <v>1</v>
      </c>
      <c r="E841">
        <v>12</v>
      </c>
      <c r="F841" t="b">
        <v>0</v>
      </c>
      <c r="G841" t="b">
        <v>1</v>
      </c>
      <c r="H841" t="b">
        <v>1</v>
      </c>
      <c r="I841" t="b">
        <v>0</v>
      </c>
    </row>
    <row r="842" spans="1:9" s="310" customFormat="1" x14ac:dyDescent="0.2">
      <c r="A842" t="s">
        <v>4172</v>
      </c>
      <c r="B842" t="s">
        <v>4885</v>
      </c>
      <c r="C842"/>
      <c r="D842" t="b">
        <f>IFERROR(VLOOKUP(B842,PatData!$A$2:$A$2000,1,),"")&lt;&gt;""</f>
        <v>1</v>
      </c>
      <c r="E842">
        <v>12</v>
      </c>
      <c r="F842" t="b">
        <v>0</v>
      </c>
      <c r="G842" t="b">
        <v>1</v>
      </c>
      <c r="H842" t="b">
        <v>1</v>
      </c>
      <c r="I842" t="b">
        <v>0</v>
      </c>
    </row>
    <row r="843" spans="1:9" s="310" customFormat="1" x14ac:dyDescent="0.2">
      <c r="A843" t="s">
        <v>4173</v>
      </c>
      <c r="B843" t="s">
        <v>4886</v>
      </c>
      <c r="C843"/>
      <c r="D843" t="b">
        <f>IFERROR(VLOOKUP(B843,PatData!$A$2:$A$2000,1,),"")&lt;&gt;""</f>
        <v>1</v>
      </c>
      <c r="E843">
        <v>12</v>
      </c>
      <c r="F843" t="b">
        <v>0</v>
      </c>
      <c r="G843" t="b">
        <v>1</v>
      </c>
      <c r="H843" t="b">
        <v>1</v>
      </c>
      <c r="I843" t="b">
        <v>0</v>
      </c>
    </row>
    <row r="844" spans="1:9" s="310" customFormat="1" x14ac:dyDescent="0.2">
      <c r="A844" t="s">
        <v>4174</v>
      </c>
      <c r="B844" t="s">
        <v>4887</v>
      </c>
      <c r="C844"/>
      <c r="D844" t="b">
        <f>IFERROR(VLOOKUP(B844,PatData!$A$2:$A$2000,1,),"")&lt;&gt;""</f>
        <v>1</v>
      </c>
      <c r="E844">
        <v>12</v>
      </c>
      <c r="F844" t="b">
        <v>0</v>
      </c>
      <c r="G844" t="b">
        <v>1</v>
      </c>
      <c r="H844" t="b">
        <v>1</v>
      </c>
      <c r="I844" t="b">
        <v>0</v>
      </c>
    </row>
    <row r="845" spans="1:9" s="310" customFormat="1" x14ac:dyDescent="0.2">
      <c r="A845" t="s">
        <v>4175</v>
      </c>
      <c r="B845" t="s">
        <v>4888</v>
      </c>
      <c r="C845"/>
      <c r="D845" t="b">
        <f>IFERROR(VLOOKUP(B845,PatData!$A$2:$A$2000,1,),"")&lt;&gt;""</f>
        <v>1</v>
      </c>
      <c r="E845">
        <v>12</v>
      </c>
      <c r="F845" t="b">
        <v>0</v>
      </c>
      <c r="G845" t="b">
        <v>1</v>
      </c>
      <c r="H845" t="b">
        <v>1</v>
      </c>
      <c r="I845" t="b">
        <v>0</v>
      </c>
    </row>
    <row r="846" spans="1:9" s="310" customFormat="1" x14ac:dyDescent="0.2">
      <c r="A846" t="s">
        <v>4176</v>
      </c>
      <c r="B846" t="s">
        <v>4889</v>
      </c>
      <c r="C846"/>
      <c r="D846" t="b">
        <f>IFERROR(VLOOKUP(B846,PatData!$A$2:$A$2000,1,),"")&lt;&gt;""</f>
        <v>1</v>
      </c>
      <c r="E846">
        <v>12</v>
      </c>
      <c r="F846" t="b">
        <v>0</v>
      </c>
      <c r="G846" t="b">
        <v>1</v>
      </c>
      <c r="H846" t="b">
        <v>1</v>
      </c>
      <c r="I846" t="b">
        <v>0</v>
      </c>
    </row>
    <row r="847" spans="1:9" s="310" customFormat="1" x14ac:dyDescent="0.2">
      <c r="A847" t="s">
        <v>4177</v>
      </c>
      <c r="B847" t="s">
        <v>4890</v>
      </c>
      <c r="C847"/>
      <c r="D847" t="b">
        <f>IFERROR(VLOOKUP(B847,PatData!$A$2:$A$2000,1,),"")&lt;&gt;""</f>
        <v>1</v>
      </c>
      <c r="E847">
        <v>12</v>
      </c>
      <c r="F847" t="b">
        <v>0</v>
      </c>
      <c r="G847" t="b">
        <v>1</v>
      </c>
      <c r="H847" t="b">
        <v>1</v>
      </c>
      <c r="I847" t="b">
        <v>0</v>
      </c>
    </row>
    <row r="848" spans="1:9" s="310" customFormat="1" x14ac:dyDescent="0.2">
      <c r="A848" t="s">
        <v>4178</v>
      </c>
      <c r="B848" t="s">
        <v>4891</v>
      </c>
      <c r="C848"/>
      <c r="D848" t="b">
        <f>IFERROR(VLOOKUP(B848,PatData!$A$2:$A$2000,1,),"")&lt;&gt;""</f>
        <v>1</v>
      </c>
      <c r="E848">
        <v>12</v>
      </c>
      <c r="F848" t="b">
        <v>0</v>
      </c>
      <c r="G848" t="b">
        <v>1</v>
      </c>
      <c r="H848" t="b">
        <v>1</v>
      </c>
      <c r="I848" t="b">
        <v>0</v>
      </c>
    </row>
    <row r="849" spans="1:9" s="310" customFormat="1" x14ac:dyDescent="0.2">
      <c r="A849" t="s">
        <v>4179</v>
      </c>
      <c r="B849" t="s">
        <v>4892</v>
      </c>
      <c r="C849"/>
      <c r="D849" t="b">
        <f>IFERROR(VLOOKUP(B849,PatData!$A$2:$A$2000,1,),"")&lt;&gt;""</f>
        <v>1</v>
      </c>
      <c r="E849">
        <v>12</v>
      </c>
      <c r="F849" t="b">
        <v>0</v>
      </c>
      <c r="G849" t="b">
        <v>1</v>
      </c>
      <c r="H849" t="b">
        <v>1</v>
      </c>
      <c r="I849" t="b">
        <v>0</v>
      </c>
    </row>
    <row r="850" spans="1:9" s="310" customFormat="1" x14ac:dyDescent="0.2">
      <c r="A850" t="s">
        <v>4180</v>
      </c>
      <c r="B850" t="s">
        <v>4893</v>
      </c>
      <c r="C850"/>
      <c r="D850" t="b">
        <f>IFERROR(VLOOKUP(B850,PatData!$A$2:$A$2000,1,),"")&lt;&gt;""</f>
        <v>1</v>
      </c>
      <c r="E850">
        <v>12</v>
      </c>
      <c r="F850" t="b">
        <v>0</v>
      </c>
      <c r="G850" t="b">
        <v>1</v>
      </c>
      <c r="H850" t="b">
        <v>1</v>
      </c>
      <c r="I850" t="b">
        <v>0</v>
      </c>
    </row>
    <row r="851" spans="1:9" s="310" customFormat="1" x14ac:dyDescent="0.2">
      <c r="A851" t="s">
        <v>4181</v>
      </c>
      <c r="B851" t="s">
        <v>4430</v>
      </c>
      <c r="C851"/>
      <c r="D851" t="b">
        <f>IFERROR(VLOOKUP(B851,PatData!$A$2:$A$2000,1,),"")&lt;&gt;""</f>
        <v>1</v>
      </c>
      <c r="E851">
        <v>3</v>
      </c>
      <c r="F851" t="b">
        <v>0</v>
      </c>
      <c r="G851" t="b">
        <v>1</v>
      </c>
      <c r="H851" t="b">
        <v>1</v>
      </c>
      <c r="I851" t="b">
        <v>0</v>
      </c>
    </row>
    <row r="852" spans="1:9" s="310" customFormat="1" x14ac:dyDescent="0.2">
      <c r="A852" t="s">
        <v>4182</v>
      </c>
      <c r="B852" t="s">
        <v>4431</v>
      </c>
      <c r="C852"/>
      <c r="D852" t="b">
        <f>IFERROR(VLOOKUP(B852,PatData!$A$2:$A$2000,1,),"")&lt;&gt;""</f>
        <v>1</v>
      </c>
      <c r="E852">
        <v>12</v>
      </c>
      <c r="F852" t="b">
        <v>0</v>
      </c>
      <c r="G852" t="b">
        <v>1</v>
      </c>
      <c r="H852" t="b">
        <v>1</v>
      </c>
      <c r="I852" t="b">
        <v>0</v>
      </c>
    </row>
    <row r="853" spans="1:9" s="310" customFormat="1" x14ac:dyDescent="0.2">
      <c r="A853" t="s">
        <v>4183</v>
      </c>
      <c r="B853" t="s">
        <v>4432</v>
      </c>
      <c r="C853"/>
      <c r="D853" t="b">
        <f>IFERROR(VLOOKUP(B853,PatData!$A$2:$A$2000,1,),"")&lt;&gt;""</f>
        <v>1</v>
      </c>
      <c r="E853">
        <v>3</v>
      </c>
      <c r="F853" t="b">
        <v>0</v>
      </c>
      <c r="G853" t="b">
        <v>1</v>
      </c>
      <c r="H853" t="b">
        <v>1</v>
      </c>
      <c r="I853" t="b">
        <v>0</v>
      </c>
    </row>
    <row r="854" spans="1:9" s="310" customFormat="1" x14ac:dyDescent="0.2">
      <c r="A854" t="s">
        <v>4184</v>
      </c>
      <c r="B854" t="s">
        <v>4433</v>
      </c>
      <c r="C854"/>
      <c r="D854" t="b">
        <f>IFERROR(VLOOKUP(B854,PatData!$A$2:$A$2000,1,),"")&lt;&gt;""</f>
        <v>1</v>
      </c>
      <c r="E854">
        <v>3</v>
      </c>
      <c r="F854" t="b">
        <v>0</v>
      </c>
      <c r="G854" t="b">
        <v>1</v>
      </c>
      <c r="H854" t="b">
        <v>1</v>
      </c>
      <c r="I854" t="b">
        <v>0</v>
      </c>
    </row>
    <row r="855" spans="1:9" s="310" customFormat="1" x14ac:dyDescent="0.2">
      <c r="A855" t="s">
        <v>4185</v>
      </c>
      <c r="B855" t="s">
        <v>4434</v>
      </c>
      <c r="C855"/>
      <c r="D855" t="b">
        <f>IFERROR(VLOOKUP(B855,PatData!$A$2:$A$2000,1,),"")&lt;&gt;""</f>
        <v>1</v>
      </c>
      <c r="E855">
        <v>3</v>
      </c>
      <c r="F855" t="b">
        <v>0</v>
      </c>
      <c r="G855" t="b">
        <v>1</v>
      </c>
      <c r="H855" t="b">
        <v>1</v>
      </c>
      <c r="I855" t="b">
        <v>0</v>
      </c>
    </row>
    <row r="856" spans="1:9" s="310" customFormat="1" x14ac:dyDescent="0.2">
      <c r="A856" t="s">
        <v>4186</v>
      </c>
      <c r="B856" t="s">
        <v>4435</v>
      </c>
      <c r="C856"/>
      <c r="D856" t="b">
        <f>IFERROR(VLOOKUP(B856,PatData!$A$2:$A$2000,1,),"")&lt;&gt;""</f>
        <v>1</v>
      </c>
      <c r="E856">
        <v>3</v>
      </c>
      <c r="F856" t="b">
        <v>0</v>
      </c>
      <c r="G856" t="b">
        <v>1</v>
      </c>
      <c r="H856" t="b">
        <v>1</v>
      </c>
      <c r="I856" t="b">
        <v>0</v>
      </c>
    </row>
    <row r="857" spans="1:9" s="310" customFormat="1" x14ac:dyDescent="0.2">
      <c r="A857" t="s">
        <v>4187</v>
      </c>
      <c r="B857" t="s">
        <v>4436</v>
      </c>
      <c r="C857"/>
      <c r="D857" t="b">
        <f>IFERROR(VLOOKUP(B857,PatData!$A$2:$A$2000,1,),"")&lt;&gt;""</f>
        <v>1</v>
      </c>
      <c r="E857">
        <v>3</v>
      </c>
      <c r="F857" t="b">
        <v>0</v>
      </c>
      <c r="G857" t="b">
        <v>1</v>
      </c>
      <c r="H857" t="b">
        <v>1</v>
      </c>
      <c r="I857" t="b">
        <v>0</v>
      </c>
    </row>
    <row r="858" spans="1:9" s="310" customFormat="1" x14ac:dyDescent="0.2">
      <c r="A858" t="s">
        <v>4188</v>
      </c>
      <c r="B858" t="s">
        <v>4437</v>
      </c>
      <c r="C858"/>
      <c r="D858" t="b">
        <f>IFERROR(VLOOKUP(B858,PatData!$A$2:$A$2000,1,),"")&lt;&gt;""</f>
        <v>1</v>
      </c>
      <c r="E858">
        <v>3</v>
      </c>
      <c r="F858" t="b">
        <v>0</v>
      </c>
      <c r="G858" t="b">
        <v>1</v>
      </c>
      <c r="H858" t="b">
        <v>1</v>
      </c>
      <c r="I858" t="b">
        <v>0</v>
      </c>
    </row>
    <row r="859" spans="1:9" s="310" customFormat="1" x14ac:dyDescent="0.2">
      <c r="A859" t="s">
        <v>4189</v>
      </c>
      <c r="B859" t="s">
        <v>4438</v>
      </c>
      <c r="C859"/>
      <c r="D859" t="b">
        <f>IFERROR(VLOOKUP(B859,PatData!$A$2:$A$2000,1,),"")&lt;&gt;""</f>
        <v>1</v>
      </c>
      <c r="E859">
        <v>3</v>
      </c>
      <c r="F859" t="b">
        <v>0</v>
      </c>
      <c r="G859" t="b">
        <v>1</v>
      </c>
      <c r="H859" t="b">
        <v>1</v>
      </c>
      <c r="I859" t="b">
        <v>0</v>
      </c>
    </row>
    <row r="860" spans="1:9" s="310" customFormat="1" x14ac:dyDescent="0.2">
      <c r="A860" t="s">
        <v>4190</v>
      </c>
      <c r="B860" t="s">
        <v>4439</v>
      </c>
      <c r="C860"/>
      <c r="D860" t="b">
        <f>IFERROR(VLOOKUP(B860,PatData!$A$2:$A$2000,1,),"")&lt;&gt;""</f>
        <v>1</v>
      </c>
      <c r="E860">
        <v>3</v>
      </c>
      <c r="F860" t="b">
        <v>0</v>
      </c>
      <c r="G860" t="b">
        <v>1</v>
      </c>
      <c r="H860" t="b">
        <v>1</v>
      </c>
      <c r="I860" t="b">
        <v>0</v>
      </c>
    </row>
    <row r="861" spans="1:9" s="310" customFormat="1" x14ac:dyDescent="0.2">
      <c r="A861" t="s">
        <v>4191</v>
      </c>
      <c r="B861" t="s">
        <v>4440</v>
      </c>
      <c r="C861"/>
      <c r="D861" t="b">
        <f>IFERROR(VLOOKUP(B861,PatData!$A$2:$A$2000,1,),"")&lt;&gt;""</f>
        <v>1</v>
      </c>
      <c r="E861">
        <v>3</v>
      </c>
      <c r="F861" t="b">
        <v>0</v>
      </c>
      <c r="G861" t="b">
        <v>1</v>
      </c>
      <c r="H861" t="b">
        <v>1</v>
      </c>
      <c r="I861" t="b">
        <v>0</v>
      </c>
    </row>
    <row r="862" spans="1:9" s="310" customFormat="1" x14ac:dyDescent="0.2">
      <c r="A862" t="s">
        <v>4192</v>
      </c>
      <c r="B862" t="s">
        <v>4441</v>
      </c>
      <c r="C862"/>
      <c r="D862" t="b">
        <f>IFERROR(VLOOKUP(B862,PatData!$A$2:$A$2000,1,),"")&lt;&gt;""</f>
        <v>1</v>
      </c>
      <c r="E862">
        <v>4</v>
      </c>
      <c r="F862" t="b">
        <v>0</v>
      </c>
      <c r="G862" t="b">
        <v>1</v>
      </c>
      <c r="H862" t="b">
        <v>1</v>
      </c>
      <c r="I862" t="b">
        <v>0</v>
      </c>
    </row>
    <row r="863" spans="1:9" s="310" customFormat="1" x14ac:dyDescent="0.2">
      <c r="A863" t="s">
        <v>4193</v>
      </c>
      <c r="B863" t="s">
        <v>4894</v>
      </c>
      <c r="C863"/>
      <c r="D863" t="b">
        <f>IFERROR(VLOOKUP(B863,PatData!$A$2:$A$2000,1,),"")&lt;&gt;""</f>
        <v>1</v>
      </c>
      <c r="E863">
        <v>4</v>
      </c>
      <c r="F863" t="b">
        <v>0</v>
      </c>
      <c r="G863" t="b">
        <v>1</v>
      </c>
      <c r="H863" t="b">
        <v>1</v>
      </c>
      <c r="I863" t="b">
        <v>0</v>
      </c>
    </row>
    <row r="864" spans="1:9" s="310" customFormat="1" x14ac:dyDescent="0.2">
      <c r="A864" t="s">
        <v>4194</v>
      </c>
      <c r="B864" t="s">
        <v>4442</v>
      </c>
      <c r="C864"/>
      <c r="D864" t="b">
        <f>IFERROR(VLOOKUP(B864,PatData!$A$2:$A$2000,1,),"")&lt;&gt;""</f>
        <v>1</v>
      </c>
      <c r="E864">
        <v>5</v>
      </c>
      <c r="F864" t="b">
        <v>0</v>
      </c>
      <c r="G864" t="b">
        <v>1</v>
      </c>
      <c r="H864" t="b">
        <v>1</v>
      </c>
      <c r="I864" t="b">
        <v>0</v>
      </c>
    </row>
    <row r="865" spans="1:9" s="310" customFormat="1" x14ac:dyDescent="0.2">
      <c r="A865" t="s">
        <v>4195</v>
      </c>
      <c r="B865" t="s">
        <v>4443</v>
      </c>
      <c r="C865"/>
      <c r="D865" t="b">
        <f>IFERROR(VLOOKUP(B865,PatData!$A$2:$A$2000,1,),"")&lt;&gt;""</f>
        <v>1</v>
      </c>
      <c r="E865">
        <v>5</v>
      </c>
      <c r="F865" t="b">
        <v>0</v>
      </c>
      <c r="G865" t="b">
        <v>1</v>
      </c>
      <c r="H865" t="b">
        <v>1</v>
      </c>
      <c r="I865" t="b">
        <v>0</v>
      </c>
    </row>
    <row r="866" spans="1:9" s="310" customFormat="1" x14ac:dyDescent="0.2">
      <c r="A866" t="s">
        <v>4196</v>
      </c>
      <c r="B866" t="s">
        <v>4444</v>
      </c>
      <c r="C866"/>
      <c r="D866" t="b">
        <f>IFERROR(VLOOKUP(B866,PatData!$A$2:$A$2000,1,),"")&lt;&gt;""</f>
        <v>1</v>
      </c>
      <c r="E866">
        <v>5</v>
      </c>
      <c r="F866" t="b">
        <v>0</v>
      </c>
      <c r="G866" t="b">
        <v>1</v>
      </c>
      <c r="H866" t="b">
        <v>1</v>
      </c>
      <c r="I866" t="b">
        <v>0</v>
      </c>
    </row>
    <row r="867" spans="1:9" s="310" customFormat="1" x14ac:dyDescent="0.2">
      <c r="A867" t="s">
        <v>4197</v>
      </c>
      <c r="B867" t="s">
        <v>4445</v>
      </c>
      <c r="C867"/>
      <c r="D867" t="b">
        <f>IFERROR(VLOOKUP(B867,PatData!$A$2:$A$2000,1,),"")&lt;&gt;""</f>
        <v>1</v>
      </c>
      <c r="E867">
        <v>5</v>
      </c>
      <c r="F867" t="b">
        <v>0</v>
      </c>
      <c r="G867" t="b">
        <v>1</v>
      </c>
      <c r="H867" t="b">
        <v>1</v>
      </c>
      <c r="I867" t="b">
        <v>0</v>
      </c>
    </row>
    <row r="868" spans="1:9" s="310" customFormat="1" x14ac:dyDescent="0.2">
      <c r="A868" t="s">
        <v>4198</v>
      </c>
      <c r="B868" t="s">
        <v>4446</v>
      </c>
      <c r="C868"/>
      <c r="D868" t="b">
        <f>IFERROR(VLOOKUP(B868,PatData!$A$2:$A$2000,1,),"")&lt;&gt;""</f>
        <v>1</v>
      </c>
      <c r="E868">
        <v>5</v>
      </c>
      <c r="F868" t="b">
        <v>0</v>
      </c>
      <c r="G868" t="b">
        <v>1</v>
      </c>
      <c r="H868" t="b">
        <v>1</v>
      </c>
      <c r="I868" t="b">
        <v>0</v>
      </c>
    </row>
    <row r="869" spans="1:9" s="310" customFormat="1" x14ac:dyDescent="0.2">
      <c r="A869" t="s">
        <v>4199</v>
      </c>
      <c r="B869" t="s">
        <v>4447</v>
      </c>
      <c r="C869"/>
      <c r="D869" t="b">
        <f>IFERROR(VLOOKUP(B869,PatData!$A$2:$A$2000,1,),"")&lt;&gt;""</f>
        <v>1</v>
      </c>
      <c r="E869">
        <v>5</v>
      </c>
      <c r="F869" t="b">
        <v>0</v>
      </c>
      <c r="G869" t="b">
        <v>1</v>
      </c>
      <c r="H869" t="b">
        <v>1</v>
      </c>
      <c r="I869" t="b">
        <v>0</v>
      </c>
    </row>
    <row r="870" spans="1:9" s="310" customFormat="1" x14ac:dyDescent="0.2">
      <c r="A870" t="s">
        <v>4200</v>
      </c>
      <c r="B870" t="s">
        <v>4448</v>
      </c>
      <c r="C870"/>
      <c r="D870" t="b">
        <f>IFERROR(VLOOKUP(B870,PatData!$A$2:$A$2000,1,),"")&lt;&gt;""</f>
        <v>1</v>
      </c>
      <c r="E870">
        <v>5</v>
      </c>
      <c r="F870" t="b">
        <v>0</v>
      </c>
      <c r="G870" t="b">
        <v>1</v>
      </c>
      <c r="H870" t="b">
        <v>1</v>
      </c>
      <c r="I870" t="b">
        <v>0</v>
      </c>
    </row>
    <row r="871" spans="1:9" s="310" customFormat="1" x14ac:dyDescent="0.2">
      <c r="A871" t="s">
        <v>4201</v>
      </c>
      <c r="B871" t="s">
        <v>4449</v>
      </c>
      <c r="C871"/>
      <c r="D871" t="b">
        <f>IFERROR(VLOOKUP(B871,PatData!$A$2:$A$2000,1,),"")&lt;&gt;""</f>
        <v>1</v>
      </c>
      <c r="E871">
        <v>5</v>
      </c>
      <c r="F871" t="b">
        <v>0</v>
      </c>
      <c r="G871" t="b">
        <v>1</v>
      </c>
      <c r="H871" t="b">
        <v>1</v>
      </c>
      <c r="I871" t="b">
        <v>0</v>
      </c>
    </row>
    <row r="872" spans="1:9" s="310" customFormat="1" x14ac:dyDescent="0.2">
      <c r="A872" t="s">
        <v>4202</v>
      </c>
      <c r="B872" t="s">
        <v>4450</v>
      </c>
      <c r="C872"/>
      <c r="D872" t="b">
        <f>IFERROR(VLOOKUP(B872,PatData!$A$2:$A$2000,1,),"")&lt;&gt;""</f>
        <v>1</v>
      </c>
      <c r="E872">
        <v>5</v>
      </c>
      <c r="F872" t="b">
        <v>0</v>
      </c>
      <c r="G872" t="b">
        <v>1</v>
      </c>
      <c r="H872" t="b">
        <v>1</v>
      </c>
      <c r="I872" t="b">
        <v>0</v>
      </c>
    </row>
    <row r="873" spans="1:9" s="310" customFormat="1" x14ac:dyDescent="0.2">
      <c r="A873" t="s">
        <v>4203</v>
      </c>
      <c r="B873" t="s">
        <v>4451</v>
      </c>
      <c r="C873"/>
      <c r="D873" t="b">
        <f>IFERROR(VLOOKUP(B873,PatData!$A$2:$A$2000,1,),"")&lt;&gt;""</f>
        <v>1</v>
      </c>
      <c r="E873">
        <v>5</v>
      </c>
      <c r="F873" t="b">
        <v>0</v>
      </c>
      <c r="G873" t="b">
        <v>1</v>
      </c>
      <c r="H873" t="b">
        <v>1</v>
      </c>
      <c r="I873" t="b">
        <v>0</v>
      </c>
    </row>
    <row r="874" spans="1:9" s="310" customFormat="1" x14ac:dyDescent="0.2">
      <c r="A874" t="s">
        <v>4204</v>
      </c>
      <c r="B874" t="s">
        <v>4452</v>
      </c>
      <c r="C874"/>
      <c r="D874" t="b">
        <f>IFERROR(VLOOKUP(B874,PatData!$A$2:$A$2000,1,),"")&lt;&gt;""</f>
        <v>1</v>
      </c>
      <c r="E874">
        <v>3</v>
      </c>
      <c r="F874" t="b">
        <v>0</v>
      </c>
      <c r="G874" t="b">
        <v>1</v>
      </c>
      <c r="H874" t="b">
        <v>1</v>
      </c>
      <c r="I874" t="b">
        <v>0</v>
      </c>
    </row>
    <row r="875" spans="1:9" s="310" customFormat="1" x14ac:dyDescent="0.2">
      <c r="A875" t="s">
        <v>4205</v>
      </c>
      <c r="B875" t="s">
        <v>4453</v>
      </c>
      <c r="C875"/>
      <c r="D875" t="b">
        <f>IFERROR(VLOOKUP(B875,PatData!$A$2:$A$2000,1,),"")&lt;&gt;""</f>
        <v>1</v>
      </c>
      <c r="E875">
        <v>2</v>
      </c>
      <c r="F875" t="b">
        <v>0</v>
      </c>
      <c r="G875" t="b">
        <v>1</v>
      </c>
      <c r="H875" t="b">
        <v>1</v>
      </c>
      <c r="I875" t="b">
        <v>0</v>
      </c>
    </row>
    <row r="876" spans="1:9" s="310" customFormat="1" x14ac:dyDescent="0.2">
      <c r="A876" t="s">
        <v>4206</v>
      </c>
      <c r="B876" t="s">
        <v>4895</v>
      </c>
      <c r="C876"/>
      <c r="D876" t="b">
        <f>IFERROR(VLOOKUP(B876,PatData!$A$2:$A$2000,1,),"")&lt;&gt;""</f>
        <v>1</v>
      </c>
      <c r="E876">
        <v>2</v>
      </c>
      <c r="F876" t="b">
        <v>0</v>
      </c>
      <c r="G876" t="b">
        <v>1</v>
      </c>
      <c r="H876" t="b">
        <v>1</v>
      </c>
      <c r="I876" t="b">
        <v>0</v>
      </c>
    </row>
    <row r="877" spans="1:9" s="310" customFormat="1" x14ac:dyDescent="0.2">
      <c r="A877" t="s">
        <v>4207</v>
      </c>
      <c r="B877" t="s">
        <v>4454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310" customFormat="1" x14ac:dyDescent="0.2">
      <c r="A878" t="s">
        <v>4208</v>
      </c>
      <c r="B878" t="s">
        <v>4455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310" customFormat="1" x14ac:dyDescent="0.2">
      <c r="A879" t="s">
        <v>4209</v>
      </c>
      <c r="B879" t="s">
        <v>4456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310" customFormat="1" x14ac:dyDescent="0.2">
      <c r="A880" t="s">
        <v>4210</v>
      </c>
      <c r="B880" t="s">
        <v>4457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310" customFormat="1" x14ac:dyDescent="0.2">
      <c r="A881" t="s">
        <v>4211</v>
      </c>
      <c r="B881" t="s">
        <v>4458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310" customFormat="1" x14ac:dyDescent="0.2">
      <c r="A882" t="s">
        <v>4212</v>
      </c>
      <c r="B882" t="s">
        <v>4459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310" customFormat="1" x14ac:dyDescent="0.2">
      <c r="A883" t="s">
        <v>4213</v>
      </c>
      <c r="B883" t="s">
        <v>4460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310" customFormat="1" x14ac:dyDescent="0.2">
      <c r="A884" t="s">
        <v>4214</v>
      </c>
      <c r="B884" t="s">
        <v>4461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310" customFormat="1" x14ac:dyDescent="0.2">
      <c r="A885" t="s">
        <v>4215</v>
      </c>
      <c r="B885" t="s">
        <v>4462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310" customFormat="1" x14ac:dyDescent="0.2">
      <c r="A886" t="s">
        <v>4216</v>
      </c>
      <c r="B886" t="s">
        <v>4463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310" customFormat="1" x14ac:dyDescent="0.2">
      <c r="A887" t="s">
        <v>4217</v>
      </c>
      <c r="B887" t="s">
        <v>4464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310" customFormat="1" x14ac:dyDescent="0.2">
      <c r="A888" t="s">
        <v>4218</v>
      </c>
      <c r="B888" t="s">
        <v>4465</v>
      </c>
      <c r="C888"/>
      <c r="D888" t="b">
        <f>IFERROR(VLOOKUP(B888,PatData!$A$2:$A$2000,1,),"")&lt;&gt;""</f>
        <v>1</v>
      </c>
      <c r="E888"/>
      <c r="F888" t="b">
        <v>0</v>
      </c>
      <c r="G888" t="b">
        <v>1</v>
      </c>
      <c r="H888" t="b">
        <v>1</v>
      </c>
      <c r="I888" t="b">
        <v>0</v>
      </c>
    </row>
    <row r="889" spans="1:9" s="310" customFormat="1" x14ac:dyDescent="0.2">
      <c r="A889" t="s">
        <v>4219</v>
      </c>
      <c r="B889" t="s">
        <v>4466</v>
      </c>
      <c r="C889"/>
      <c r="D889" t="b">
        <f>IFERROR(VLOOKUP(B889,PatData!$A$2:$A$2000,1,),"")&lt;&gt;""</f>
        <v>1</v>
      </c>
      <c r="E889"/>
      <c r="F889" t="b">
        <v>0</v>
      </c>
      <c r="G889" t="b">
        <v>1</v>
      </c>
      <c r="H889" t="b">
        <v>1</v>
      </c>
      <c r="I889" t="b">
        <v>0</v>
      </c>
    </row>
    <row r="890" spans="1:9" s="310" customFormat="1" x14ac:dyDescent="0.2">
      <c r="A890" t="s">
        <v>4220</v>
      </c>
      <c r="B890" t="s">
        <v>4467</v>
      </c>
      <c r="C890"/>
      <c r="D890" t="b">
        <f>IFERROR(VLOOKUP(B890,PatData!$A$2:$A$2000,1,),"")&lt;&gt;""</f>
        <v>1</v>
      </c>
      <c r="E890"/>
      <c r="F890" t="b">
        <v>0</v>
      </c>
      <c r="G890" t="b">
        <v>1</v>
      </c>
      <c r="H890" t="b">
        <v>1</v>
      </c>
      <c r="I890" t="b">
        <v>0</v>
      </c>
    </row>
    <row r="891" spans="1:9" s="310" customFormat="1" x14ac:dyDescent="0.2">
      <c r="A891" t="s">
        <v>4221</v>
      </c>
      <c r="B891" t="s">
        <v>5142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310" customFormat="1" x14ac:dyDescent="0.2">
      <c r="A892" t="s">
        <v>4222</v>
      </c>
      <c r="B892" t="s">
        <v>4468</v>
      </c>
      <c r="C892"/>
      <c r="D892" t="b">
        <f>IFERROR(VLOOKUP(B892,PatData!$A$2:$A$2000,1,),"")&lt;&gt;""</f>
        <v>1</v>
      </c>
      <c r="E892">
        <v>4</v>
      </c>
      <c r="F892" t="b">
        <v>0</v>
      </c>
      <c r="G892" t="b">
        <v>1</v>
      </c>
      <c r="H892" t="b">
        <v>1</v>
      </c>
      <c r="I892" t="b">
        <v>0</v>
      </c>
    </row>
    <row r="893" spans="1:9" s="310" customFormat="1" x14ac:dyDescent="0.2">
      <c r="A893" t="s">
        <v>4223</v>
      </c>
      <c r="B893" t="s">
        <v>4469</v>
      </c>
      <c r="C893"/>
      <c r="D893" t="b">
        <f>IFERROR(VLOOKUP(B893,PatData!$A$2:$A$2000,1,),"")&lt;&gt;""</f>
        <v>1</v>
      </c>
      <c r="E893">
        <v>4</v>
      </c>
      <c r="F893" t="b">
        <v>0</v>
      </c>
      <c r="G893" t="b">
        <v>1</v>
      </c>
      <c r="H893" t="b">
        <v>1</v>
      </c>
      <c r="I893" t="b">
        <v>0</v>
      </c>
    </row>
    <row r="894" spans="1:9" s="310" customFormat="1" x14ac:dyDescent="0.2">
      <c r="A894" t="s">
        <v>4224</v>
      </c>
      <c r="B894" t="s">
        <v>4470</v>
      </c>
      <c r="C894"/>
      <c r="D894" t="b">
        <f>IFERROR(VLOOKUP(B894,PatData!$A$2:$A$2000,1,),"")&lt;&gt;""</f>
        <v>1</v>
      </c>
      <c r="E894">
        <v>10</v>
      </c>
      <c r="F894" t="b">
        <v>0</v>
      </c>
      <c r="G894" t="b">
        <v>1</v>
      </c>
      <c r="H894" t="b">
        <v>1</v>
      </c>
      <c r="I894" t="b">
        <v>0</v>
      </c>
    </row>
    <row r="895" spans="1:9" s="310" customFormat="1" x14ac:dyDescent="0.2">
      <c r="A895" t="s">
        <v>4225</v>
      </c>
      <c r="B895" t="s">
        <v>4471</v>
      </c>
      <c r="C895"/>
      <c r="D895" t="b">
        <f>IFERROR(VLOOKUP(B895,PatData!$A$2:$A$2000,1,),"")&lt;&gt;""</f>
        <v>1</v>
      </c>
      <c r="E895">
        <v>10</v>
      </c>
      <c r="F895" t="b">
        <v>0</v>
      </c>
      <c r="G895" t="b">
        <v>1</v>
      </c>
      <c r="H895" t="b">
        <v>1</v>
      </c>
      <c r="I895" t="b">
        <v>0</v>
      </c>
    </row>
    <row r="896" spans="1:9" s="310" customFormat="1" x14ac:dyDescent="0.2">
      <c r="A896" t="s">
        <v>4226</v>
      </c>
      <c r="B896" t="s">
        <v>4472</v>
      </c>
      <c r="C896"/>
      <c r="D896" t="b">
        <f>IFERROR(VLOOKUP(B896,PatData!$A$2:$A$2000,1,),"")&lt;&gt;""</f>
        <v>1</v>
      </c>
      <c r="E896">
        <v>2</v>
      </c>
      <c r="F896" t="b">
        <v>0</v>
      </c>
      <c r="G896" t="b">
        <v>1</v>
      </c>
      <c r="H896" t="b">
        <v>1</v>
      </c>
      <c r="I896" t="b">
        <v>0</v>
      </c>
    </row>
    <row r="897" spans="1:9" s="310" customFormat="1" x14ac:dyDescent="0.2">
      <c r="A897" t="s">
        <v>4227</v>
      </c>
      <c r="B897" t="s">
        <v>4473</v>
      </c>
      <c r="C897"/>
      <c r="D897" t="b">
        <f>IFERROR(VLOOKUP(B897,PatData!$A$2:$A$2000,1,),"")&lt;&gt;""</f>
        <v>1</v>
      </c>
      <c r="E897">
        <v>2</v>
      </c>
      <c r="F897" t="b">
        <v>0</v>
      </c>
      <c r="G897" t="b">
        <v>1</v>
      </c>
      <c r="H897" t="b">
        <v>1</v>
      </c>
      <c r="I897" t="b">
        <v>0</v>
      </c>
    </row>
    <row r="898" spans="1:9" s="310" customFormat="1" x14ac:dyDescent="0.2">
      <c r="A898" t="s">
        <v>4228</v>
      </c>
      <c r="B898" t="s">
        <v>4474</v>
      </c>
      <c r="C898"/>
      <c r="D898" t="b">
        <f>IFERROR(VLOOKUP(B898,PatData!$A$2:$A$2000,1,),"")&lt;&gt;""</f>
        <v>1</v>
      </c>
      <c r="E898">
        <v>2</v>
      </c>
      <c r="F898" t="b">
        <v>0</v>
      </c>
      <c r="G898" t="b">
        <v>1</v>
      </c>
      <c r="H898" t="b">
        <v>1</v>
      </c>
      <c r="I898" t="b">
        <v>0</v>
      </c>
    </row>
    <row r="899" spans="1:9" s="310" customFormat="1" x14ac:dyDescent="0.2">
      <c r="A899" t="s">
        <v>4669</v>
      </c>
      <c r="B899" t="s">
        <v>4475</v>
      </c>
      <c r="C899"/>
      <c r="D899" t="b">
        <f>IFERROR(VLOOKUP(B899,PatData!$A$2:$A$2000,1,),"")&lt;&gt;""</f>
        <v>1</v>
      </c>
      <c r="E899">
        <v>2</v>
      </c>
      <c r="F899" t="b">
        <v>0</v>
      </c>
      <c r="G899" t="b">
        <v>1</v>
      </c>
      <c r="H899" t="b">
        <v>1</v>
      </c>
      <c r="I899" t="b">
        <v>0</v>
      </c>
    </row>
    <row r="900" spans="1:9" s="310" customFormat="1" x14ac:dyDescent="0.2">
      <c r="A900" t="s">
        <v>4670</v>
      </c>
      <c r="B900" t="s">
        <v>4476</v>
      </c>
      <c r="C900"/>
      <c r="D900" t="b">
        <f>IFERROR(VLOOKUP(B900,PatData!$A$2:$A$2000,1,),"")&lt;&gt;""</f>
        <v>1</v>
      </c>
      <c r="E900">
        <v>2</v>
      </c>
      <c r="F900" t="b">
        <v>0</v>
      </c>
      <c r="G900" t="b">
        <v>1</v>
      </c>
      <c r="H900" t="b">
        <v>1</v>
      </c>
      <c r="I900" t="b">
        <v>0</v>
      </c>
    </row>
    <row r="901" spans="1:9" s="310" customFormat="1" x14ac:dyDescent="0.2">
      <c r="A901" t="s">
        <v>4229</v>
      </c>
      <c r="B901" t="s">
        <v>4477</v>
      </c>
      <c r="C901"/>
      <c r="D901" t="b">
        <f>IFERROR(VLOOKUP(B901,PatData!$A$2:$A$2000,1,),"")&lt;&gt;""</f>
        <v>1</v>
      </c>
      <c r="E901">
        <v>2</v>
      </c>
      <c r="F901" t="b">
        <v>0</v>
      </c>
      <c r="G901" t="b">
        <v>1</v>
      </c>
      <c r="H901" t="b">
        <v>1</v>
      </c>
      <c r="I901" t="b">
        <v>0</v>
      </c>
    </row>
    <row r="902" spans="1:9" s="310" customFormat="1" x14ac:dyDescent="0.2">
      <c r="A902" t="s">
        <v>4230</v>
      </c>
      <c r="B902" t="s">
        <v>4478</v>
      </c>
      <c r="C902"/>
      <c r="D902" t="b">
        <f>IFERROR(VLOOKUP(B902,PatData!$A$2:$A$2000,1,),"")&lt;&gt;""</f>
        <v>1</v>
      </c>
      <c r="E902">
        <v>2</v>
      </c>
      <c r="F902" t="b">
        <v>0</v>
      </c>
      <c r="G902" t="b">
        <v>1</v>
      </c>
      <c r="H902" t="b">
        <v>1</v>
      </c>
      <c r="I902" t="b">
        <v>0</v>
      </c>
    </row>
    <row r="903" spans="1:9" s="310" customFormat="1" x14ac:dyDescent="0.2">
      <c r="A903" t="s">
        <v>4231</v>
      </c>
      <c r="B903" t="s">
        <v>4479</v>
      </c>
      <c r="C903"/>
      <c r="D903" t="b">
        <f>IFERROR(VLOOKUP(B903,PatData!$A$2:$A$2000,1,),"")&lt;&gt;""</f>
        <v>1</v>
      </c>
      <c r="E903">
        <v>2</v>
      </c>
      <c r="F903" t="b">
        <v>0</v>
      </c>
      <c r="G903" t="b">
        <v>1</v>
      </c>
      <c r="H903" t="b">
        <v>1</v>
      </c>
      <c r="I903" t="b">
        <v>0</v>
      </c>
    </row>
    <row r="904" spans="1:9" s="310" customFormat="1" x14ac:dyDescent="0.2">
      <c r="A904" t="s">
        <v>4232</v>
      </c>
      <c r="B904" t="s">
        <v>4480</v>
      </c>
      <c r="C904"/>
      <c r="D904" t="b">
        <f>IFERROR(VLOOKUP(B904,PatData!$A$2:$A$2000,1,),"")&lt;&gt;""</f>
        <v>1</v>
      </c>
      <c r="E904">
        <v>2</v>
      </c>
      <c r="F904" t="b">
        <v>0</v>
      </c>
      <c r="G904" t="b">
        <v>1</v>
      </c>
      <c r="H904" t="b">
        <v>1</v>
      </c>
      <c r="I904" t="b">
        <v>0</v>
      </c>
    </row>
    <row r="905" spans="1:9" s="310" customFormat="1" x14ac:dyDescent="0.2">
      <c r="A905" t="s">
        <v>4233</v>
      </c>
      <c r="B905" t="s">
        <v>4481</v>
      </c>
      <c r="C905"/>
      <c r="D905" t="b">
        <f>IFERROR(VLOOKUP(B905,PatData!$A$2:$A$2000,1,),"")&lt;&gt;""</f>
        <v>1</v>
      </c>
      <c r="E905">
        <v>3</v>
      </c>
      <c r="F905" t="b">
        <v>0</v>
      </c>
      <c r="G905" t="b">
        <v>1</v>
      </c>
      <c r="H905" t="b">
        <v>1</v>
      </c>
      <c r="I905" t="b">
        <v>0</v>
      </c>
    </row>
    <row r="906" spans="1:9" s="310" customFormat="1" x14ac:dyDescent="0.2">
      <c r="A906" t="s">
        <v>4234</v>
      </c>
      <c r="B906" t="s">
        <v>4482</v>
      </c>
      <c r="C906"/>
      <c r="D906" t="b">
        <f>IFERROR(VLOOKUP(B906,PatData!$A$2:$A$2000,1,),"")&lt;&gt;""</f>
        <v>1</v>
      </c>
      <c r="E906">
        <v>4</v>
      </c>
      <c r="F906" t="b">
        <v>0</v>
      </c>
      <c r="G906" t="b">
        <v>1</v>
      </c>
      <c r="H906" t="b">
        <v>1</v>
      </c>
      <c r="I906" t="b">
        <v>0</v>
      </c>
    </row>
    <row r="907" spans="1:9" s="310" customFormat="1" x14ac:dyDescent="0.2">
      <c r="A907" t="s">
        <v>4235</v>
      </c>
      <c r="B907" t="s">
        <v>4483</v>
      </c>
      <c r="C907"/>
      <c r="D907" t="b">
        <f>IFERROR(VLOOKUP(B907,PatData!$A$2:$A$2000,1,),"")&lt;&gt;""</f>
        <v>1</v>
      </c>
      <c r="E907">
        <v>5</v>
      </c>
      <c r="F907" t="b">
        <v>0</v>
      </c>
      <c r="G907" t="b">
        <v>1</v>
      </c>
      <c r="H907" t="b">
        <v>1</v>
      </c>
      <c r="I907" t="b">
        <v>0</v>
      </c>
    </row>
    <row r="908" spans="1:9" s="310" customFormat="1" x14ac:dyDescent="0.2">
      <c r="A908" t="s">
        <v>4236</v>
      </c>
      <c r="B908" t="s">
        <v>4484</v>
      </c>
      <c r="C908"/>
      <c r="D908" t="b">
        <f>IFERROR(VLOOKUP(B908,PatData!$A$2:$A$2000,1,),"")&lt;&gt;""</f>
        <v>1</v>
      </c>
      <c r="E908">
        <v>6</v>
      </c>
      <c r="F908" t="b">
        <v>0</v>
      </c>
      <c r="G908" t="b">
        <v>1</v>
      </c>
      <c r="H908" t="b">
        <v>1</v>
      </c>
      <c r="I908" t="b">
        <v>0</v>
      </c>
    </row>
    <row r="909" spans="1:9" s="310" customFormat="1" x14ac:dyDescent="0.2">
      <c r="A909" t="s">
        <v>4237</v>
      </c>
      <c r="B909" t="s">
        <v>4485</v>
      </c>
      <c r="C909"/>
      <c r="D909" t="b">
        <f>IFERROR(VLOOKUP(B909,PatData!$A$2:$A$2000,1,),"")&lt;&gt;""</f>
        <v>1</v>
      </c>
      <c r="E909">
        <v>2</v>
      </c>
      <c r="F909" t="b">
        <v>0</v>
      </c>
      <c r="G909" t="b">
        <v>1</v>
      </c>
      <c r="H909" t="b">
        <v>1</v>
      </c>
      <c r="I909" t="b">
        <v>0</v>
      </c>
    </row>
    <row r="910" spans="1:9" s="310" customFormat="1" x14ac:dyDescent="0.2">
      <c r="A910" t="s">
        <v>4238</v>
      </c>
      <c r="B910" t="s">
        <v>4486</v>
      </c>
      <c r="C910"/>
      <c r="D910" t="b">
        <f>IFERROR(VLOOKUP(B910,PatData!$A$2:$A$2000,1,),"")&lt;&gt;""</f>
        <v>1</v>
      </c>
      <c r="E910">
        <v>3</v>
      </c>
      <c r="F910" t="b">
        <v>0</v>
      </c>
      <c r="G910" t="b">
        <v>1</v>
      </c>
      <c r="H910" t="b">
        <v>1</v>
      </c>
      <c r="I910" t="b">
        <v>0</v>
      </c>
    </row>
    <row r="911" spans="1:9" s="310" customFormat="1" x14ac:dyDescent="0.2">
      <c r="A911" t="s">
        <v>4239</v>
      </c>
      <c r="B911" t="s">
        <v>4487</v>
      </c>
      <c r="C911"/>
      <c r="D911" t="b">
        <f>IFERROR(VLOOKUP(B911,PatData!$A$2:$A$2000,1,),"")&lt;&gt;""</f>
        <v>1</v>
      </c>
      <c r="E911">
        <v>4</v>
      </c>
      <c r="F911" t="b">
        <v>0</v>
      </c>
      <c r="G911" t="b">
        <v>1</v>
      </c>
      <c r="H911" t="b">
        <v>1</v>
      </c>
      <c r="I911" t="b">
        <v>0</v>
      </c>
    </row>
    <row r="912" spans="1:9" s="310" customFormat="1" x14ac:dyDescent="0.2">
      <c r="A912" t="s">
        <v>4240</v>
      </c>
      <c r="B912" t="s">
        <v>4488</v>
      </c>
      <c r="C912"/>
      <c r="D912" t="b">
        <f>IFERROR(VLOOKUP(B912,PatData!$A$2:$A$2000,1,),"")&lt;&gt;""</f>
        <v>1</v>
      </c>
      <c r="E912">
        <v>5</v>
      </c>
      <c r="F912" t="b">
        <v>0</v>
      </c>
      <c r="G912" t="b">
        <v>1</v>
      </c>
      <c r="H912" t="b">
        <v>1</v>
      </c>
      <c r="I912" t="b">
        <v>0</v>
      </c>
    </row>
    <row r="913" spans="1:9" s="310" customFormat="1" x14ac:dyDescent="0.2">
      <c r="A913" t="s">
        <v>4241</v>
      </c>
      <c r="B913" t="s">
        <v>4489</v>
      </c>
      <c r="C913"/>
      <c r="D913" t="b">
        <f>IFERROR(VLOOKUP(B913,PatData!$A$2:$A$2000,1,),"")&lt;&gt;""</f>
        <v>1</v>
      </c>
      <c r="E913">
        <v>7</v>
      </c>
      <c r="F913" t="b">
        <v>0</v>
      </c>
      <c r="G913" t="b">
        <v>1</v>
      </c>
      <c r="H913" t="b">
        <v>1</v>
      </c>
      <c r="I913" t="b">
        <v>0</v>
      </c>
    </row>
    <row r="914" spans="1:9" s="310" customFormat="1" x14ac:dyDescent="0.2">
      <c r="A914" t="s">
        <v>4242</v>
      </c>
      <c r="B914" t="s">
        <v>4490</v>
      </c>
      <c r="C914"/>
      <c r="D914" t="b">
        <f>IFERROR(VLOOKUP(B914,PatData!$A$2:$A$2000,1,),"")&lt;&gt;""</f>
        <v>1</v>
      </c>
      <c r="E914">
        <v>5010</v>
      </c>
      <c r="F914" t="b">
        <v>0</v>
      </c>
      <c r="G914" t="b">
        <v>1</v>
      </c>
      <c r="H914" t="b">
        <v>1</v>
      </c>
      <c r="I914" t="b">
        <v>0</v>
      </c>
    </row>
    <row r="915" spans="1:9" s="310" customFormat="1" x14ac:dyDescent="0.2">
      <c r="A915" t="s">
        <v>4243</v>
      </c>
      <c r="B915" t="s">
        <v>4491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310" customFormat="1" x14ac:dyDescent="0.2">
      <c r="A916" t="s">
        <v>4244</v>
      </c>
      <c r="B916" t="s">
        <v>4492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310" customFormat="1" x14ac:dyDescent="0.2">
      <c r="A917" t="s">
        <v>4245</v>
      </c>
      <c r="B917" t="s">
        <v>4493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310" customFormat="1" x14ac:dyDescent="0.2">
      <c r="A918" t="s">
        <v>4246</v>
      </c>
      <c r="B918" t="s">
        <v>4494</v>
      </c>
      <c r="C918"/>
      <c r="D918" t="b">
        <f>IFERROR(VLOOKUP(B918,PatData!$A$2:$A$2000,1,),"")&lt;&gt;""</f>
        <v>1</v>
      </c>
      <c r="E918">
        <v>5035</v>
      </c>
      <c r="F918" t="b">
        <v>0</v>
      </c>
      <c r="G918" t="b">
        <v>1</v>
      </c>
      <c r="H918" t="b">
        <v>1</v>
      </c>
      <c r="I918" t="b">
        <v>0</v>
      </c>
    </row>
    <row r="919" spans="1:9" s="310" customFormat="1" x14ac:dyDescent="0.2">
      <c r="A919" t="s">
        <v>4247</v>
      </c>
      <c r="B919" t="s">
        <v>4495</v>
      </c>
      <c r="C919"/>
      <c r="D919" t="b">
        <f>IFERROR(VLOOKUP(B919,PatData!$A$2:$A$2000,1,),"")&lt;&gt;""</f>
        <v>1</v>
      </c>
      <c r="E919">
        <v>5002</v>
      </c>
      <c r="F919" t="b">
        <v>0</v>
      </c>
      <c r="G919" t="b">
        <v>1</v>
      </c>
      <c r="H919" t="b">
        <v>1</v>
      </c>
      <c r="I919" t="b">
        <v>0</v>
      </c>
    </row>
    <row r="920" spans="1:9" s="310" customFormat="1" x14ac:dyDescent="0.2">
      <c r="A920" t="s">
        <v>4248</v>
      </c>
      <c r="B920" t="s">
        <v>4496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310" customFormat="1" x14ac:dyDescent="0.2">
      <c r="A921" t="s">
        <v>4249</v>
      </c>
      <c r="B921" t="s">
        <v>4497</v>
      </c>
      <c r="C921"/>
      <c r="D921" t="b">
        <f>IFERROR(VLOOKUP(B921,PatData!$A$2:$A$2000,1,),"")&lt;&gt;""</f>
        <v>1</v>
      </c>
      <c r="E921">
        <v>5010</v>
      </c>
      <c r="F921" t="b">
        <v>0</v>
      </c>
      <c r="G921" t="b">
        <v>1</v>
      </c>
      <c r="H921" t="b">
        <v>1</v>
      </c>
      <c r="I921" t="b">
        <v>0</v>
      </c>
    </row>
    <row r="922" spans="1:9" s="310" customFormat="1" x14ac:dyDescent="0.2">
      <c r="A922" t="s">
        <v>4250</v>
      </c>
      <c r="B922" t="s">
        <v>4498</v>
      </c>
      <c r="C922"/>
      <c r="D922" t="b">
        <f>IFERROR(VLOOKUP(B922,PatData!$A$2:$A$2000,1,),"")&lt;&gt;""</f>
        <v>1</v>
      </c>
      <c r="E922">
        <v>5010</v>
      </c>
      <c r="F922" t="b">
        <v>0</v>
      </c>
      <c r="G922" t="b">
        <v>1</v>
      </c>
      <c r="H922" t="b">
        <v>1</v>
      </c>
      <c r="I922" t="b">
        <v>0</v>
      </c>
    </row>
    <row r="923" spans="1:9" s="310" customFormat="1" x14ac:dyDescent="0.2">
      <c r="A923" t="s">
        <v>4896</v>
      </c>
      <c r="B923" t="s">
        <v>4499</v>
      </c>
      <c r="C923"/>
      <c r="D923" t="b">
        <f>IFERROR(VLOOKUP(B923,PatData!$A$2:$A$2000,1,),"")&lt;&gt;""</f>
        <v>1</v>
      </c>
      <c r="E923">
        <v>5010</v>
      </c>
      <c r="F923" t="b">
        <v>0</v>
      </c>
      <c r="G923" t="b">
        <v>1</v>
      </c>
      <c r="H923" t="b">
        <v>1</v>
      </c>
      <c r="I923" t="b">
        <v>0</v>
      </c>
    </row>
    <row r="924" spans="1:9" s="310" customFormat="1" x14ac:dyDescent="0.2">
      <c r="A924" t="s">
        <v>4897</v>
      </c>
      <c r="B924" t="s">
        <v>4500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310" customFormat="1" x14ac:dyDescent="0.2">
      <c r="A925" t="s">
        <v>4898</v>
      </c>
      <c r="B925" t="s">
        <v>4501</v>
      </c>
      <c r="C925"/>
      <c r="D925" t="b">
        <f>IFERROR(VLOOKUP(B925,PatData!$A$2:$A$2000,1,),"")&lt;&gt;""</f>
        <v>1</v>
      </c>
      <c r="E925" t="b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310" customFormat="1" x14ac:dyDescent="0.2">
      <c r="A926" t="s">
        <v>4899</v>
      </c>
      <c r="B926" t="s">
        <v>4502</v>
      </c>
      <c r="C926"/>
      <c r="D926" t="b">
        <f>IFERROR(VLOOKUP(B926,PatData!$A$2:$A$2000,1,),"")&lt;&gt;""</f>
        <v>1</v>
      </c>
      <c r="E926">
        <v>5001</v>
      </c>
      <c r="F926" t="b">
        <v>0</v>
      </c>
      <c r="G926" t="b">
        <v>1</v>
      </c>
      <c r="H926" t="b">
        <v>1</v>
      </c>
      <c r="I926" t="b">
        <v>0</v>
      </c>
    </row>
    <row r="927" spans="1:9" s="310" customFormat="1" x14ac:dyDescent="0.2">
      <c r="A927" t="s">
        <v>4900</v>
      </c>
      <c r="B927" t="s">
        <v>4503</v>
      </c>
      <c r="C927"/>
      <c r="D927" t="b">
        <f>IFERROR(VLOOKUP(B927,PatData!$A$2:$A$2000,1,),"")&lt;&gt;""</f>
        <v>1</v>
      </c>
      <c r="E927">
        <v>5010</v>
      </c>
      <c r="F927" t="b">
        <v>0</v>
      </c>
      <c r="G927" t="b">
        <v>1</v>
      </c>
      <c r="H927" t="b">
        <v>1</v>
      </c>
      <c r="I927" t="b">
        <v>0</v>
      </c>
    </row>
    <row r="928" spans="1:9" s="310" customFormat="1" x14ac:dyDescent="0.2">
      <c r="A928" t="s">
        <v>5136</v>
      </c>
      <c r="B928" t="s">
        <v>4504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1412</v>
      </c>
      <c r="B929" t="s">
        <v>2484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1423</v>
      </c>
      <c r="B930" t="s">
        <v>2485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1434</v>
      </c>
      <c r="B931" t="s">
        <v>2486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1437</v>
      </c>
      <c r="B932" t="s">
        <v>2487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1438</v>
      </c>
      <c r="B933" t="s">
        <v>2488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1439</v>
      </c>
      <c r="B934" t="s">
        <v>2489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1440</v>
      </c>
      <c r="B935" t="s">
        <v>2490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1441</v>
      </c>
      <c r="B936" t="s">
        <v>2491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1442</v>
      </c>
      <c r="B937" t="s">
        <v>2492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1413</v>
      </c>
      <c r="B938" t="s">
        <v>2493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1414</v>
      </c>
      <c r="B939" t="s">
        <v>2494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1415</v>
      </c>
      <c r="B940" t="s">
        <v>2495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1416</v>
      </c>
      <c r="B941" t="s">
        <v>2496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1417</v>
      </c>
      <c r="B942" t="s">
        <v>2497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1418</v>
      </c>
      <c r="B943" t="s">
        <v>2498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1419</v>
      </c>
      <c r="B944" t="s">
        <v>2499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1420</v>
      </c>
      <c r="B945" t="s">
        <v>2500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1421</v>
      </c>
      <c r="B946" t="s">
        <v>2501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1422</v>
      </c>
      <c r="B947" t="s">
        <v>2502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1424</v>
      </c>
      <c r="B948" t="s">
        <v>2503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1425</v>
      </c>
      <c r="B949" t="s">
        <v>2504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1426</v>
      </c>
      <c r="B950" t="s">
        <v>2505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1427</v>
      </c>
      <c r="B951" t="s">
        <v>2506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1428</v>
      </c>
      <c r="B952" t="s">
        <v>2507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1429</v>
      </c>
      <c r="B953" t="s">
        <v>2508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1430</v>
      </c>
      <c r="B954" t="s">
        <v>2509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1431</v>
      </c>
      <c r="B955" t="s">
        <v>2510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1432</v>
      </c>
      <c r="B956" t="s">
        <v>2511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1433</v>
      </c>
      <c r="B957" t="s">
        <v>2512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1435</v>
      </c>
      <c r="B958" t="s">
        <v>2513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1436</v>
      </c>
      <c r="B959" t="s">
        <v>2514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1443</v>
      </c>
      <c r="B960" t="s">
        <v>2515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1454</v>
      </c>
      <c r="B961" t="s">
        <v>2516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1465</v>
      </c>
      <c r="B962" t="s">
        <v>2517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1468</v>
      </c>
      <c r="B963" t="s">
        <v>2518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1469</v>
      </c>
      <c r="B964" t="s">
        <v>2519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1470</v>
      </c>
      <c r="B965" t="s">
        <v>2520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1471</v>
      </c>
      <c r="B966" t="s">
        <v>2521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1472</v>
      </c>
      <c r="B967" t="s">
        <v>2522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1473</v>
      </c>
      <c r="B968" t="s">
        <v>2523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1444</v>
      </c>
      <c r="B969" t="s">
        <v>2524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1445</v>
      </c>
      <c r="B970" t="s">
        <v>2525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1446</v>
      </c>
      <c r="B971" t="s">
        <v>2526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1447</v>
      </c>
      <c r="B972" t="s">
        <v>2527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1448</v>
      </c>
      <c r="B973" t="s">
        <v>2528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1449</v>
      </c>
      <c r="B974" t="s">
        <v>2529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1450</v>
      </c>
      <c r="B975" t="s">
        <v>2530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1451</v>
      </c>
      <c r="B976" t="s">
        <v>2531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1452</v>
      </c>
      <c r="B977" t="s">
        <v>2532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1453</v>
      </c>
      <c r="B978" t="s">
        <v>2533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1455</v>
      </c>
      <c r="B979" t="s">
        <v>2534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1456</v>
      </c>
      <c r="B980" t="s">
        <v>2535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1457</v>
      </c>
      <c r="B981" t="s">
        <v>2536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1458</v>
      </c>
      <c r="B982" t="s">
        <v>2537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1459</v>
      </c>
      <c r="B983" t="s">
        <v>2538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1460</v>
      </c>
      <c r="B984" t="s">
        <v>2539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1461</v>
      </c>
      <c r="B985" t="s">
        <v>2540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1462</v>
      </c>
      <c r="B986" t="s">
        <v>2541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1463</v>
      </c>
      <c r="B987" t="s">
        <v>2542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1464</v>
      </c>
      <c r="B988" t="s">
        <v>2543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1466</v>
      </c>
      <c r="B989" t="s">
        <v>2544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1467</v>
      </c>
      <c r="B990" t="s">
        <v>2545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1474</v>
      </c>
      <c r="B991" t="s">
        <v>2546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1485</v>
      </c>
      <c r="B992" t="s">
        <v>2547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1496</v>
      </c>
      <c r="B993" t="s">
        <v>2548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1499</v>
      </c>
      <c r="B994" t="s">
        <v>2549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1500</v>
      </c>
      <c r="B995" t="s">
        <v>2550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1501</v>
      </c>
      <c r="B996" t="s">
        <v>2551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1502</v>
      </c>
      <c r="B997" t="s">
        <v>2552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1503</v>
      </c>
      <c r="B998" t="s">
        <v>2553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1504</v>
      </c>
      <c r="B999" t="s">
        <v>2554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1475</v>
      </c>
      <c r="B1000" t="s">
        <v>2555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1476</v>
      </c>
      <c r="B1001" t="s">
        <v>2556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1477</v>
      </c>
      <c r="B1002" t="s">
        <v>2557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1478</v>
      </c>
      <c r="B1003" t="s">
        <v>2558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1479</v>
      </c>
      <c r="B1004" t="s">
        <v>2559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1480</v>
      </c>
      <c r="B1005" t="s">
        <v>2560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1481</v>
      </c>
      <c r="B1006" t="s">
        <v>2561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1482</v>
      </c>
      <c r="B1007" t="s">
        <v>2562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1483</v>
      </c>
      <c r="B1008" t="s">
        <v>2563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1484</v>
      </c>
      <c r="B1009" t="s">
        <v>2564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1486</v>
      </c>
      <c r="B1010" t="s">
        <v>2565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1487</v>
      </c>
      <c r="B1011" t="s">
        <v>2566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1488</v>
      </c>
      <c r="B1012" t="s">
        <v>2567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1489</v>
      </c>
      <c r="B1013" t="s">
        <v>2568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1490</v>
      </c>
      <c r="B1014" t="s">
        <v>2569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1491</v>
      </c>
      <c r="B1015" t="s">
        <v>2570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1492</v>
      </c>
      <c r="B1016" t="s">
        <v>2571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1493</v>
      </c>
      <c r="B1017" t="s">
        <v>2572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1494</v>
      </c>
      <c r="B1018" t="s">
        <v>2573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1495</v>
      </c>
      <c r="B1019" t="s">
        <v>2574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1497</v>
      </c>
      <c r="B1020" t="s">
        <v>2575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1498</v>
      </c>
      <c r="B1021" t="s">
        <v>2576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1505</v>
      </c>
      <c r="B1022" t="s">
        <v>2577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1516</v>
      </c>
      <c r="B1023" t="s">
        <v>2578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1527</v>
      </c>
      <c r="B1024" t="s">
        <v>2579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1530</v>
      </c>
      <c r="B1025" t="s">
        <v>2580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1531</v>
      </c>
      <c r="B1026" t="s">
        <v>2581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1532</v>
      </c>
      <c r="B1027" t="s">
        <v>2582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1533</v>
      </c>
      <c r="B1028" t="s">
        <v>2583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1534</v>
      </c>
      <c r="B1029" t="s">
        <v>2584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1535</v>
      </c>
      <c r="B1030" t="s">
        <v>2585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1506</v>
      </c>
      <c r="B1031" t="s">
        <v>2586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1507</v>
      </c>
      <c r="B1032" t="s">
        <v>2587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1508</v>
      </c>
      <c r="B1033" t="s">
        <v>2588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1509</v>
      </c>
      <c r="B1034" t="s">
        <v>2589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1510</v>
      </c>
      <c r="B1035" t="s">
        <v>2590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1511</v>
      </c>
      <c r="B1036" t="s">
        <v>2591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1512</v>
      </c>
      <c r="B1037" t="s">
        <v>2592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1513</v>
      </c>
      <c r="B1038" t="s">
        <v>2593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1514</v>
      </c>
      <c r="B1039" t="s">
        <v>2594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1515</v>
      </c>
      <c r="B1040" t="s">
        <v>2595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1517</v>
      </c>
      <c r="B1041" t="s">
        <v>2596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1518</v>
      </c>
      <c r="B1042" t="s">
        <v>2597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1519</v>
      </c>
      <c r="B1043" t="s">
        <v>2598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1520</v>
      </c>
      <c r="B1044" t="s">
        <v>2599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1521</v>
      </c>
      <c r="B1045" t="s">
        <v>2600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1522</v>
      </c>
      <c r="B1046" t="s">
        <v>2601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1523</v>
      </c>
      <c r="B1047" t="s">
        <v>2602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1524</v>
      </c>
      <c r="B1048" t="s">
        <v>2603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1525</v>
      </c>
      <c r="B1049" t="s">
        <v>2604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1526</v>
      </c>
      <c r="B1050" t="s">
        <v>2605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1528</v>
      </c>
      <c r="B1051" t="s">
        <v>2606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1529</v>
      </c>
      <c r="B1052" t="s">
        <v>2607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1536</v>
      </c>
      <c r="B1053" t="s">
        <v>2608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1547</v>
      </c>
      <c r="B1054" t="s">
        <v>2609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1558</v>
      </c>
      <c r="B1055" t="s">
        <v>2610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1561</v>
      </c>
      <c r="B1056" t="s">
        <v>2611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1562</v>
      </c>
      <c r="B1057" t="s">
        <v>2612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1563</v>
      </c>
      <c r="B1058" t="s">
        <v>2613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1564</v>
      </c>
      <c r="B1059" t="s">
        <v>2614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1565</v>
      </c>
      <c r="B1060" t="s">
        <v>2615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1566</v>
      </c>
      <c r="B1061" t="s">
        <v>2616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1537</v>
      </c>
      <c r="B1062" t="s">
        <v>2617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1538</v>
      </c>
      <c r="B1063" t="s">
        <v>2618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1539</v>
      </c>
      <c r="B1064" t="s">
        <v>2619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1540</v>
      </c>
      <c r="B1065" t="s">
        <v>2620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1541</v>
      </c>
      <c r="B1066" t="s">
        <v>2621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1542</v>
      </c>
      <c r="B1067" t="s">
        <v>2622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1543</v>
      </c>
      <c r="B1068" t="s">
        <v>2623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1544</v>
      </c>
      <c r="B1069" t="s">
        <v>2624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1545</v>
      </c>
      <c r="B1070" t="s">
        <v>2625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1546</v>
      </c>
      <c r="B1071" t="s">
        <v>2626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1548</v>
      </c>
      <c r="B1072" t="s">
        <v>2627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1549</v>
      </c>
      <c r="B1073" t="s">
        <v>2628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1550</v>
      </c>
      <c r="B1074" t="s">
        <v>2629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1551</v>
      </c>
      <c r="B1075" t="s">
        <v>2630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1552</v>
      </c>
      <c r="B1076" t="s">
        <v>2631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1553</v>
      </c>
      <c r="B1077" t="s">
        <v>2632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1554</v>
      </c>
      <c r="B1078" t="s">
        <v>2633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1555</v>
      </c>
      <c r="B1079" t="s">
        <v>2634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1556</v>
      </c>
      <c r="B1080" t="s">
        <v>2635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1557</v>
      </c>
      <c r="B1081" t="s">
        <v>2636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1559</v>
      </c>
      <c r="B1082" t="s">
        <v>2637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1560</v>
      </c>
      <c r="B1083" t="s">
        <v>2638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1567</v>
      </c>
      <c r="B1084" t="s">
        <v>2639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1578</v>
      </c>
      <c r="B1085" t="s">
        <v>2640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1589</v>
      </c>
      <c r="B1086" t="s">
        <v>2641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1592</v>
      </c>
      <c r="B1087" t="s">
        <v>2642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1593</v>
      </c>
      <c r="B1088" t="s">
        <v>2643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1594</v>
      </c>
      <c r="B1089" t="s">
        <v>2644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1595</v>
      </c>
      <c r="B1090" t="s">
        <v>2645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1596</v>
      </c>
      <c r="B1091" t="s">
        <v>2646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1597</v>
      </c>
      <c r="B1092" t="s">
        <v>2647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1568</v>
      </c>
      <c r="B1093" t="s">
        <v>2648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1569</v>
      </c>
      <c r="B1094" t="s">
        <v>2649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1570</v>
      </c>
      <c r="B1095" t="s">
        <v>2650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1571</v>
      </c>
      <c r="B1096" t="s">
        <v>2651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1572</v>
      </c>
      <c r="B1097" t="s">
        <v>2652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1573</v>
      </c>
      <c r="B1098" t="s">
        <v>2653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1574</v>
      </c>
      <c r="B1099" t="s">
        <v>2654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1575</v>
      </c>
      <c r="B1100" t="s">
        <v>2655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1576</v>
      </c>
      <c r="B1101" t="s">
        <v>2656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1577</v>
      </c>
      <c r="B1102" t="s">
        <v>2657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1579</v>
      </c>
      <c r="B1103" t="s">
        <v>2658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1580</v>
      </c>
      <c r="B1104" t="s">
        <v>2659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1581</v>
      </c>
      <c r="B1105" t="s">
        <v>2660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1582</v>
      </c>
      <c r="B1106" t="s">
        <v>2661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1583</v>
      </c>
      <c r="B1107" t="s">
        <v>2662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1584</v>
      </c>
      <c r="B1108" t="s">
        <v>2663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1585</v>
      </c>
      <c r="B1109" t="s">
        <v>2664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1586</v>
      </c>
      <c r="B1110" t="s">
        <v>2665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1587</v>
      </c>
      <c r="B1111" t="s">
        <v>2666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1588</v>
      </c>
      <c r="B1112" t="s">
        <v>2667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1590</v>
      </c>
      <c r="B1113" t="s">
        <v>2668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1591</v>
      </c>
      <c r="B1114" t="s">
        <v>2669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1598</v>
      </c>
      <c r="B1115" t="s">
        <v>2670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1609</v>
      </c>
      <c r="B1116" t="s">
        <v>2671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1620</v>
      </c>
      <c r="B1117" t="s">
        <v>2672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1623</v>
      </c>
      <c r="B1118" t="s">
        <v>2673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1624</v>
      </c>
      <c r="B1119" t="s">
        <v>2674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1625</v>
      </c>
      <c r="B1120" t="s">
        <v>2675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1626</v>
      </c>
      <c r="B1121" t="s">
        <v>2676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1627</v>
      </c>
      <c r="B1122" t="s">
        <v>2677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1628</v>
      </c>
      <c r="B1123" t="s">
        <v>2678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1599</v>
      </c>
      <c r="B1124" t="s">
        <v>2679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1600</v>
      </c>
      <c r="B1125" t="s">
        <v>2680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1601</v>
      </c>
      <c r="B1126" t="s">
        <v>2681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1602</v>
      </c>
      <c r="B1127" t="s">
        <v>2682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1603</v>
      </c>
      <c r="B1128" t="s">
        <v>2683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1604</v>
      </c>
      <c r="B1129" t="s">
        <v>2684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1605</v>
      </c>
      <c r="B1130" t="s">
        <v>2685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1606</v>
      </c>
      <c r="B1131" t="s">
        <v>2686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1607</v>
      </c>
      <c r="B1132" t="s">
        <v>2687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1608</v>
      </c>
      <c r="B1133" t="s">
        <v>2688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1610</v>
      </c>
      <c r="B1134" t="s">
        <v>2689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1611</v>
      </c>
      <c r="B1135" t="s">
        <v>2690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1612</v>
      </c>
      <c r="B1136" t="s">
        <v>2691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1613</v>
      </c>
      <c r="B1137" t="s">
        <v>2692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1614</v>
      </c>
      <c r="B1138" t="s">
        <v>2693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1615</v>
      </c>
      <c r="B1139" t="s">
        <v>2694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1616</v>
      </c>
      <c r="B1140" t="s">
        <v>2695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1617</v>
      </c>
      <c r="B1141" t="s">
        <v>2696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1618</v>
      </c>
      <c r="B1142" t="s">
        <v>2697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1619</v>
      </c>
      <c r="B1143" t="s">
        <v>2698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1621</v>
      </c>
      <c r="B1144" t="s">
        <v>2699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1622</v>
      </c>
      <c r="B1145" t="s">
        <v>2700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1629</v>
      </c>
      <c r="B1146" t="s">
        <v>2701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1640</v>
      </c>
      <c r="B1147" t="s">
        <v>2702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1651</v>
      </c>
      <c r="B1148" t="s">
        <v>2703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1654</v>
      </c>
      <c r="B1149" t="s">
        <v>2704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1655</v>
      </c>
      <c r="B1150" t="s">
        <v>2705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1656</v>
      </c>
      <c r="B1151" t="s">
        <v>2706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1657</v>
      </c>
      <c r="B1152" t="s">
        <v>2707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1658</v>
      </c>
      <c r="B1153" t="s">
        <v>2708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1659</v>
      </c>
      <c r="B1154" t="s">
        <v>2709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1630</v>
      </c>
      <c r="B1155" t="s">
        <v>2710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1631</v>
      </c>
      <c r="B1156" t="s">
        <v>2711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1632</v>
      </c>
      <c r="B1157" t="s">
        <v>2712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1633</v>
      </c>
      <c r="B1158" t="s">
        <v>2713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1634</v>
      </c>
      <c r="B1159" t="s">
        <v>2714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1635</v>
      </c>
      <c r="B1160" t="s">
        <v>2715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1636</v>
      </c>
      <c r="B1161" t="s">
        <v>2716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1637</v>
      </c>
      <c r="B1162" t="s">
        <v>2717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1638</v>
      </c>
      <c r="B1163" t="s">
        <v>2718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1639</v>
      </c>
      <c r="B1164" t="s">
        <v>2719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1641</v>
      </c>
      <c r="B1165" t="s">
        <v>2720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1642</v>
      </c>
      <c r="B1166" t="s">
        <v>2721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1643</v>
      </c>
      <c r="B1167" t="s">
        <v>2722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1644</v>
      </c>
      <c r="B1168" t="s">
        <v>2723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1645</v>
      </c>
      <c r="B1169" t="s">
        <v>2724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1646</v>
      </c>
      <c r="B1170" t="s">
        <v>2725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1647</v>
      </c>
      <c r="B1171" t="s">
        <v>2726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1648</v>
      </c>
      <c r="B1172" t="s">
        <v>2727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1649</v>
      </c>
      <c r="B1173" t="s">
        <v>2728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1650</v>
      </c>
      <c r="B1174" t="s">
        <v>2729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1652</v>
      </c>
      <c r="B1175" t="s">
        <v>2730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1653</v>
      </c>
      <c r="B1176" t="s">
        <v>2731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1660</v>
      </c>
      <c r="B1177" t="s">
        <v>2732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1661</v>
      </c>
      <c r="B1178" t="s">
        <v>2733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1672</v>
      </c>
      <c r="B1179" t="s">
        <v>2734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1683</v>
      </c>
      <c r="B1180" t="s">
        <v>2735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1687</v>
      </c>
      <c r="B1181" t="s">
        <v>2736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1688</v>
      </c>
      <c r="B1182" t="s">
        <v>2737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1689</v>
      </c>
      <c r="B1183" t="s">
        <v>2738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1690</v>
      </c>
      <c r="B1184" t="s">
        <v>2739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1691</v>
      </c>
      <c r="B1185" t="s">
        <v>2740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1692</v>
      </c>
      <c r="B1186" t="s">
        <v>2741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1662</v>
      </c>
      <c r="B1187" t="s">
        <v>2742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1663</v>
      </c>
      <c r="B1188" t="s">
        <v>2743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1664</v>
      </c>
      <c r="B1189" t="s">
        <v>2744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1665</v>
      </c>
      <c r="B1190" t="s">
        <v>2745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1666</v>
      </c>
      <c r="B1191" t="s">
        <v>2746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1667</v>
      </c>
      <c r="B1192" t="s">
        <v>2747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1668</v>
      </c>
      <c r="B1193" t="s">
        <v>2748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1669</v>
      </c>
      <c r="B1194" t="s">
        <v>2749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1670</v>
      </c>
      <c r="B1195" t="s">
        <v>2750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1671</v>
      </c>
      <c r="B1196" t="s">
        <v>2751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1673</v>
      </c>
      <c r="B1197" t="s">
        <v>2752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1674</v>
      </c>
      <c r="B1198" t="s">
        <v>2753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1675</v>
      </c>
      <c r="B1199" t="s">
        <v>2754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1676</v>
      </c>
      <c r="B1200" t="s">
        <v>2755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1677</v>
      </c>
      <c r="B1201" t="s">
        <v>2756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1678</v>
      </c>
      <c r="B1202" t="s">
        <v>2757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1679</v>
      </c>
      <c r="B1203" t="s">
        <v>2758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1680</v>
      </c>
      <c r="B1204" t="s">
        <v>2759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1681</v>
      </c>
      <c r="B1205" t="s">
        <v>2760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1682</v>
      </c>
      <c r="B1206" t="s">
        <v>2761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1684</v>
      </c>
      <c r="B1207" t="s">
        <v>2762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1685</v>
      </c>
      <c r="B1208" t="s">
        <v>2763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1686</v>
      </c>
      <c r="B1209" t="s">
        <v>2764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3655</v>
      </c>
      <c r="B1210" t="s">
        <v>3656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4671</v>
      </c>
      <c r="B1211" t="s">
        <v>4672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3949</v>
      </c>
      <c r="B1212" t="s">
        <v>4673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3657</v>
      </c>
      <c r="B1213" t="s">
        <v>3052</v>
      </c>
      <c r="D1213" t="b">
        <f>IFERROR(VLOOKUP(B1213,PatData!$A$2:$A$2000,1,),"")&lt;&gt;""</f>
        <v>1</v>
      </c>
      <c r="E1213">
        <v>10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3658</v>
      </c>
      <c r="B1214" t="s">
        <v>3053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3659</v>
      </c>
      <c r="B1215" t="s">
        <v>3051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3660</v>
      </c>
      <c r="B1216" t="s">
        <v>1881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3661</v>
      </c>
      <c r="B1217" t="s">
        <v>1882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3662</v>
      </c>
      <c r="B1218" t="s">
        <v>1883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3663</v>
      </c>
      <c r="B1219" t="s">
        <v>1884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3664</v>
      </c>
      <c r="B1220" t="s">
        <v>1885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3665</v>
      </c>
      <c r="B1221" t="s">
        <v>1886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3666</v>
      </c>
      <c r="B1222" t="s">
        <v>1887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3667</v>
      </c>
      <c r="B1223" t="s">
        <v>1888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3668</v>
      </c>
      <c r="B1224" t="s">
        <v>1889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3669</v>
      </c>
      <c r="B1225" t="s">
        <v>1890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3670</v>
      </c>
      <c r="B1226" t="s">
        <v>1891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3671</v>
      </c>
      <c r="B1227" t="s">
        <v>1892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3672</v>
      </c>
      <c r="B1228" t="s">
        <v>1893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3673</v>
      </c>
      <c r="B1229" t="s">
        <v>1894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3674</v>
      </c>
      <c r="B1230" t="s">
        <v>1895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3675</v>
      </c>
      <c r="B1231" t="s">
        <v>1896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3676</v>
      </c>
      <c r="B1232" t="s">
        <v>1897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3677</v>
      </c>
      <c r="B1233" t="s">
        <v>1898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3678</v>
      </c>
      <c r="B1234" t="s">
        <v>1899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3679</v>
      </c>
      <c r="B1235" t="s">
        <v>1900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3680</v>
      </c>
      <c r="B1236" t="s">
        <v>1901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3681</v>
      </c>
      <c r="B1237" t="s">
        <v>1902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3682</v>
      </c>
      <c r="B1238" t="s">
        <v>1903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3683</v>
      </c>
      <c r="B1239" t="s">
        <v>1904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3684</v>
      </c>
      <c r="B1240" t="s">
        <v>1905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3685</v>
      </c>
      <c r="B1241" t="s">
        <v>1906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3686</v>
      </c>
      <c r="B1242" t="s">
        <v>1907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3687</v>
      </c>
      <c r="B1243" t="s">
        <v>1908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3688</v>
      </c>
      <c r="B1244" t="s">
        <v>1909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3689</v>
      </c>
      <c r="B1245" t="s">
        <v>1910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3690</v>
      </c>
      <c r="B1246" t="s">
        <v>1911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3691</v>
      </c>
      <c r="B1247" t="s">
        <v>1912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3692</v>
      </c>
      <c r="B1248" t="s">
        <v>1913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3693</v>
      </c>
      <c r="B1249" t="s">
        <v>1914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3694</v>
      </c>
      <c r="B1250" t="s">
        <v>1915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3695</v>
      </c>
      <c r="B1251" t="s">
        <v>1916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3696</v>
      </c>
      <c r="B1252" t="s">
        <v>1917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3697</v>
      </c>
      <c r="B1253" t="s">
        <v>1918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3698</v>
      </c>
      <c r="B1254" t="s">
        <v>1919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3699</v>
      </c>
      <c r="B1255" t="s">
        <v>1920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3700</v>
      </c>
      <c r="B1256" t="s">
        <v>1921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3701</v>
      </c>
      <c r="B1257" t="s">
        <v>1922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3702</v>
      </c>
      <c r="B1258" t="s">
        <v>1923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3703</v>
      </c>
      <c r="B1259" t="s">
        <v>1924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3704</v>
      </c>
      <c r="B1260" t="s">
        <v>1925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3705</v>
      </c>
      <c r="B1261" t="s">
        <v>1926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3706</v>
      </c>
      <c r="B1262" t="s">
        <v>1927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3707</v>
      </c>
      <c r="B1263" t="s">
        <v>1928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3708</v>
      </c>
      <c r="B1264" t="s">
        <v>1929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3709</v>
      </c>
      <c r="B1265" t="s">
        <v>1930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3710</v>
      </c>
      <c r="B1266" t="s">
        <v>1931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3711</v>
      </c>
      <c r="B1267" t="s">
        <v>1932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3712</v>
      </c>
      <c r="B1268" t="s">
        <v>1933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3713</v>
      </c>
      <c r="B1269" t="s">
        <v>1934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3714</v>
      </c>
      <c r="B1270" t="s">
        <v>1935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3715</v>
      </c>
      <c r="B1271" t="s">
        <v>1936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3716</v>
      </c>
      <c r="B1272" t="s">
        <v>1937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3717</v>
      </c>
      <c r="B1273" t="s">
        <v>1938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3718</v>
      </c>
      <c r="B1274" t="s">
        <v>1939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3719</v>
      </c>
      <c r="B1275" t="s">
        <v>1940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3720</v>
      </c>
      <c r="B1276" t="s">
        <v>1941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3721</v>
      </c>
      <c r="B1277" t="s">
        <v>1942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3722</v>
      </c>
      <c r="B1278" t="s">
        <v>1943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3723</v>
      </c>
      <c r="B1279" t="s">
        <v>2765</v>
      </c>
      <c r="D1279" t="b">
        <f>IFERROR(VLOOKUP(B1279,PatData!$A$2:$A$2000,1,),"")&lt;&gt;""</f>
        <v>1</v>
      </c>
      <c r="E1279"/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3723</v>
      </c>
      <c r="B1280" t="s">
        <v>1944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3724</v>
      </c>
      <c r="B1281" t="s">
        <v>1945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3711</v>
      </c>
      <c r="B1282" t="s">
        <v>1760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4674</v>
      </c>
      <c r="B1283" t="s">
        <v>2766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4675</v>
      </c>
      <c r="B1284" t="s">
        <v>2767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4676</v>
      </c>
      <c r="B1285" t="s">
        <v>2768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4677</v>
      </c>
      <c r="B1286" t="s">
        <v>2769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4678</v>
      </c>
      <c r="B1287" t="s">
        <v>2770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4679</v>
      </c>
      <c r="B1288" t="s">
        <v>2771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4680</v>
      </c>
      <c r="B1289" t="s">
        <v>2772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4681</v>
      </c>
      <c r="B1290" t="s">
        <v>2773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4682</v>
      </c>
      <c r="B1291" t="s">
        <v>2774</v>
      </c>
      <c r="D1291" t="b">
        <f>IFERROR(VLOOKUP(B1291,PatData!$A$2:$A$2000,1,),"")&lt;&gt;""</f>
        <v>1</v>
      </c>
      <c r="E1291"/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4683</v>
      </c>
      <c r="B1292" t="s">
        <v>2775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4684</v>
      </c>
      <c r="B1293" t="s">
        <v>2776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4685</v>
      </c>
      <c r="B1294" t="s">
        <v>2777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4686</v>
      </c>
      <c r="B1295" t="s">
        <v>2778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4687</v>
      </c>
      <c r="B1296" t="s">
        <v>2779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1099</v>
      </c>
      <c r="B1297" t="s">
        <v>1034</v>
      </c>
      <c r="D1297" t="b">
        <f>IFERROR(VLOOKUP(B1297,PatData!$A$2:$A$2000,1,),"")&lt;&gt;""</f>
        <v>1</v>
      </c>
      <c r="E1297"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1100</v>
      </c>
      <c r="B1298" t="s">
        <v>1035</v>
      </c>
      <c r="D1298" t="b">
        <f>IFERROR(VLOOKUP(B1298,PatData!$A$2:$A$2000,1,),"")&lt;&gt;""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1101</v>
      </c>
      <c r="B1299" t="s">
        <v>1036</v>
      </c>
      <c r="D1299" t="b">
        <f>IFERROR(VLOOKUP(B1299,PatData!$A$2:$A$2000,1,),"")&lt;&gt;""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1102</v>
      </c>
      <c r="B1300" t="s">
        <v>1037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1103</v>
      </c>
      <c r="B1301" t="s">
        <v>1038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1104</v>
      </c>
      <c r="B1302" t="s">
        <v>1039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4031</v>
      </c>
      <c r="B1303" t="s">
        <v>2780</v>
      </c>
      <c r="D1303" t="b">
        <f>IFERROR(VLOOKUP(B1303,PatData!$A$2:$A$2000,1,),"")&lt;&gt;""</f>
        <v>1</v>
      </c>
      <c r="E1303"/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1105</v>
      </c>
      <c r="B1304" t="s">
        <v>2781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1106</v>
      </c>
      <c r="B1305" t="s">
        <v>2782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1107</v>
      </c>
      <c r="B1306" t="s">
        <v>2783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1108</v>
      </c>
      <c r="B1307" t="s">
        <v>2784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1109</v>
      </c>
      <c r="B1308" t="s">
        <v>2785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1110</v>
      </c>
      <c r="B1309" t="s">
        <v>2786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1111</v>
      </c>
      <c r="B1310" t="s">
        <v>2787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1112</v>
      </c>
      <c r="B1311" t="s">
        <v>2788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1113</v>
      </c>
      <c r="B1312" t="s">
        <v>2789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1114</v>
      </c>
      <c r="B1313" t="s">
        <v>2790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1115</v>
      </c>
      <c r="B1314" t="s">
        <v>2791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1116</v>
      </c>
      <c r="B1315" t="s">
        <v>2792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1117</v>
      </c>
      <c r="B1316" t="s">
        <v>2793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1118</v>
      </c>
      <c r="B1317" t="s">
        <v>2794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1119</v>
      </c>
      <c r="B1318" t="s">
        <v>2795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1120</v>
      </c>
      <c r="B1319" t="s">
        <v>2796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1121</v>
      </c>
      <c r="B1320" t="s">
        <v>2797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1122</v>
      </c>
      <c r="B1321" t="s">
        <v>2798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1123</v>
      </c>
      <c r="B1322" t="s">
        <v>2799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1124</v>
      </c>
      <c r="B1323" t="s">
        <v>2800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1125</v>
      </c>
      <c r="B1324" t="s">
        <v>2801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1126</v>
      </c>
      <c r="B1325" t="s">
        <v>2802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1127</v>
      </c>
      <c r="B1326" t="s">
        <v>2803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1128</v>
      </c>
      <c r="B1327" t="s">
        <v>2804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1129</v>
      </c>
      <c r="B1328" t="s">
        <v>2805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1130</v>
      </c>
      <c r="B1329" t="s">
        <v>2806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1131</v>
      </c>
      <c r="B1330" t="s">
        <v>2807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1132</v>
      </c>
      <c r="B1331" t="s">
        <v>2808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1133</v>
      </c>
      <c r="B1332" t="s">
        <v>2809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1134</v>
      </c>
      <c r="B1333" t="s">
        <v>2810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1135</v>
      </c>
      <c r="B1334" t="s">
        <v>2811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1136</v>
      </c>
      <c r="B1335" t="s">
        <v>2812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1137</v>
      </c>
      <c r="B1336" t="s">
        <v>2813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1138</v>
      </c>
      <c r="B1337" t="s">
        <v>2814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1139</v>
      </c>
      <c r="B1338" t="s">
        <v>2815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1140</v>
      </c>
      <c r="B1339" t="s">
        <v>2816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1141</v>
      </c>
      <c r="B1340" t="s">
        <v>2817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1142</v>
      </c>
      <c r="B1341" t="s">
        <v>2818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1143</v>
      </c>
      <c r="B1342" t="s">
        <v>2819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1144</v>
      </c>
      <c r="B1343" t="s">
        <v>2820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1145</v>
      </c>
      <c r="B1344" t="s">
        <v>2821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1146</v>
      </c>
      <c r="B1345" t="s">
        <v>2822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1147</v>
      </c>
      <c r="B1346" t="s">
        <v>2823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1148</v>
      </c>
      <c r="B1347" t="s">
        <v>2824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1149</v>
      </c>
      <c r="B1348" t="s">
        <v>2825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1150</v>
      </c>
      <c r="B1349" t="s">
        <v>2826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1151</v>
      </c>
      <c r="B1350" t="s">
        <v>2827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1152</v>
      </c>
      <c r="B1351" t="s">
        <v>2828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1153</v>
      </c>
      <c r="B1352" t="s">
        <v>2829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1154</v>
      </c>
      <c r="B1353" t="s">
        <v>2830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1155</v>
      </c>
      <c r="B1354" t="s">
        <v>2831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1156</v>
      </c>
      <c r="B1355" t="s">
        <v>2832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1157</v>
      </c>
      <c r="B1356" t="s">
        <v>2833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1158</v>
      </c>
      <c r="B1357" t="s">
        <v>2834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1159</v>
      </c>
      <c r="B1358" t="s">
        <v>2835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1160</v>
      </c>
      <c r="B1359" t="s">
        <v>2836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1161</v>
      </c>
      <c r="B1360" t="s">
        <v>2837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1162</v>
      </c>
      <c r="B1361" t="s">
        <v>2838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1163</v>
      </c>
      <c r="B1362" t="s">
        <v>2839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1164</v>
      </c>
      <c r="B1363" t="s">
        <v>2840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1165</v>
      </c>
      <c r="B1364" t="s">
        <v>2841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1166</v>
      </c>
      <c r="B1365" t="s">
        <v>2842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1167</v>
      </c>
      <c r="B1366" t="s">
        <v>2843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1168</v>
      </c>
      <c r="B1367" t="s">
        <v>2844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1169</v>
      </c>
      <c r="B1368" t="s">
        <v>2845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1170</v>
      </c>
      <c r="B1369" t="s">
        <v>2846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1171</v>
      </c>
      <c r="B1370" t="s">
        <v>2847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1172</v>
      </c>
      <c r="B1371" t="s">
        <v>2848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1173</v>
      </c>
      <c r="B1372" t="s">
        <v>2849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1174</v>
      </c>
      <c r="B1373" t="s">
        <v>2850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1175</v>
      </c>
      <c r="B1374" t="s">
        <v>2851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1176</v>
      </c>
      <c r="B1375" t="s">
        <v>2852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1177</v>
      </c>
      <c r="B1376" t="s">
        <v>2853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1178</v>
      </c>
      <c r="B1377" t="s">
        <v>2854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1179</v>
      </c>
      <c r="B1378" t="s">
        <v>2855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1180</v>
      </c>
      <c r="B1379" t="s">
        <v>2856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1181</v>
      </c>
      <c r="B1380" t="s">
        <v>2857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1182</v>
      </c>
      <c r="B1381" t="s">
        <v>2858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1183</v>
      </c>
      <c r="B1382" t="s">
        <v>2859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1184</v>
      </c>
      <c r="B1383" t="s">
        <v>2860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1185</v>
      </c>
      <c r="B1384" t="s">
        <v>2861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1186</v>
      </c>
      <c r="B1385" t="s">
        <v>2862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1187</v>
      </c>
      <c r="B1386" t="s">
        <v>2863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1188</v>
      </c>
      <c r="B1387" t="s">
        <v>2864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1189</v>
      </c>
      <c r="B1388" t="s">
        <v>2865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1190</v>
      </c>
      <c r="B1389" t="s">
        <v>2866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1191</v>
      </c>
      <c r="B1390" t="s">
        <v>2867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1192</v>
      </c>
      <c r="B1391" t="s">
        <v>2868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1193</v>
      </c>
      <c r="B1392" t="s">
        <v>2869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1194</v>
      </c>
      <c r="B1393" t="s">
        <v>2870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1195</v>
      </c>
      <c r="B1394" t="s">
        <v>2871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1196</v>
      </c>
      <c r="B1395" t="s">
        <v>2872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1197</v>
      </c>
      <c r="B1396" t="s">
        <v>2873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1198</v>
      </c>
      <c r="B1397" t="s">
        <v>2874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1199</v>
      </c>
      <c r="B1398" t="s">
        <v>2875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1200</v>
      </c>
      <c r="B1399" t="s">
        <v>2876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1201</v>
      </c>
      <c r="B1400" t="s">
        <v>2877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1202</v>
      </c>
      <c r="B1401" t="s">
        <v>2878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1203</v>
      </c>
      <c r="B1402" t="s">
        <v>2879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1204</v>
      </c>
      <c r="B1403" t="s">
        <v>2880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1205</v>
      </c>
      <c r="B1404" t="s">
        <v>2881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1206</v>
      </c>
      <c r="B1405" t="s">
        <v>2882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1207</v>
      </c>
      <c r="B1406" t="s">
        <v>2883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1208</v>
      </c>
      <c r="B1407" t="s">
        <v>2884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1209</v>
      </c>
      <c r="B1408" t="s">
        <v>2885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1210</v>
      </c>
      <c r="B1409" t="s">
        <v>2886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1211</v>
      </c>
      <c r="B1410" t="s">
        <v>2887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1212</v>
      </c>
      <c r="B1411" t="s">
        <v>2888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1213</v>
      </c>
      <c r="B1412" t="s">
        <v>2889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1214</v>
      </c>
      <c r="B1413" t="s">
        <v>2890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1215</v>
      </c>
      <c r="B1414" t="s">
        <v>2891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1216</v>
      </c>
      <c r="B1415" t="s">
        <v>2892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1217</v>
      </c>
      <c r="B1416" t="s">
        <v>2893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1218</v>
      </c>
      <c r="B1417" t="s">
        <v>2894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1219</v>
      </c>
      <c r="B1418" t="s">
        <v>2895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1220</v>
      </c>
      <c r="B1419" t="s">
        <v>2896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1221</v>
      </c>
      <c r="B1420" t="s">
        <v>2897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1222</v>
      </c>
      <c r="B1421" t="s">
        <v>2898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1223</v>
      </c>
      <c r="B1422" t="s">
        <v>2899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1224</v>
      </c>
      <c r="B1423" t="s">
        <v>2900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1225</v>
      </c>
      <c r="B1424" t="s">
        <v>2901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1226</v>
      </c>
      <c r="B1425" t="s">
        <v>2902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1227</v>
      </c>
      <c r="B1426" t="s">
        <v>2903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1228</v>
      </c>
      <c r="B1427" t="s">
        <v>2904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1229</v>
      </c>
      <c r="B1428" t="s">
        <v>2905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3948</v>
      </c>
      <c r="B1429" t="s">
        <v>2906</v>
      </c>
      <c r="D1429" t="b">
        <f>IFERROR(VLOOKUP(B1429,PatData!$A$2:$A$2000,1,),"")&lt;&gt;""</f>
        <v>1</v>
      </c>
      <c r="E1429"/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1230</v>
      </c>
      <c r="B1430" t="s">
        <v>2907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1231</v>
      </c>
      <c r="B1431" t="s">
        <v>2908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1232</v>
      </c>
      <c r="B1432" t="s">
        <v>2909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1233</v>
      </c>
      <c r="B1433" t="s">
        <v>2910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1234</v>
      </c>
      <c r="B1434" t="s">
        <v>2911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1235</v>
      </c>
      <c r="B1435" t="s">
        <v>2912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1236</v>
      </c>
      <c r="B1436" t="s">
        <v>2913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1237</v>
      </c>
      <c r="B1437" t="s">
        <v>2914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1238</v>
      </c>
      <c r="B1438" t="s">
        <v>2915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1239</v>
      </c>
      <c r="B1439" t="s">
        <v>2916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1240</v>
      </c>
      <c r="B1440" t="s">
        <v>2917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1241</v>
      </c>
      <c r="B1441" t="s">
        <v>2918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1242</v>
      </c>
      <c r="B1442" t="s">
        <v>2919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1243</v>
      </c>
      <c r="B1443" t="s">
        <v>2920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1244</v>
      </c>
      <c r="B1444" t="s">
        <v>2921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1245</v>
      </c>
      <c r="B1445" t="s">
        <v>2922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1246</v>
      </c>
      <c r="B1446" t="s">
        <v>2923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1247</v>
      </c>
      <c r="B1447" t="s">
        <v>2924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1248</v>
      </c>
      <c r="B1448" t="s">
        <v>2925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1249</v>
      </c>
      <c r="B1449" t="s">
        <v>2926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1250</v>
      </c>
      <c r="B1450" t="s">
        <v>2927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1251</v>
      </c>
      <c r="B1451" t="s">
        <v>2928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1252</v>
      </c>
      <c r="B1452" t="s">
        <v>2929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1253</v>
      </c>
      <c r="B1453" t="s">
        <v>2930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1254</v>
      </c>
      <c r="B1454" t="s">
        <v>2931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1255</v>
      </c>
      <c r="B1455" t="s">
        <v>2932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1256</v>
      </c>
      <c r="B1456" t="s">
        <v>2933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1257</v>
      </c>
      <c r="B1457" t="s">
        <v>2934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1258</v>
      </c>
      <c r="B1458" t="s">
        <v>2935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1259</v>
      </c>
      <c r="B1459" t="s">
        <v>2936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1260</v>
      </c>
      <c r="B1460" t="s">
        <v>2937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1261</v>
      </c>
      <c r="B1461" t="s">
        <v>2938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4688</v>
      </c>
      <c r="B1462" t="s">
        <v>2939</v>
      </c>
      <c r="D1462" t="b">
        <f>IFERROR(VLOOKUP(B1462,PatData!$A$2:$A$2000,1,),"")&lt;&gt;""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4689</v>
      </c>
      <c r="B1463" t="s">
        <v>2940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4690</v>
      </c>
      <c r="B1464" t="s">
        <v>2941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4691</v>
      </c>
      <c r="B1465" t="s">
        <v>2942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4692</v>
      </c>
      <c r="B1466" t="s">
        <v>2943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4693</v>
      </c>
      <c r="B1467" t="s">
        <v>2944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4694</v>
      </c>
      <c r="B1468" t="s">
        <v>2945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4695</v>
      </c>
      <c r="B1469" t="s">
        <v>2946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4696</v>
      </c>
      <c r="B1470" t="s">
        <v>2947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4697</v>
      </c>
      <c r="B1471" t="s">
        <v>2948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4698</v>
      </c>
      <c r="B1472" t="s">
        <v>2949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4699</v>
      </c>
      <c r="B1473" t="s">
        <v>2950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4700</v>
      </c>
      <c r="B1474" t="s">
        <v>2951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4701</v>
      </c>
      <c r="B1475" t="s">
        <v>2952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4702</v>
      </c>
      <c r="B1476" t="s">
        <v>2953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4703</v>
      </c>
      <c r="B1477" t="s">
        <v>3744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4704</v>
      </c>
      <c r="B1478" t="s">
        <v>3745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4705</v>
      </c>
      <c r="B1479" t="s">
        <v>3746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4706</v>
      </c>
      <c r="B1480" t="s">
        <v>3747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4707</v>
      </c>
      <c r="B1481" t="s">
        <v>3748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4708</v>
      </c>
      <c r="B1482" t="s">
        <v>2954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4709</v>
      </c>
      <c r="B1483" t="s">
        <v>2955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4710</v>
      </c>
      <c r="B1484" t="s">
        <v>2956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4711</v>
      </c>
      <c r="B1485" t="s">
        <v>2957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4712</v>
      </c>
      <c r="B1486" t="s">
        <v>2958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4713</v>
      </c>
      <c r="B1487" t="s">
        <v>2959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4714</v>
      </c>
      <c r="B1488" t="s">
        <v>2960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4715</v>
      </c>
      <c r="B1489" t="s">
        <v>2961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4716</v>
      </c>
      <c r="B1490" t="s">
        <v>2962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4717</v>
      </c>
      <c r="B1491" t="s">
        <v>2963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4718</v>
      </c>
      <c r="B1492" t="s">
        <v>2964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4719</v>
      </c>
      <c r="B1493" t="s">
        <v>2965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4720</v>
      </c>
      <c r="B1494" t="s">
        <v>2966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4721</v>
      </c>
      <c r="B1495" t="s">
        <v>2967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4722</v>
      </c>
      <c r="B1496" t="s">
        <v>2968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4723</v>
      </c>
      <c r="B1497" t="s">
        <v>3749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4724</v>
      </c>
      <c r="B1498" t="s">
        <v>3750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4725</v>
      </c>
      <c r="B1499" t="s">
        <v>3751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4726</v>
      </c>
      <c r="B1500" t="s">
        <v>3752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4727</v>
      </c>
      <c r="B1501" t="s">
        <v>3753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1262</v>
      </c>
      <c r="B1502" t="s">
        <v>2969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1263</v>
      </c>
      <c r="B1503" t="s">
        <v>2970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1264</v>
      </c>
      <c r="B1504" t="s">
        <v>2971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1265</v>
      </c>
      <c r="B1505" t="s">
        <v>2972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1266</v>
      </c>
      <c r="B1506" t="s">
        <v>2973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1267</v>
      </c>
      <c r="B1507" t="s">
        <v>2974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1268</v>
      </c>
      <c r="B1508" t="s">
        <v>2975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1269</v>
      </c>
      <c r="B1509" t="s">
        <v>2976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1270</v>
      </c>
      <c r="B1510" t="s">
        <v>2977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1271</v>
      </c>
      <c r="B1511" t="s">
        <v>2978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1272</v>
      </c>
      <c r="B1512" t="s">
        <v>2979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1273</v>
      </c>
      <c r="B1513" t="s">
        <v>2980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1274</v>
      </c>
      <c r="B1514" t="s">
        <v>2981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3754</v>
      </c>
      <c r="B1515" t="s">
        <v>2982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3756</v>
      </c>
      <c r="B1516" t="s">
        <v>2983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3759</v>
      </c>
      <c r="B1517" t="s">
        <v>3755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3761</v>
      </c>
      <c r="B1518" t="s">
        <v>3757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4728</v>
      </c>
      <c r="B1519" t="s">
        <v>3758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4729</v>
      </c>
      <c r="B1520" t="s">
        <v>3760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4730</v>
      </c>
      <c r="B1521" t="s">
        <v>3762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4731</v>
      </c>
      <c r="B1522" t="s">
        <v>2984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4732</v>
      </c>
      <c r="B1523" t="s">
        <v>2985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4733</v>
      </c>
      <c r="B1524" t="s">
        <v>2986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4734</v>
      </c>
      <c r="B1525" t="s">
        <v>2987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4735</v>
      </c>
      <c r="B1526" t="s">
        <v>2988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4736</v>
      </c>
      <c r="B1527" t="s">
        <v>2989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4737</v>
      </c>
      <c r="B1528" t="s">
        <v>2990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4738</v>
      </c>
      <c r="B1529" t="s">
        <v>2991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4739</v>
      </c>
      <c r="B1530" t="s">
        <v>2992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4740</v>
      </c>
      <c r="B1531" t="s">
        <v>2993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4741</v>
      </c>
      <c r="B1532" t="s">
        <v>2994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4742</v>
      </c>
      <c r="B1533" t="s">
        <v>2995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4743</v>
      </c>
      <c r="B1534" t="s">
        <v>2996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4744</v>
      </c>
      <c r="B1535" t="s">
        <v>2997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4745</v>
      </c>
      <c r="B1536" t="s">
        <v>2998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4746</v>
      </c>
      <c r="B1537" t="s">
        <v>2999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4747</v>
      </c>
      <c r="B1538" t="s">
        <v>3763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4748</v>
      </c>
      <c r="B1539" t="s">
        <v>3764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4749</v>
      </c>
      <c r="B1540" t="s">
        <v>3765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4750</v>
      </c>
      <c r="B1541" t="s">
        <v>3766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4751</v>
      </c>
      <c r="B1542" t="s">
        <v>3767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1275</v>
      </c>
      <c r="B1543" t="s">
        <v>3000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1276</v>
      </c>
      <c r="B1544" t="s">
        <v>3001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1277</v>
      </c>
      <c r="B1545" t="s">
        <v>3002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1278</v>
      </c>
      <c r="B1546" t="s">
        <v>3003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1279</v>
      </c>
      <c r="B1547" t="s">
        <v>3004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1280</v>
      </c>
      <c r="B1548" t="s">
        <v>3005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1281</v>
      </c>
      <c r="B1549" t="s">
        <v>3006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1282</v>
      </c>
      <c r="B1550" t="s">
        <v>3007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1283</v>
      </c>
      <c r="B1551" t="s">
        <v>3008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1284</v>
      </c>
      <c r="B1552" t="s">
        <v>3009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1285</v>
      </c>
      <c r="B1553" t="s">
        <v>3010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1286</v>
      </c>
      <c r="B1554" t="s">
        <v>3011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1287</v>
      </c>
      <c r="B1555" t="s">
        <v>3012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3768</v>
      </c>
      <c r="B1556" t="s">
        <v>3013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3770</v>
      </c>
      <c r="B1557" t="s">
        <v>3014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3773</v>
      </c>
      <c r="B1558" t="s">
        <v>3769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3775</v>
      </c>
      <c r="B1559" t="s">
        <v>3771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4752</v>
      </c>
      <c r="B1560" t="s">
        <v>3772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4753</v>
      </c>
      <c r="B1561" t="s">
        <v>3774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4754</v>
      </c>
      <c r="B1562" t="s">
        <v>3776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4032</v>
      </c>
      <c r="B1563" t="s">
        <v>3015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4033</v>
      </c>
      <c r="B1564" t="s">
        <v>3016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4034</v>
      </c>
      <c r="B1565" t="s">
        <v>3017</v>
      </c>
      <c r="D1565" t="b">
        <f>IFERROR(VLOOKUP(B1565,PatData!$A$2:$A$2000,1,),"")&lt;&gt;""</f>
        <v>1</v>
      </c>
      <c r="E1565">
        <v>2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4035</v>
      </c>
      <c r="B1566" t="s">
        <v>3018</v>
      </c>
      <c r="D1566" t="b">
        <f>IFERROR(VLOOKUP(B1566,PatData!$A$2:$A$2000,1,),"")&lt;&gt;""</f>
        <v>1</v>
      </c>
      <c r="E1566">
        <v>20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4036</v>
      </c>
      <c r="B1567" t="s">
        <v>3019</v>
      </c>
      <c r="D1567" t="b">
        <f>IFERROR(VLOOKUP(B1567,PatData!$A$2:$A$2000,1,),"")&lt;&gt;""</f>
        <v>1</v>
      </c>
      <c r="E1567">
        <v>30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4037</v>
      </c>
      <c r="B1568" t="s">
        <v>3020</v>
      </c>
      <c r="D1568" t="b">
        <f>IFERROR(VLOOKUP(B1568,PatData!$A$2:$A$2000,1,),"")&lt;&gt;""</f>
        <v>1</v>
      </c>
      <c r="E1568"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4038</v>
      </c>
      <c r="B1569" t="s">
        <v>3021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4039</v>
      </c>
      <c r="B1570" t="s">
        <v>3022</v>
      </c>
      <c r="D1570" t="b">
        <f>IFERROR(VLOOKUP(B1570,PatData!$A$2:$A$2000,1,),"")&lt;&gt;""</f>
        <v>1</v>
      </c>
      <c r="E1570">
        <v>10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1404</v>
      </c>
      <c r="B1571" t="s">
        <v>3023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1405</v>
      </c>
      <c r="B1572" t="s">
        <v>3024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1406</v>
      </c>
      <c r="B1573" t="s">
        <v>3025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1407</v>
      </c>
      <c r="B1574" t="s">
        <v>3026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1408</v>
      </c>
      <c r="B1575" t="s">
        <v>3027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1409</v>
      </c>
      <c r="B1576" t="s">
        <v>3028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1745</v>
      </c>
      <c r="B1577" t="s">
        <v>3029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1410</v>
      </c>
      <c r="B1578" t="s">
        <v>3030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1411</v>
      </c>
      <c r="B1579" t="s">
        <v>3031</v>
      </c>
      <c r="D1579" t="b">
        <f>IFERROR(VLOOKUP(B1579,PatData!$A$2:$A$2000,1,),"")&lt;&gt;""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1693</v>
      </c>
      <c r="B1580" t="s">
        <v>3032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1694</v>
      </c>
      <c r="B1581" t="s">
        <v>3033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1695</v>
      </c>
      <c r="B1582" t="s">
        <v>3034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1696</v>
      </c>
      <c r="B1583" t="s">
        <v>3035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1697</v>
      </c>
      <c r="B1584" t="s">
        <v>3036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1698</v>
      </c>
      <c r="B1585" t="s">
        <v>3037</v>
      </c>
      <c r="D1585" t="b">
        <f>IFERROR(VLOOKUP(B1585,PatData!$A$2:$A$2000,1,),"")&lt;&gt;""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1699</v>
      </c>
      <c r="B1586" t="s">
        <v>3038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3947</v>
      </c>
      <c r="B1587" t="s">
        <v>3039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1700</v>
      </c>
      <c r="B1588" t="s">
        <v>3040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1725</v>
      </c>
      <c r="B1589" t="s">
        <v>3041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1726</v>
      </c>
      <c r="B1590" t="s">
        <v>3042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1727</v>
      </c>
      <c r="B1591" t="s">
        <v>3043</v>
      </c>
      <c r="D1591" t="b">
        <f>IFERROR(VLOOKUP(B1591,PatData!$A$2:$A$2000,1,),"")&lt;&gt;""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1729</v>
      </c>
      <c r="B1592" t="s">
        <v>3044</v>
      </c>
      <c r="D1592" t="b">
        <f>IFERROR(VLOOKUP(B1592,PatData!$A$2:$A$2000,1,),"")&lt;&gt;""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1731</v>
      </c>
      <c r="B1593" t="s">
        <v>3045</v>
      </c>
      <c r="D1593" t="b">
        <f>IFERROR(VLOOKUP(B1593,PatData!$A$2:$A$2000,1,),"")&lt;&gt;""</f>
        <v>1</v>
      </c>
      <c r="E1593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1730</v>
      </c>
      <c r="B1594" t="s">
        <v>3046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1728</v>
      </c>
      <c r="B1595" t="s">
        <v>3047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1753</v>
      </c>
      <c r="B1596" t="s">
        <v>3048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1754</v>
      </c>
      <c r="B1597" t="s">
        <v>3049</v>
      </c>
      <c r="D1597" t="b">
        <f>IFERROR(VLOOKUP(B1597,PatData!$A$2:$A$2000,1,),"")&lt;&gt;""</f>
        <v>1</v>
      </c>
      <c r="E1597"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1752</v>
      </c>
      <c r="B1598" t="s">
        <v>3050</v>
      </c>
      <c r="D1598" t="b">
        <f>IFERROR(VLOOKUP(B1598,PatData!$A$2:$A$2000,1,),"")&lt;&gt;""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e">
        <v>#NAME?</v>
      </c>
      <c r="B1599" t="s">
        <v>1040</v>
      </c>
      <c r="D1599" t="b">
        <f>IFERROR(VLOOKUP(B1599,PatData!$A$2:$A$2000,1,),"")&lt;&gt;""</f>
        <v>0</v>
      </c>
      <c r="E1599"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2">
      <c r="A1600" t="s">
        <v>1701</v>
      </c>
      <c r="B1600" t="s">
        <v>1041</v>
      </c>
      <c r="D1600" t="b">
        <f>IFERROR(VLOOKUP(B1600,PatData!$A$2:$A$2000,1,),"")&lt;&gt;""</f>
        <v>0</v>
      </c>
      <c r="E1600" t="s">
        <v>3725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1702</v>
      </c>
      <c r="B1601" t="s">
        <v>1042</v>
      </c>
      <c r="D1601" t="b">
        <f>IFERROR(VLOOKUP(B1601,PatData!$A$2:$A$2000,1,),"")&lt;&gt;""</f>
        <v>0</v>
      </c>
      <c r="E1601"/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1703</v>
      </c>
      <c r="B1602" t="s">
        <v>1043</v>
      </c>
      <c r="D1602" t="b">
        <f>IFERROR(VLOOKUP(B1602,PatData!$A$2:$A$2000,1,),"")&lt;&gt;""</f>
        <v>0</v>
      </c>
      <c r="E1602"/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1704</v>
      </c>
      <c r="B1603" t="s">
        <v>1044</v>
      </c>
      <c r="D1603" t="b">
        <f>IFERROR(VLOOKUP(B1603,PatData!$A$2:$A$2000,1,),"")&lt;&gt;""</f>
        <v>0</v>
      </c>
      <c r="E1603" t="s">
        <v>3726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1705</v>
      </c>
      <c r="B1604" t="s">
        <v>1045</v>
      </c>
      <c r="D1604" t="b">
        <f>IFERROR(VLOOKUP(B1604,PatData!$A$2:$A$2000,1,),"")&lt;&gt;""</f>
        <v>0</v>
      </c>
      <c r="E1604" t="s">
        <v>3725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1706</v>
      </c>
      <c r="B1605" t="s">
        <v>1046</v>
      </c>
      <c r="D1605" t="b">
        <f>IFERROR(VLOOKUP(B1605,PatData!$A$2:$A$2000,1,),"")&lt;&gt;""</f>
        <v>0</v>
      </c>
      <c r="E1605"/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1707</v>
      </c>
      <c r="B1606" t="s">
        <v>1047</v>
      </c>
      <c r="D1606" t="b">
        <f>IFERROR(VLOOKUP(B1606,PatData!$A$2:$A$2000,1,),"")&lt;&gt;""</f>
        <v>0</v>
      </c>
      <c r="E1606" t="s">
        <v>3726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1708</v>
      </c>
      <c r="B1607" t="s">
        <v>1048</v>
      </c>
      <c r="D1607" t="b">
        <f>IFERROR(VLOOKUP(B1607,PatData!$A$2:$A$2000,1,),"")&lt;&gt;""</f>
        <v>0</v>
      </c>
      <c r="E1607" t="s">
        <v>245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1709</v>
      </c>
      <c r="B1608" t="s">
        <v>1049</v>
      </c>
      <c r="D1608" t="b">
        <f>IFERROR(VLOOKUP(B1608,PatData!$A$2:$A$2000,1,),"")&lt;&gt;""</f>
        <v>0</v>
      </c>
      <c r="E1608" t="s">
        <v>245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1710</v>
      </c>
      <c r="B1609" t="s">
        <v>1050</v>
      </c>
      <c r="D1609" t="b">
        <f>IFERROR(VLOOKUP(B1609,PatData!$A$2:$A$2000,1,),"")&lt;&gt;""</f>
        <v>0</v>
      </c>
      <c r="E1609" t="s">
        <v>245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1711</v>
      </c>
      <c r="B1610" t="s">
        <v>1051</v>
      </c>
      <c r="D1610" t="b">
        <f>IFERROR(VLOOKUP(B1610,PatData!$A$2:$A$2000,1,),"")&lt;&gt;""</f>
        <v>0</v>
      </c>
      <c r="E1610" t="s">
        <v>245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1712</v>
      </c>
      <c r="B1611" t="s">
        <v>1052</v>
      </c>
      <c r="D1611" t="b">
        <f>IFERROR(VLOOKUP(B1611,PatData!$A$2:$A$2000,1,),"")&lt;&gt;""</f>
        <v>0</v>
      </c>
      <c r="E1611" t="s">
        <v>245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1713</v>
      </c>
      <c r="B1612" t="s">
        <v>1053</v>
      </c>
      <c r="D1612" t="b">
        <f>IFERROR(VLOOKUP(B1612,PatData!$A$2:$A$2000,1,),"")&lt;&gt;""</f>
        <v>0</v>
      </c>
      <c r="E1612" t="b"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1714</v>
      </c>
      <c r="B1613" t="s">
        <v>1054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1715</v>
      </c>
      <c r="B1614" t="s">
        <v>1055</v>
      </c>
      <c r="D1614" t="b">
        <f>IFERROR(VLOOKUP(B1614,PatData!$A$2:$A$2000,1,),"")&lt;&gt;""</f>
        <v>0</v>
      </c>
      <c r="E1614" t="b"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3727</v>
      </c>
      <c r="B1615" t="s">
        <v>1056</v>
      </c>
      <c r="D1615" t="b">
        <f>IFERROR(VLOOKUP(B1615,PatData!$A$2:$A$2000,1,),"")&lt;&gt;""</f>
        <v>0</v>
      </c>
      <c r="E1615" t="b"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3728</v>
      </c>
      <c r="B1616" t="s">
        <v>1057</v>
      </c>
      <c r="D1616" t="b">
        <f>IFERROR(VLOOKUP(B1616,PatData!$A$2:$A$2000,1,),"")&lt;&gt;""</f>
        <v>0</v>
      </c>
      <c r="E1616"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1716</v>
      </c>
      <c r="B1617" t="s">
        <v>1058</v>
      </c>
      <c r="D1617" t="b">
        <f>IFERROR(VLOOKUP(B1617,PatData!$A$2:$A$2000,1,),"")&lt;&gt;""</f>
        <v>0</v>
      </c>
      <c r="E1617" t="b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1717</v>
      </c>
      <c r="B1618" t="s">
        <v>1059</v>
      </c>
      <c r="D1618" t="b">
        <f>IFERROR(VLOOKUP(B1618,PatData!$A$2:$A$2000,1,),"")&lt;&gt;""</f>
        <v>0</v>
      </c>
      <c r="E1618" t="s">
        <v>1019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1718</v>
      </c>
      <c r="B1619" t="s">
        <v>1060</v>
      </c>
      <c r="D1619" t="b">
        <f>IFERROR(VLOOKUP(B1619,PatData!$A$2:$A$2000,1,),"")&lt;&gt;""</f>
        <v>0</v>
      </c>
      <c r="E1619" t="s">
        <v>4023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1719</v>
      </c>
      <c r="B1620" t="s">
        <v>1061</v>
      </c>
      <c r="D1620" t="b">
        <f>IFERROR(VLOOKUP(B1620,PatData!$A$2:$A$2000,1,),"")&lt;&gt;""</f>
        <v>0</v>
      </c>
      <c r="E1620" t="b">
        <v>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1720</v>
      </c>
      <c r="B1621" t="s">
        <v>1062</v>
      </c>
      <c r="D1621" t="b">
        <f>IFERROR(VLOOKUP(B1621,PatData!$A$2:$A$2000,1,),"")&lt;&gt;""</f>
        <v>0</v>
      </c>
      <c r="E1621" t="s">
        <v>1017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1721</v>
      </c>
      <c r="B1622" t="s">
        <v>1063</v>
      </c>
      <c r="D1622" t="b">
        <f>IFERROR(VLOOKUP(B1622,PatData!$A$2:$A$2000,1,),"")&lt;&gt;""</f>
        <v>0</v>
      </c>
      <c r="E1622" t="b"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1722</v>
      </c>
      <c r="B1623" t="s">
        <v>1064</v>
      </c>
      <c r="D1623" t="b">
        <f>IFERROR(VLOOKUP(B1623,PatData!$A$2:$A$2000,1,),"")&lt;&gt;""</f>
        <v>0</v>
      </c>
      <c r="E1623" t="s">
        <v>1011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1723</v>
      </c>
      <c r="B1624" t="s">
        <v>1065</v>
      </c>
      <c r="D1624" t="b">
        <f>IFERROR(VLOOKUP(B1624,PatData!$A$2:$A$2000,1,),"")&lt;&gt;""</f>
        <v>0</v>
      </c>
      <c r="E1624" t="s">
        <v>1012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1724</v>
      </c>
      <c r="B1625" t="s">
        <v>1066</v>
      </c>
      <c r="D1625" t="b">
        <f>IFERROR(VLOOKUP(B1625,PatData!$A$2:$A$2000,1,),"")&lt;&gt;""</f>
        <v>0</v>
      </c>
      <c r="E1625" t="s">
        <v>1015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4755</v>
      </c>
      <c r="B1626" t="s">
        <v>4596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4756</v>
      </c>
      <c r="B1627" t="s">
        <v>4595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4757</v>
      </c>
      <c r="B1628" t="s">
        <v>4623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4758</v>
      </c>
      <c r="B1629" t="s">
        <v>4607</v>
      </c>
      <c r="D1629" t="b">
        <f>IFERROR(VLOOKUP(B1629,PatData!$A$2:$A$2000,1,),"")&lt;&gt;""</f>
        <v>0</v>
      </c>
      <c r="E1629" t="s">
        <v>227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5147</v>
      </c>
      <c r="B1630" t="s">
        <v>4608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5148</v>
      </c>
      <c r="B1631" t="s">
        <v>1956</v>
      </c>
      <c r="D1631" t="b">
        <f>IFERROR(VLOOKUP(B1631,PatData!$A$2:$A$2000,1,),"")&lt;&gt;""</f>
        <v>0</v>
      </c>
      <c r="E1631" t="s">
        <v>155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3126</v>
      </c>
      <c r="B1632" t="s">
        <v>3127</v>
      </c>
      <c r="D1632" t="b">
        <f>IFERROR(VLOOKUP(B1632,PatData!$A$2:$A$2000,1,),"")&lt;&gt;""</f>
        <v>0</v>
      </c>
      <c r="E1632" t="s">
        <v>3073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4901</v>
      </c>
      <c r="B1633" t="s">
        <v>1957</v>
      </c>
      <c r="D1633" t="b">
        <f>IFERROR(VLOOKUP(B1633,PatData!$A$2:$A$2000,1,),"")&lt;&gt;""</f>
        <v>0</v>
      </c>
      <c r="E1633" t="s">
        <v>3073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4901</v>
      </c>
      <c r="B1634" t="s">
        <v>1958</v>
      </c>
      <c r="D1634" t="b">
        <f>IFERROR(VLOOKUP(B1634,PatData!$A$2:$A$2000,1,),"")&lt;&gt;""</f>
        <v>0</v>
      </c>
      <c r="E1634" t="s">
        <v>3073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4902</v>
      </c>
      <c r="B1635" t="s">
        <v>1986</v>
      </c>
      <c r="D1635" t="b">
        <f>IFERROR(VLOOKUP(B1635,PatData!$A$2:$A$2000,1,),"")&lt;&gt;""</f>
        <v>0</v>
      </c>
      <c r="E1635" t="s">
        <v>551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4901</v>
      </c>
      <c r="B1636" t="s">
        <v>1980</v>
      </c>
      <c r="D1636" t="b">
        <f>IFERROR(VLOOKUP(B1636,PatData!$A$2:$A$2000,1,),"")&lt;&gt;""</f>
        <v>0</v>
      </c>
      <c r="E1636" t="s">
        <v>551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4901</v>
      </c>
      <c r="B1637" t="s">
        <v>1981</v>
      </c>
      <c r="D1637" t="b">
        <f>IFERROR(VLOOKUP(B1637,PatData!$A$2:$A$2000,1,),"")&lt;&gt;""</f>
        <v>0</v>
      </c>
      <c r="E1637" t="s">
        <v>551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4901</v>
      </c>
      <c r="B1638" t="s">
        <v>1982</v>
      </c>
      <c r="D1638" t="b">
        <f>IFERROR(VLOOKUP(B1638,PatData!$A$2:$A$2000,1,),"")&lt;&gt;""</f>
        <v>0</v>
      </c>
      <c r="E1638" t="s">
        <v>551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4759</v>
      </c>
      <c r="B1639" t="s">
        <v>4760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4901</v>
      </c>
      <c r="B1640" t="s">
        <v>1948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4903</v>
      </c>
      <c r="B1641" t="s">
        <v>1949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4901</v>
      </c>
      <c r="B1642" t="s">
        <v>1946</v>
      </c>
      <c r="D1642" t="b">
        <f>IFERROR(VLOOKUP(B1642,PatData!$A$2:$A$2000,1,),"")&lt;&gt;""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4901</v>
      </c>
      <c r="B1643" t="s">
        <v>1947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4904</v>
      </c>
      <c r="B1644" t="s">
        <v>1950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4905</v>
      </c>
      <c r="B1645" t="s">
        <v>4800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4901</v>
      </c>
      <c r="B1646" t="s">
        <v>1983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4901</v>
      </c>
      <c r="B1647" t="s">
        <v>1984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4901</v>
      </c>
      <c r="B1648" t="s">
        <v>1985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4761</v>
      </c>
      <c r="B1649" t="s">
        <v>4600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4762</v>
      </c>
      <c r="B1650" t="s">
        <v>4763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4901</v>
      </c>
      <c r="B1651" t="s">
        <v>1961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4901</v>
      </c>
      <c r="B1652" t="s">
        <v>1987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4901</v>
      </c>
      <c r="B1653" t="s">
        <v>1988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4901</v>
      </c>
      <c r="B1654" t="s">
        <v>1993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1732</v>
      </c>
      <c r="B1655" t="s">
        <v>1962</v>
      </c>
      <c r="D1655" t="b">
        <f>IFERROR(VLOOKUP(B1655,PatData!$A$2:$A$2000,1,),"")&lt;&gt;""</f>
        <v>0</v>
      </c>
      <c r="E1655">
        <v>0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4764</v>
      </c>
      <c r="B1656" t="s">
        <v>4597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3729</v>
      </c>
      <c r="B1657" t="s">
        <v>1757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3128</v>
      </c>
      <c r="B1658" t="s">
        <v>3129</v>
      </c>
      <c r="D1658" t="b">
        <f>IFERROR(VLOOKUP(B1658,PatData!$A$2:$A$2000,1,),"")&lt;&gt;""</f>
        <v>0</v>
      </c>
      <c r="E1658" t="s">
        <v>3055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3730</v>
      </c>
      <c r="B1659" t="s">
        <v>1763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3731</v>
      </c>
      <c r="B1660" t="s">
        <v>1764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3732</v>
      </c>
      <c r="B1661" t="s">
        <v>1762</v>
      </c>
      <c r="D1661" t="b">
        <f>IFERROR(VLOOKUP(B1661,PatData!$A$2:$A$2000,1,),"")&lt;&gt;""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4765</v>
      </c>
      <c r="B1662" t="s">
        <v>4766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3733</v>
      </c>
      <c r="B1663" t="s">
        <v>1766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3734</v>
      </c>
      <c r="B1664" t="s">
        <v>1759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4906</v>
      </c>
      <c r="B1665" t="s">
        <v>4633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3735</v>
      </c>
      <c r="B1666" t="s">
        <v>1758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3736</v>
      </c>
      <c r="B1667" t="s">
        <v>1761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4040</v>
      </c>
      <c r="B1668" t="s">
        <v>1959</v>
      </c>
      <c r="D1668" t="b">
        <f>IFERROR(VLOOKUP(B1668,PatData!$A$2:$A$2000,1,),"")&lt;&gt;""</f>
        <v>0</v>
      </c>
      <c r="E1668">
        <v>30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4041</v>
      </c>
      <c r="B1669" t="s">
        <v>1960</v>
      </c>
      <c r="D1669" t="b">
        <f>IFERROR(VLOOKUP(B1669,PatData!$A$2:$A$2000,1,),"")&lt;&gt;""</f>
        <v>0</v>
      </c>
      <c r="E1669">
        <v>70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4767</v>
      </c>
      <c r="B1670" t="s">
        <v>4768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4769</v>
      </c>
      <c r="B1671" t="s">
        <v>4610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4770</v>
      </c>
      <c r="B1672" t="s">
        <v>4609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1746</v>
      </c>
      <c r="B1673" t="s">
        <v>1989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1747</v>
      </c>
      <c r="B1674" t="s">
        <v>1990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1748</v>
      </c>
      <c r="B1675" t="s">
        <v>1991</v>
      </c>
      <c r="D1675" t="b">
        <f>IFERROR(VLOOKUP(B1675,PatData!$A$2:$A$2000,1,),"")&lt;&gt;""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1749</v>
      </c>
      <c r="B1676" t="s">
        <v>1992</v>
      </c>
      <c r="D1676" t="b">
        <f>IFERROR(VLOOKUP(B1676,PatData!$A$2:$A$2000,1,),"")&lt;&gt;""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1750</v>
      </c>
      <c r="B1677" t="s">
        <v>1994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1751</v>
      </c>
      <c r="B1678" t="s">
        <v>1995</v>
      </c>
      <c r="D1678" t="b">
        <f>IFERROR(VLOOKUP(B1678,PatData!$A$2:$A$2000,1,),"")&lt;&gt;""</f>
        <v>0</v>
      </c>
      <c r="E1678"/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3737</v>
      </c>
      <c r="B1679" t="s">
        <v>1765</v>
      </c>
      <c r="D1679" t="b">
        <f>IFERROR(VLOOKUP(B1679,PatData!$A$2:$A$2000,1,),"")&lt;&gt;""</f>
        <v>0</v>
      </c>
      <c r="E1679">
        <v>1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4771</v>
      </c>
      <c r="B1680" t="s">
        <v>4593</v>
      </c>
      <c r="D1680" t="b">
        <f>IFERROR(VLOOKUP(B1680,PatData!$A$2:$A$2000,1,),"")&lt;&gt;""</f>
        <v>0</v>
      </c>
      <c r="E1680"/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1733</v>
      </c>
      <c r="B1681" t="s">
        <v>946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1734</v>
      </c>
      <c r="B1682" t="s">
        <v>1067</v>
      </c>
      <c r="D1682" t="b">
        <f>IFERROR(VLOOKUP(B1682,PatData!$A$2:$A$2000,1,),"")&lt;&gt;""</f>
        <v>0</v>
      </c>
      <c r="E1682"/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1735</v>
      </c>
      <c r="B1683" t="s">
        <v>945</v>
      </c>
      <c r="D1683" t="b">
        <f>IFERROR(VLOOKUP(B1683,PatData!$A$2:$A$2000,1,),"")&lt;&gt;""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1736</v>
      </c>
      <c r="B1684" t="s">
        <v>942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1737</v>
      </c>
      <c r="B1685" t="s">
        <v>944</v>
      </c>
      <c r="D1685" t="b">
        <f>IFERROR(VLOOKUP(B1685,PatData!$A$2:$A$2000,1,),"")&lt;&gt;""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1738</v>
      </c>
      <c r="B1686" t="s">
        <v>943</v>
      </c>
      <c r="D1686" t="b">
        <f>IFERROR(VLOOKUP(B1686,PatData!$A$2:$A$2000,1,),"")&lt;&gt;""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1739</v>
      </c>
      <c r="B1687" t="s">
        <v>1068</v>
      </c>
      <c r="D1687" t="b">
        <f>IFERROR(VLOOKUP(B1687,PatData!$A$2:$A$2000,1,),"")&lt;&gt;""</f>
        <v>0</v>
      </c>
      <c r="E1687"/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1740</v>
      </c>
      <c r="B1688" t="s">
        <v>941</v>
      </c>
      <c r="D1688" t="b">
        <f>IFERROR(VLOOKUP(B1688,PatData!$A$2:$A$2000,1,),"")&lt;&gt;""</f>
        <v>0</v>
      </c>
      <c r="E1688"/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4907</v>
      </c>
      <c r="B1689" t="s">
        <v>1069</v>
      </c>
      <c r="D1689" t="b">
        <f>IFERROR(VLOOKUP(B1689,PatData!$A$2:$A$2000,1,),"")&lt;&gt;""</f>
        <v>0</v>
      </c>
      <c r="E1689"/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4772</v>
      </c>
      <c r="B1690" t="s">
        <v>1070</v>
      </c>
      <c r="D1690" t="b">
        <f>IFERROR(VLOOKUP(B1690,PatData!$A$2:$A$2000,1,),"")&lt;&gt;""</f>
        <v>0</v>
      </c>
      <c r="E1690">
        <v>1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1741</v>
      </c>
      <c r="B1691" t="s">
        <v>1071</v>
      </c>
      <c r="D1691" t="b">
        <f>IFERROR(VLOOKUP(B1691,PatData!$A$2:$A$2000,1,),"")&lt;&gt;""</f>
        <v>0</v>
      </c>
      <c r="E1691"/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1742</v>
      </c>
      <c r="B1692" t="s">
        <v>1072</v>
      </c>
      <c r="D1692" t="b">
        <f>IFERROR(VLOOKUP(B1692,PatData!$A$2:$A$2000,1,),"")&lt;&gt;""</f>
        <v>0</v>
      </c>
      <c r="E1692"/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4773</v>
      </c>
      <c r="B1693" t="s">
        <v>1073</v>
      </c>
      <c r="D1693" t="b">
        <f>IFERROR(VLOOKUP(B1693,PatData!$A$2:$A$2000,1,),"")&lt;&gt;""</f>
        <v>0</v>
      </c>
      <c r="E1693"/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4773</v>
      </c>
      <c r="B1694" t="s">
        <v>1074</v>
      </c>
      <c r="D1694" t="b">
        <f>IFERROR(VLOOKUP(B1694,PatData!$A$2:$A$2000,1,),"")&lt;&gt;""</f>
        <v>0</v>
      </c>
      <c r="E1694"/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4773</v>
      </c>
      <c r="B1695" t="s">
        <v>1075</v>
      </c>
      <c r="D1695" t="b">
        <f>IFERROR(VLOOKUP(B1695,PatData!$A$2:$A$2000,1,),"")&lt;&gt;""</f>
        <v>0</v>
      </c>
      <c r="E1695"/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4774</v>
      </c>
      <c r="B1696" t="s">
        <v>1076</v>
      </c>
      <c r="D1696" t="b">
        <f>IFERROR(VLOOKUP(B1696,PatData!$A$2:$A$2000,1,),"")&lt;&gt;""</f>
        <v>0</v>
      </c>
      <c r="E1696" t="s">
        <v>484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1743</v>
      </c>
      <c r="B1697" t="s">
        <v>1077</v>
      </c>
      <c r="D1697" t="b">
        <f>IFERROR(VLOOKUP(B1697,PatData!$A$2:$A$2000,1,),"")&lt;&gt;""</f>
        <v>0</v>
      </c>
      <c r="E1697"/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3738</v>
      </c>
      <c r="B1698" t="s">
        <v>1078</v>
      </c>
      <c r="D1698" t="b">
        <f>IFERROR(VLOOKUP(B1698,PatData!$A$2:$A$2000,1,),"")&lt;&gt;""</f>
        <v>0</v>
      </c>
      <c r="E1698"/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1744</v>
      </c>
      <c r="B1699" t="s">
        <v>1079</v>
      </c>
      <c r="D1699" t="b">
        <f>IFERROR(VLOOKUP(B1699,PatData!$A$2:$A$2000,1,),"")&lt;&gt;""</f>
        <v>0</v>
      </c>
      <c r="E1699"/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4775</v>
      </c>
      <c r="B1700" t="s">
        <v>1080</v>
      </c>
      <c r="D1700" t="b">
        <f>IFERROR(VLOOKUP(B1700,PatData!$A$2:$A$2000,1,),"")&lt;&gt;""</f>
        <v>0</v>
      </c>
      <c r="E1700"/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4773</v>
      </c>
      <c r="B1701" t="s">
        <v>1081</v>
      </c>
      <c r="D1701" t="b">
        <f>IFERROR(VLOOKUP(B1701,PatData!$A$2:$A$2000,1,),"")&lt;&gt;""</f>
        <v>0</v>
      </c>
      <c r="E1701"/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4776</v>
      </c>
      <c r="B1702" t="s">
        <v>1082</v>
      </c>
      <c r="D1702" t="b">
        <f>IFERROR(VLOOKUP(B1702,PatData!$A$2:$A$2000,1,),"")&lt;&gt;""</f>
        <v>0</v>
      </c>
      <c r="E1702"/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4957</v>
      </c>
      <c r="B1703" t="s">
        <v>4323</v>
      </c>
      <c r="D1703" t="b">
        <f>IFERROR(VLOOKUP(B1703,PatData!$A$2:$A$2000,1,),"")&lt;&gt;""</f>
        <v>0</v>
      </c>
      <c r="E1703" t="s">
        <v>4958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4908</v>
      </c>
      <c r="B1704" t="s">
        <v>4324</v>
      </c>
      <c r="D1704" t="b">
        <f>IFERROR(VLOOKUP(B1704,PatData!$A$2:$A$2000,1,),"")&lt;&gt;""</f>
        <v>0</v>
      </c>
      <c r="E1704" t="s">
        <v>4909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4910</v>
      </c>
      <c r="B1705" t="s">
        <v>4325</v>
      </c>
      <c r="D1705" t="b">
        <f>IFERROR(VLOOKUP(B1705,PatData!$A$2:$A$2000,1,),"")&lt;&gt;""</f>
        <v>0</v>
      </c>
      <c r="E1705" t="s">
        <v>4911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4912</v>
      </c>
      <c r="B1706" t="s">
        <v>4326</v>
      </c>
      <c r="D1706" t="b">
        <f>IFERROR(VLOOKUP(B1706,PatData!$A$2:$A$2000,1,),"")&lt;&gt;""</f>
        <v>0</v>
      </c>
      <c r="E1706" t="s">
        <v>4913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4914</v>
      </c>
      <c r="B1707" t="s">
        <v>4327</v>
      </c>
      <c r="D1707" t="b">
        <f>IFERROR(VLOOKUP(B1707,PatData!$A$2:$A$2000,1,),"")&lt;&gt;""</f>
        <v>0</v>
      </c>
      <c r="E1707" t="s">
        <v>4915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4916</v>
      </c>
      <c r="B1708" t="s">
        <v>4328</v>
      </c>
      <c r="D1708" t="b">
        <f>IFERROR(VLOOKUP(B1708,PatData!$A$2:$A$2000,1,),"")&lt;&gt;""</f>
        <v>0</v>
      </c>
      <c r="E1708" t="s">
        <v>4917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4918</v>
      </c>
      <c r="B1709" t="s">
        <v>4329</v>
      </c>
      <c r="D1709" t="b">
        <f>IFERROR(VLOOKUP(B1709,PatData!$A$2:$A$2000,1,),"")&lt;&gt;""</f>
        <v>0</v>
      </c>
      <c r="E1709" t="s">
        <v>4919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4920</v>
      </c>
      <c r="B1710" t="s">
        <v>4330</v>
      </c>
      <c r="D1710" t="b">
        <f>IFERROR(VLOOKUP(B1710,PatData!$A$2:$A$2000,1,),"")&lt;&gt;""</f>
        <v>0</v>
      </c>
      <c r="E1710" t="s">
        <v>4921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4922</v>
      </c>
      <c r="B1711" t="s">
        <v>4331</v>
      </c>
      <c r="D1711" t="b">
        <f>IFERROR(VLOOKUP(B1711,PatData!$A$2:$A$2000,1,),"")&lt;&gt;""</f>
        <v>0</v>
      </c>
      <c r="E1711" t="s">
        <v>4923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4924</v>
      </c>
      <c r="B1712" t="s">
        <v>4332</v>
      </c>
      <c r="D1712" t="b">
        <f>IFERROR(VLOOKUP(B1712,PatData!$A$2:$A$2000,1,),"")&lt;&gt;""</f>
        <v>0</v>
      </c>
      <c r="E1712" t="s">
        <v>4925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5169</v>
      </c>
      <c r="B1713" t="s">
        <v>4333</v>
      </c>
      <c r="D1713" t="b">
        <f>IFERROR(VLOOKUP(B1713,PatData!$A$2:$A$2000,1,),"")&lt;&gt;""</f>
        <v>0</v>
      </c>
      <c r="E1713" t="s">
        <v>5170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4926</v>
      </c>
      <c r="B1714" t="s">
        <v>4334</v>
      </c>
      <c r="D1714" t="b">
        <f>IFERROR(VLOOKUP(B1714,PatData!$A$2:$A$2000,1,),"")&lt;&gt;""</f>
        <v>0</v>
      </c>
      <c r="E1714" t="s">
        <v>4927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4928</v>
      </c>
      <c r="B1715" t="s">
        <v>4335</v>
      </c>
      <c r="D1715" t="b">
        <f>IFERROR(VLOOKUP(B1715,PatData!$A$2:$A$2000,1,),"")&lt;&gt;""</f>
        <v>0</v>
      </c>
      <c r="E1715" t="s">
        <v>4929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4930</v>
      </c>
      <c r="B1716" t="s">
        <v>4336</v>
      </c>
      <c r="D1716" t="b">
        <f>IFERROR(VLOOKUP(B1716,PatData!$A$2:$A$2000,1,),"")&lt;&gt;""</f>
        <v>0</v>
      </c>
      <c r="E1716" t="s">
        <v>4931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4932</v>
      </c>
      <c r="B1717" t="s">
        <v>4337</v>
      </c>
      <c r="D1717" t="b">
        <f>IFERROR(VLOOKUP(B1717,PatData!$A$2:$A$2000,1,),"")&lt;&gt;""</f>
        <v>0</v>
      </c>
      <c r="E1717" t="s">
        <v>4933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4934</v>
      </c>
      <c r="B1718" t="s">
        <v>4338</v>
      </c>
      <c r="D1718" t="b">
        <f>IFERROR(VLOOKUP(B1718,PatData!$A$2:$A$2000,1,),"")&lt;&gt;""</f>
        <v>0</v>
      </c>
      <c r="E1718" t="s">
        <v>4935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4980</v>
      </c>
      <c r="B1719" t="s">
        <v>5160</v>
      </c>
      <c r="D1719" t="b">
        <f>IFERROR(VLOOKUP(B1719,PatData!$A$2:$A$2000,1,),"")&lt;&gt;""</f>
        <v>0</v>
      </c>
      <c r="E1719" t="s">
        <v>4981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4959</v>
      </c>
      <c r="B1720" t="s">
        <v>5161</v>
      </c>
      <c r="D1720" t="b">
        <f>IFERROR(VLOOKUP(B1720,PatData!$A$2:$A$2000,1,),"")&lt;&gt;""</f>
        <v>0</v>
      </c>
      <c r="E1720" t="s">
        <v>5171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4936</v>
      </c>
      <c r="B1721" t="s">
        <v>5162</v>
      </c>
      <c r="D1721" t="b">
        <f>IFERROR(VLOOKUP(B1721,PatData!$A$2:$A$2000,1,),"")&lt;&gt;""</f>
        <v>0</v>
      </c>
      <c r="E1721" t="s">
        <v>4937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4938</v>
      </c>
      <c r="B1722" t="s">
        <v>5163</v>
      </c>
      <c r="D1722" t="b">
        <f>IFERROR(VLOOKUP(B1722,PatData!$A$2:$A$2000,1,),"")&lt;&gt;""</f>
        <v>0</v>
      </c>
      <c r="E1722" t="s">
        <v>5149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4939</v>
      </c>
      <c r="B1723" t="s">
        <v>5164</v>
      </c>
      <c r="D1723" t="b">
        <f>IFERROR(VLOOKUP(B1723,PatData!$A$2:$A$2000,1,),"")&lt;&gt;""</f>
        <v>0</v>
      </c>
      <c r="E1723" t="s">
        <v>4940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4941</v>
      </c>
      <c r="B1724" t="s">
        <v>5165</v>
      </c>
      <c r="D1724" t="b">
        <f>IFERROR(VLOOKUP(B1724,PatData!$A$2:$A$2000,1,),"")&lt;&gt;""</f>
        <v>0</v>
      </c>
      <c r="E1724" t="s">
        <v>4942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4943</v>
      </c>
      <c r="B1725" t="s">
        <v>5166</v>
      </c>
      <c r="D1725" t="b">
        <f>IFERROR(VLOOKUP(B1725,PatData!$A$2:$A$2000,1,),"")&lt;&gt;""</f>
        <v>0</v>
      </c>
      <c r="E1725" t="s">
        <v>4944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4945</v>
      </c>
      <c r="B1726" t="s">
        <v>5167</v>
      </c>
      <c r="D1726" t="b">
        <f>IFERROR(VLOOKUP(B1726,PatData!$A$2:$A$2000,1,),"")&lt;&gt;""</f>
        <v>0</v>
      </c>
      <c r="E1726" t="s">
        <v>4946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4947</v>
      </c>
      <c r="B1727" t="s">
        <v>5168</v>
      </c>
      <c r="D1727" t="b">
        <f>IFERROR(VLOOKUP(B1727,PatData!$A$2:$A$2000,1,),"")&lt;&gt;""</f>
        <v>0</v>
      </c>
      <c r="E1727" t="s">
        <v>4948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4949</v>
      </c>
      <c r="B1728" t="s">
        <v>5158</v>
      </c>
      <c r="D1728" t="b">
        <f>IFERROR(VLOOKUP(B1728,PatData!$A$2:$A$2000,1,),"")&lt;&gt;""</f>
        <v>0</v>
      </c>
      <c r="E1728" t="s">
        <v>4950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4951</v>
      </c>
      <c r="B1729" t="s">
        <v>5159</v>
      </c>
      <c r="D1729" t="b">
        <f>IFERROR(VLOOKUP(B1729,PatData!$A$2:$A$2000,1,),"")&lt;&gt;""</f>
        <v>0</v>
      </c>
      <c r="E1729" t="s">
        <v>4952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4953</v>
      </c>
      <c r="B1730" t="s">
        <v>5172</v>
      </c>
      <c r="D1730" t="b">
        <f>IFERROR(VLOOKUP(B1730,PatData!$A$2:$A$2000,1,),"")&lt;&gt;""</f>
        <v>0</v>
      </c>
      <c r="E1730" t="s">
        <v>4954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4955</v>
      </c>
      <c r="B1731" t="s">
        <v>5173</v>
      </c>
      <c r="D1731" t="b">
        <f>IFERROR(VLOOKUP(B1731,PatData!$A$2:$A$2000,1,),"")&lt;&gt;""</f>
        <v>0</v>
      </c>
      <c r="E1731" t="s">
        <v>4956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4960</v>
      </c>
      <c r="B1732" t="s">
        <v>4339</v>
      </c>
      <c r="D1732" t="b">
        <f>IFERROR(VLOOKUP(B1732,PatData!$A$2:$A$2000,1,),"")&lt;&gt;""</f>
        <v>0</v>
      </c>
      <c r="E1732" t="s">
        <v>4961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4962</v>
      </c>
      <c r="B1733" t="s">
        <v>4340</v>
      </c>
      <c r="D1733" t="b">
        <f>IFERROR(VLOOKUP(B1733,PatData!$A$2:$A$2000,1,),"")&lt;&gt;""</f>
        <v>0</v>
      </c>
      <c r="E1733" t="s">
        <v>4963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4964</v>
      </c>
      <c r="B1734" t="s">
        <v>4341</v>
      </c>
      <c r="D1734" t="b">
        <f>IFERROR(VLOOKUP(B1734,PatData!$A$2:$A$2000,1,),"")&lt;&gt;""</f>
        <v>0</v>
      </c>
      <c r="E1734" t="s">
        <v>4965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4966</v>
      </c>
      <c r="B1735" t="s">
        <v>4342</v>
      </c>
      <c r="D1735" t="b">
        <f>IFERROR(VLOOKUP(B1735,PatData!$A$2:$A$2000,1,),"")&lt;&gt;""</f>
        <v>0</v>
      </c>
      <c r="E1735" t="s">
        <v>4967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4968</v>
      </c>
      <c r="B1736" t="s">
        <v>4343</v>
      </c>
      <c r="D1736" t="b">
        <f>IFERROR(VLOOKUP(B1736,PatData!$A$2:$A$2000,1,),"")&lt;&gt;""</f>
        <v>0</v>
      </c>
      <c r="E1736" t="s">
        <v>4969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4970</v>
      </c>
      <c r="B1737" t="s">
        <v>4344</v>
      </c>
      <c r="D1737" t="b">
        <f>IFERROR(VLOOKUP(B1737,PatData!$A$2:$A$2000,1,),"")&lt;&gt;""</f>
        <v>0</v>
      </c>
      <c r="E1737" t="s">
        <v>4971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4972</v>
      </c>
      <c r="B1738" t="s">
        <v>4345</v>
      </c>
      <c r="D1738" t="b">
        <f>IFERROR(VLOOKUP(B1738,PatData!$A$2:$A$2000,1,),"")&lt;&gt;""</f>
        <v>0</v>
      </c>
      <c r="E1738" t="s">
        <v>4973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4974</v>
      </c>
      <c r="B1739" t="s">
        <v>4346</v>
      </c>
      <c r="D1739" t="b">
        <f>IFERROR(VLOOKUP(B1739,PatData!$A$2:$A$2000,1,),"")&lt;&gt;""</f>
        <v>0</v>
      </c>
      <c r="E1739" t="s">
        <v>4975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4976</v>
      </c>
      <c r="B1740" t="s">
        <v>4347</v>
      </c>
      <c r="D1740" t="b">
        <f>IFERROR(VLOOKUP(B1740,PatData!$A$2:$A$2000,1,),"")&lt;&gt;""</f>
        <v>0</v>
      </c>
      <c r="E1740" t="s">
        <v>4977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4978</v>
      </c>
      <c r="B1741" t="s">
        <v>4348</v>
      </c>
      <c r="D1741" t="b">
        <f>IFERROR(VLOOKUP(B1741,PatData!$A$2:$A$2000,1,),"")&lt;&gt;""</f>
        <v>0</v>
      </c>
      <c r="E1741" t="s">
        <v>4979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4252</v>
      </c>
      <c r="B1742" t="s">
        <v>4289</v>
      </c>
      <c r="D1742" t="b">
        <f>IFERROR(VLOOKUP(B1742,PatData!$A$2:$A$2000,1,),"")&lt;&gt;""</f>
        <v>0</v>
      </c>
      <c r="E1742" t="s">
        <v>4982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4253</v>
      </c>
      <c r="B1743" t="s">
        <v>4290</v>
      </c>
      <c r="D1743" t="b">
        <f>IFERROR(VLOOKUP(B1743,PatData!$A$2:$A$2000,1,),"")&lt;&gt;""</f>
        <v>0</v>
      </c>
      <c r="E1743" t="s">
        <v>4983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4254</v>
      </c>
      <c r="B1744" t="s">
        <v>4291</v>
      </c>
      <c r="D1744" t="b">
        <f>IFERROR(VLOOKUP(B1744,PatData!$A$2:$A$2000,1,),"")&lt;&gt;""</f>
        <v>0</v>
      </c>
      <c r="E1744" t="s">
        <v>3135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4255</v>
      </c>
      <c r="B1745" t="s">
        <v>4292</v>
      </c>
      <c r="D1745" t="b">
        <f>IFERROR(VLOOKUP(B1745,PatData!$A$2:$A$2000,1,),"")&lt;&gt;""</f>
        <v>0</v>
      </c>
      <c r="E1745" t="s">
        <v>4984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4256</v>
      </c>
      <c r="B1746" t="s">
        <v>4293</v>
      </c>
      <c r="D1746" t="b">
        <f>IFERROR(VLOOKUP(B1746,PatData!$A$2:$A$2000,1,),"")&lt;&gt;""</f>
        <v>0</v>
      </c>
      <c r="E1746" t="s">
        <v>4985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4257</v>
      </c>
      <c r="B1747" t="s">
        <v>4294</v>
      </c>
      <c r="D1747" t="b">
        <f>IFERROR(VLOOKUP(B1747,PatData!$A$2:$A$2000,1,),"")&lt;&gt;""</f>
        <v>0</v>
      </c>
      <c r="E1747" t="s">
        <v>4986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4258</v>
      </c>
      <c r="B1748" t="s">
        <v>4295</v>
      </c>
      <c r="D1748" t="b">
        <f>IFERROR(VLOOKUP(B1748,PatData!$A$2:$A$2000,1,),"")&lt;&gt;""</f>
        <v>0</v>
      </c>
      <c r="E1748" t="s">
        <v>419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4259</v>
      </c>
      <c r="B1749" t="s">
        <v>4296</v>
      </c>
      <c r="D1749" t="b">
        <f>IFERROR(VLOOKUP(B1749,PatData!$A$2:$A$2000,1,),"")&lt;&gt;""</f>
        <v>0</v>
      </c>
      <c r="E1749" t="s">
        <v>4987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4260</v>
      </c>
      <c r="B1750" t="s">
        <v>4297</v>
      </c>
      <c r="D1750" t="b">
        <f>IFERROR(VLOOKUP(B1750,PatData!$A$2:$A$2000,1,),"")&lt;&gt;""</f>
        <v>0</v>
      </c>
      <c r="E1750" t="s">
        <v>4988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4261</v>
      </c>
      <c r="B1751" t="s">
        <v>4298</v>
      </c>
      <c r="D1751" t="b">
        <f>IFERROR(VLOOKUP(B1751,PatData!$A$2:$A$2000,1,),"")&lt;&gt;""</f>
        <v>0</v>
      </c>
      <c r="E1751" t="s">
        <v>4989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4262</v>
      </c>
      <c r="B1752" t="s">
        <v>4299</v>
      </c>
      <c r="D1752" t="b">
        <f>IFERROR(VLOOKUP(B1752,PatData!$A$2:$A$2000,1,),"")&lt;&gt;""</f>
        <v>0</v>
      </c>
      <c r="E1752" t="s">
        <v>4990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4263</v>
      </c>
      <c r="B1753" t="s">
        <v>4300</v>
      </c>
      <c r="D1753" t="b">
        <f>IFERROR(VLOOKUP(B1753,PatData!$A$2:$A$2000,1,),"")&lt;&gt;""</f>
        <v>0</v>
      </c>
      <c r="E1753" t="s">
        <v>4991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4264</v>
      </c>
      <c r="B1754" t="s">
        <v>4301</v>
      </c>
      <c r="D1754" t="b">
        <f>IFERROR(VLOOKUP(B1754,PatData!$A$2:$A$2000,1,),"")&lt;&gt;""</f>
        <v>0</v>
      </c>
      <c r="E1754" t="s">
        <v>513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4265</v>
      </c>
      <c r="B1755" t="s">
        <v>4302</v>
      </c>
      <c r="D1755" t="b">
        <f>IFERROR(VLOOKUP(B1755,PatData!$A$2:$A$2000,1,),"")&lt;&gt;""</f>
        <v>0</v>
      </c>
      <c r="E1755" t="s">
        <v>4992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4266</v>
      </c>
      <c r="B1756" t="s">
        <v>4303</v>
      </c>
      <c r="D1756" t="b">
        <f>IFERROR(VLOOKUP(B1756,PatData!$A$2:$A$2000,1,),"")&lt;&gt;""</f>
        <v>0</v>
      </c>
      <c r="E1756" t="s">
        <v>4993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4267</v>
      </c>
      <c r="B1757" t="s">
        <v>4304</v>
      </c>
      <c r="D1757" t="b">
        <f>IFERROR(VLOOKUP(B1757,PatData!$A$2:$A$2000,1,),"")&lt;&gt;""</f>
        <v>0</v>
      </c>
      <c r="E1757" t="s">
        <v>420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4268</v>
      </c>
      <c r="B1758" t="s">
        <v>4305</v>
      </c>
      <c r="D1758" t="b">
        <f>IFERROR(VLOOKUP(B1758,PatData!$A$2:$A$2000,1,),"")&lt;&gt;""</f>
        <v>0</v>
      </c>
      <c r="E1758" t="s">
        <v>4994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4269</v>
      </c>
      <c r="B1759" t="s">
        <v>4306</v>
      </c>
      <c r="D1759" t="b">
        <f>IFERROR(VLOOKUP(B1759,PatData!$A$2:$A$2000,1,),"")&lt;&gt;""</f>
        <v>0</v>
      </c>
      <c r="E1759" t="s">
        <v>4995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4270</v>
      </c>
      <c r="B1760" t="s">
        <v>4307</v>
      </c>
      <c r="D1760" t="b">
        <f>IFERROR(VLOOKUP(B1760,PatData!$A$2:$A$2000,1,),"")&lt;&gt;""</f>
        <v>0</v>
      </c>
      <c r="E1760" t="s">
        <v>34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4271</v>
      </c>
      <c r="B1761" t="s">
        <v>4308</v>
      </c>
      <c r="D1761" t="b">
        <f>IFERROR(VLOOKUP(B1761,PatData!$A$2:$A$2000,1,),"")&lt;&gt;""</f>
        <v>0</v>
      </c>
      <c r="E1761" t="s">
        <v>4996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4272</v>
      </c>
      <c r="B1762" t="s">
        <v>4309</v>
      </c>
      <c r="D1762" t="b">
        <f>IFERROR(VLOOKUP(B1762,PatData!$A$2:$A$2000,1,),"")&lt;&gt;""</f>
        <v>0</v>
      </c>
      <c r="E1762" t="s">
        <v>4997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4273</v>
      </c>
      <c r="B1763" t="s">
        <v>4310</v>
      </c>
      <c r="D1763" t="b">
        <f>IFERROR(VLOOKUP(B1763,PatData!$A$2:$A$2000,1,),"")&lt;&gt;""</f>
        <v>0</v>
      </c>
      <c r="E1763" t="s">
        <v>515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4274</v>
      </c>
      <c r="B1764" t="s">
        <v>4311</v>
      </c>
      <c r="D1764" t="b">
        <f>IFERROR(VLOOKUP(B1764,PatData!$A$2:$A$2000,1,),"")&lt;&gt;""</f>
        <v>0</v>
      </c>
      <c r="E1764" t="s">
        <v>4998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4275</v>
      </c>
      <c r="B1765" t="s">
        <v>4312</v>
      </c>
      <c r="D1765" t="b">
        <f>IFERROR(VLOOKUP(B1765,PatData!$A$2:$A$2000,1,),"")&lt;&gt;""</f>
        <v>0</v>
      </c>
      <c r="E1765" t="s">
        <v>4999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4276</v>
      </c>
      <c r="B1766" t="s">
        <v>4313</v>
      </c>
      <c r="D1766" t="b">
        <f>IFERROR(VLOOKUP(B1766,PatData!$A$2:$A$2000,1,),"")&lt;&gt;""</f>
        <v>0</v>
      </c>
      <c r="E1766" t="s">
        <v>514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4277</v>
      </c>
      <c r="B1767" t="s">
        <v>4314</v>
      </c>
      <c r="D1767" t="b">
        <f>IFERROR(VLOOKUP(B1767,PatData!$A$2:$A$2000,1,),"")&lt;&gt;""</f>
        <v>0</v>
      </c>
      <c r="E1767" t="s">
        <v>5000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4278</v>
      </c>
      <c r="B1768" t="s">
        <v>4315</v>
      </c>
      <c r="D1768" t="b">
        <f>IFERROR(VLOOKUP(B1768,PatData!$A$2:$A$2000,1,),"")&lt;&gt;""</f>
        <v>0</v>
      </c>
      <c r="E1768" t="s">
        <v>5001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4279</v>
      </c>
      <c r="B1769" t="s">
        <v>4316</v>
      </c>
      <c r="D1769" t="b">
        <f>IFERROR(VLOOKUP(B1769,PatData!$A$2:$A$2000,1,),"")&lt;&gt;""</f>
        <v>0</v>
      </c>
      <c r="E1769" t="s">
        <v>326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4280</v>
      </c>
      <c r="B1770" t="s">
        <v>4317</v>
      </c>
      <c r="D1770" t="b">
        <f>IFERROR(VLOOKUP(B1770,PatData!$A$2:$A$2000,1,),"")&lt;&gt;""</f>
        <v>0</v>
      </c>
      <c r="E1770" t="s">
        <v>5002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4281</v>
      </c>
      <c r="B1771" t="s">
        <v>4318</v>
      </c>
      <c r="D1771" t="b">
        <f>IFERROR(VLOOKUP(B1771,PatData!$A$2:$A$2000,1,),"")&lt;&gt;""</f>
        <v>0</v>
      </c>
      <c r="E1771" t="s">
        <v>5003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4282</v>
      </c>
      <c r="B1772" t="s">
        <v>4319</v>
      </c>
      <c r="D1772" t="b">
        <f>IFERROR(VLOOKUP(B1772,PatData!$A$2:$A$2000,1,),"")&lt;&gt;""</f>
        <v>0</v>
      </c>
      <c r="E1772" t="s">
        <v>194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4283</v>
      </c>
      <c r="B1773" t="s">
        <v>4320</v>
      </c>
      <c r="D1773" t="b">
        <f>IFERROR(VLOOKUP(B1773,PatData!$A$2:$A$2000,1,),"")&lt;&gt;""</f>
        <v>0</v>
      </c>
      <c r="E1773" t="s">
        <v>3136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4284</v>
      </c>
      <c r="B1774" t="s">
        <v>4321</v>
      </c>
      <c r="D1774" t="b">
        <f>IFERROR(VLOOKUP(B1774,PatData!$A$2:$A$2000,1,),"")&lt;&gt;""</f>
        <v>0</v>
      </c>
      <c r="E1774" t="s">
        <v>3137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4285</v>
      </c>
      <c r="B1775" t="s">
        <v>4322</v>
      </c>
      <c r="D1775" t="b">
        <f>IFERROR(VLOOKUP(B1775,PatData!$A$2:$A$2000,1,),"")&lt;&gt;""</f>
        <v>0</v>
      </c>
      <c r="E1775" t="s">
        <v>3138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4042</v>
      </c>
      <c r="B1776" t="s">
        <v>1996</v>
      </c>
      <c r="D1776" t="b">
        <f>IFERROR(VLOOKUP(B1776,PatData!$A$2:$A$2000,1,),"")&lt;&gt;""</f>
        <v>0</v>
      </c>
      <c r="E1776" t="s">
        <v>2001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4777</v>
      </c>
      <c r="B1777" t="s">
        <v>1955</v>
      </c>
      <c r="D1777" t="b">
        <f>IFERROR(VLOOKUP(B1777,PatData!$A$2:$A$2000,1,),"")&lt;&gt;""</f>
        <v>0</v>
      </c>
      <c r="E1777"/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1401</v>
      </c>
      <c r="B1778" t="s">
        <v>1973</v>
      </c>
      <c r="D1778" t="b">
        <f>IFERROR(VLOOKUP(B1778,PatData!$A$2:$A$2000,1,),"")&lt;&gt;""</f>
        <v>0</v>
      </c>
      <c r="E1778" t="s">
        <v>3130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1402</v>
      </c>
      <c r="B1779" t="s">
        <v>1974</v>
      </c>
      <c r="D1779" t="b">
        <f>IFERROR(VLOOKUP(B1779,PatData!$A$2:$A$2000,1,),"")&lt;&gt;""</f>
        <v>0</v>
      </c>
      <c r="E1779" t="s">
        <v>3131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1403</v>
      </c>
      <c r="B1780" t="s">
        <v>1975</v>
      </c>
      <c r="D1780" t="b">
        <f>IFERROR(VLOOKUP(B1780,PatData!$A$2:$A$2000,1,),"")&lt;&gt;""</f>
        <v>0</v>
      </c>
      <c r="E1780" t="s">
        <v>3132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1096</v>
      </c>
      <c r="B1781" t="s">
        <v>1952</v>
      </c>
      <c r="D1781" t="b">
        <f>IFERROR(VLOOKUP(B1781,PatData!$A$2:$A$2000,1,),"")&lt;&gt;""</f>
        <v>0</v>
      </c>
      <c r="E1781" t="s">
        <v>3133</v>
      </c>
      <c r="F1781" t="b">
        <v>1</v>
      </c>
      <c r="G1781" t="b">
        <v>0</v>
      </c>
      <c r="H1781" t="b">
        <v>0</v>
      </c>
      <c r="I1781" t="b">
        <v>0</v>
      </c>
    </row>
    <row r="1782" spans="1:9" ht="140.25" x14ac:dyDescent="0.2">
      <c r="A1782" t="s">
        <v>1097</v>
      </c>
      <c r="B1782" t="s">
        <v>1953</v>
      </c>
      <c r="D1782" t="b">
        <f>IFERROR(VLOOKUP(B1782,PatData!$A$2:$A$2000,1,),"")&lt;&gt;""</f>
        <v>0</v>
      </c>
      <c r="E1782" s="19" t="s">
        <v>3134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5004</v>
      </c>
      <c r="B1783" t="s">
        <v>1954</v>
      </c>
      <c r="D1783" t="b">
        <f>IFERROR(VLOOKUP(B1783,PatData!$A$2:$A$2000,1,),"")&lt;&gt;""</f>
        <v>0</v>
      </c>
      <c r="E1783" t="s">
        <v>4778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3633</v>
      </c>
      <c r="B1784" t="s">
        <v>4505</v>
      </c>
      <c r="D1784" t="b">
        <f>IFERROR(VLOOKUP(B1784,PatData!$A$2:$A$2000,1,),"")&lt;&gt;""</f>
        <v>0</v>
      </c>
      <c r="E1784">
        <v>10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3634</v>
      </c>
      <c r="B1785" t="s">
        <v>5005</v>
      </c>
      <c r="D1785" t="b">
        <f>IFERROR(VLOOKUP(B1785,PatData!$A$2:$A$2000,1,),"")&lt;&gt;""</f>
        <v>0</v>
      </c>
      <c r="E1785">
        <v>3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3635</v>
      </c>
      <c r="B1786" t="s">
        <v>5006</v>
      </c>
      <c r="D1786" t="b">
        <f>IFERROR(VLOOKUP(B1786,PatData!$A$2:$A$2000,1,),"")&lt;&gt;""</f>
        <v>0</v>
      </c>
      <c r="E1786">
        <v>6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5007</v>
      </c>
      <c r="B1787" t="s">
        <v>5008</v>
      </c>
      <c r="D1787" t="b">
        <f>IFERROR(VLOOKUP(B1787,PatData!$A$2:$A$2000,1,),"")&lt;&gt;""</f>
        <v>0</v>
      </c>
      <c r="E1787">
        <v>8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5009</v>
      </c>
      <c r="B1788" t="s">
        <v>5010</v>
      </c>
      <c r="D1788" t="b">
        <f>IFERROR(VLOOKUP(B1788,PatData!$A$2:$A$2000,1,),"")&lt;&gt;""</f>
        <v>0</v>
      </c>
      <c r="E1788">
        <v>13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5011</v>
      </c>
      <c r="B1789" t="s">
        <v>5012</v>
      </c>
      <c r="D1789" t="b">
        <f>IFERROR(VLOOKUP(B1789,PatData!$A$2:$A$2000,1,),"")&lt;&gt;""</f>
        <v>0</v>
      </c>
      <c r="E1789">
        <v>15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3636</v>
      </c>
      <c r="B1790" t="s">
        <v>5013</v>
      </c>
      <c r="D1790" t="b">
        <f>IFERROR(VLOOKUP(B1790,PatData!$A$2:$A$2000,1,),"")&lt;&gt;""</f>
        <v>0</v>
      </c>
      <c r="E1790">
        <v>17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4782</v>
      </c>
      <c r="B1791" t="s">
        <v>5014</v>
      </c>
      <c r="D1791" t="b">
        <f>IFERROR(VLOOKUP(B1791,PatData!$A$2:$A$2000,1,),"")&lt;&gt;""</f>
        <v>0</v>
      </c>
      <c r="E1791">
        <v>19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5015</v>
      </c>
      <c r="B1792" t="s">
        <v>5016</v>
      </c>
      <c r="D1792" t="b">
        <f>IFERROR(VLOOKUP(B1792,PatData!$A$2:$A$2000,1,),"")&lt;&gt;""</f>
        <v>0</v>
      </c>
      <c r="E1792">
        <v>21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5017</v>
      </c>
      <c r="B1793" t="s">
        <v>5018</v>
      </c>
      <c r="D1793" t="b">
        <f>IFERROR(VLOOKUP(B1793,PatData!$A$2:$A$2000,1,),"")&lt;&gt;""</f>
        <v>0</v>
      </c>
      <c r="E1793">
        <v>22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5019</v>
      </c>
      <c r="B1794" t="s">
        <v>5020</v>
      </c>
      <c r="D1794" t="b">
        <f>IFERROR(VLOOKUP(B1794,PatData!$A$2:$A$2000,1,),"")&lt;&gt;""</f>
        <v>0</v>
      </c>
      <c r="E1794">
        <v>23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3637</v>
      </c>
      <c r="B1795" t="s">
        <v>5021</v>
      </c>
      <c r="D1795" t="b">
        <f>IFERROR(VLOOKUP(B1795,PatData!$A$2:$A$2000,1,),"")&lt;&gt;""</f>
        <v>0</v>
      </c>
      <c r="E1795">
        <v>10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3638</v>
      </c>
      <c r="B1796" t="s">
        <v>5022</v>
      </c>
      <c r="D1796" t="b">
        <f>IFERROR(VLOOKUP(B1796,PatData!$A$2:$A$2000,1,),"")&lt;&gt;""</f>
        <v>0</v>
      </c>
      <c r="E1796">
        <v>10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5023</v>
      </c>
      <c r="B1797" t="s">
        <v>5024</v>
      </c>
      <c r="D1797" t="b">
        <f>IFERROR(VLOOKUP(B1797,PatData!$A$2:$A$2000,1,),"")&lt;&gt;""</f>
        <v>0</v>
      </c>
      <c r="E1797">
        <v>10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5025</v>
      </c>
      <c r="B1798" t="s">
        <v>5026</v>
      </c>
      <c r="D1798" t="b">
        <f>IFERROR(VLOOKUP(B1798,PatData!$A$2:$A$2000,1,),"")&lt;&gt;""</f>
        <v>0</v>
      </c>
      <c r="E1798">
        <v>10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5027</v>
      </c>
      <c r="B1799" t="s">
        <v>5028</v>
      </c>
      <c r="D1799" t="b">
        <f>IFERROR(VLOOKUP(B1799,PatData!$A$2:$A$2000,1,),"")&lt;&gt;""</f>
        <v>0</v>
      </c>
      <c r="E1799">
        <v>10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5029</v>
      </c>
      <c r="B1800" t="s">
        <v>5030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5031</v>
      </c>
      <c r="B1801" t="s">
        <v>5032</v>
      </c>
      <c r="D1801" t="b">
        <f>IFERROR(VLOOKUP(B1801,PatData!$A$2:$A$2000,1,),"")&lt;&gt;""</f>
        <v>0</v>
      </c>
      <c r="E1801">
        <v>10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5033</v>
      </c>
      <c r="B1802" t="s">
        <v>5034</v>
      </c>
      <c r="D1802" t="b">
        <f>IFERROR(VLOOKUP(B1802,PatData!$A$2:$A$2000,1,),"")&lt;&gt;""</f>
        <v>0</v>
      </c>
      <c r="E1802">
        <v>10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5035</v>
      </c>
      <c r="B1803" t="s">
        <v>5036</v>
      </c>
      <c r="D1803" t="b">
        <f>IFERROR(VLOOKUP(B1803,PatData!$A$2:$A$2000,1,),"")&lt;&gt;""</f>
        <v>0</v>
      </c>
      <c r="E1803">
        <v>10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5037</v>
      </c>
      <c r="B1804" t="s">
        <v>5038</v>
      </c>
      <c r="D1804" t="b">
        <f>IFERROR(VLOOKUP(B1804,PatData!$A$2:$A$2000,1,),"")&lt;&gt;""</f>
        <v>0</v>
      </c>
      <c r="E1804">
        <v>10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5039</v>
      </c>
      <c r="B1805" t="s">
        <v>4506</v>
      </c>
      <c r="D1805" t="b">
        <f>IFERROR(VLOOKUP(B1805,PatData!$A$2:$A$2000,1,),"")&lt;&gt;""</f>
        <v>0</v>
      </c>
      <c r="E1805" t="s">
        <v>5145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5040</v>
      </c>
      <c r="B1806" t="s">
        <v>4507</v>
      </c>
      <c r="D1806" t="b">
        <f>IFERROR(VLOOKUP(B1806,PatData!$A$2:$A$2000,1,),"")&lt;&gt;""</f>
        <v>0</v>
      </c>
      <c r="E1806" t="s">
        <v>5146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3640</v>
      </c>
      <c r="B1807" t="s">
        <v>5041</v>
      </c>
      <c r="D1807" t="b">
        <f>IFERROR(VLOOKUP(B1807,PatData!$A$2:$A$2000,1,),"")&lt;&gt;""</f>
        <v>0</v>
      </c>
      <c r="E1807">
        <v>12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3641</v>
      </c>
      <c r="B1808" t="s">
        <v>5042</v>
      </c>
      <c r="D1808" t="b">
        <f>IFERROR(VLOOKUP(B1808,PatData!$A$2:$A$2000,1,),"")&lt;&gt;""</f>
        <v>0</v>
      </c>
      <c r="E1808">
        <v>12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5043</v>
      </c>
      <c r="B1809" t="s">
        <v>5044</v>
      </c>
      <c r="D1809" t="b">
        <f>IFERROR(VLOOKUP(B1809,PatData!$A$2:$A$2000,1,),"")&lt;&gt;""</f>
        <v>0</v>
      </c>
      <c r="E1809">
        <v>12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5045</v>
      </c>
      <c r="B1810" t="s">
        <v>5046</v>
      </c>
      <c r="D1810" t="b">
        <f>IFERROR(VLOOKUP(B1810,PatData!$A$2:$A$2000,1,),"")&lt;&gt;""</f>
        <v>0</v>
      </c>
      <c r="E1810">
        <v>12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5047</v>
      </c>
      <c r="B1811" t="s">
        <v>5048</v>
      </c>
      <c r="D1811" t="b">
        <f>IFERROR(VLOOKUP(B1811,PatData!$A$2:$A$2000,1,),"")&lt;&gt;""</f>
        <v>0</v>
      </c>
      <c r="E1811">
        <v>12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5049</v>
      </c>
      <c r="B1812" t="s">
        <v>5050</v>
      </c>
      <c r="D1812" t="b">
        <f>IFERROR(VLOOKUP(B1812,PatData!$A$2:$A$2000,1,),"")&lt;&gt;""</f>
        <v>0</v>
      </c>
      <c r="E1812">
        <v>12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5051</v>
      </c>
      <c r="B1813" t="s">
        <v>5052</v>
      </c>
      <c r="D1813" t="b">
        <f>IFERROR(VLOOKUP(B1813,PatData!$A$2:$A$2000,1,),"")&lt;&gt;""</f>
        <v>0</v>
      </c>
      <c r="E1813">
        <v>12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5053</v>
      </c>
      <c r="B1814" t="s">
        <v>5054</v>
      </c>
      <c r="D1814" t="b">
        <f>IFERROR(VLOOKUP(B1814,PatData!$A$2:$A$2000,1,),"")&lt;&gt;""</f>
        <v>0</v>
      </c>
      <c r="E1814">
        <v>12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4795</v>
      </c>
      <c r="B1815" t="s">
        <v>5055</v>
      </c>
      <c r="D1815" t="b">
        <f>IFERROR(VLOOKUP(B1815,PatData!$A$2:$A$2000,1,),"")&lt;&gt;""</f>
        <v>0</v>
      </c>
      <c r="E1815">
        <v>12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4794</v>
      </c>
      <c r="B1816" t="s">
        <v>5056</v>
      </c>
      <c r="D1816" t="b">
        <f>IFERROR(VLOOKUP(B1816,PatData!$A$2:$A$2000,1,),"")&lt;&gt;""</f>
        <v>0</v>
      </c>
      <c r="E1816">
        <v>12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3642</v>
      </c>
      <c r="B1817" t="s">
        <v>4508</v>
      </c>
      <c r="D1817" t="b">
        <f>IFERROR(VLOOKUP(B1817,PatData!$A$2:$A$2000,1,),"")&lt;&gt;""</f>
        <v>0</v>
      </c>
      <c r="E1817">
        <v>3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3643</v>
      </c>
      <c r="B1818" t="s">
        <v>4509</v>
      </c>
      <c r="D1818" t="b">
        <f>IFERROR(VLOOKUP(B1818,PatData!$A$2:$A$2000,1,),"")&lt;&gt;""</f>
        <v>0</v>
      </c>
      <c r="E1818">
        <v>12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3644</v>
      </c>
      <c r="B1819" t="s">
        <v>4510</v>
      </c>
      <c r="D1819" t="b">
        <f>IFERROR(VLOOKUP(B1819,PatData!$A$2:$A$2000,1,),"")&lt;&gt;""</f>
        <v>0</v>
      </c>
      <c r="E1819">
        <v>3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3645</v>
      </c>
      <c r="B1820" t="s">
        <v>4511</v>
      </c>
      <c r="D1820" t="b">
        <f>IFERROR(VLOOKUP(B1820,PatData!$A$2:$A$2000,1,),"")&lt;&gt;""</f>
        <v>0</v>
      </c>
      <c r="E1820">
        <v>3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3646</v>
      </c>
      <c r="B1821" t="s">
        <v>4512</v>
      </c>
      <c r="D1821" t="b">
        <f>IFERROR(VLOOKUP(B1821,PatData!$A$2:$A$2000,1,),"")&lt;&gt;""</f>
        <v>0</v>
      </c>
      <c r="E1821">
        <v>3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5057</v>
      </c>
      <c r="B1822" t="s">
        <v>4513</v>
      </c>
      <c r="D1822" t="b">
        <f>IFERROR(VLOOKUP(B1822,PatData!$A$2:$A$2000,1,),"")&lt;&gt;""</f>
        <v>0</v>
      </c>
      <c r="E1822">
        <v>3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5058</v>
      </c>
      <c r="B1823" t="s">
        <v>4514</v>
      </c>
      <c r="D1823" t="b">
        <f>IFERROR(VLOOKUP(B1823,PatData!$A$2:$A$2000,1,),"")&lt;&gt;""</f>
        <v>0</v>
      </c>
      <c r="E1823">
        <v>3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5059</v>
      </c>
      <c r="B1824" t="s">
        <v>4515</v>
      </c>
      <c r="D1824" t="b">
        <f>IFERROR(VLOOKUP(B1824,PatData!$A$2:$A$2000,1,),"")&lt;&gt;""</f>
        <v>0</v>
      </c>
      <c r="E1824">
        <v>3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5060</v>
      </c>
      <c r="B1825" t="s">
        <v>4516</v>
      </c>
      <c r="D1825" t="b">
        <f>IFERROR(VLOOKUP(B1825,PatData!$A$2:$A$2000,1,),"")&lt;&gt;""</f>
        <v>0</v>
      </c>
      <c r="E1825">
        <v>3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5061</v>
      </c>
      <c r="B1826" t="s">
        <v>4517</v>
      </c>
      <c r="D1826" t="b">
        <f>IFERROR(VLOOKUP(B1826,PatData!$A$2:$A$2000,1,),"")&lt;&gt;""</f>
        <v>0</v>
      </c>
      <c r="E1826">
        <v>3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5062</v>
      </c>
      <c r="B1827" t="s">
        <v>4518</v>
      </c>
      <c r="D1827" t="b">
        <f>IFERROR(VLOOKUP(B1827,PatData!$A$2:$A$2000,1,),"")&lt;&gt;""</f>
        <v>0</v>
      </c>
      <c r="E1827">
        <v>3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5063</v>
      </c>
      <c r="B1828" t="s">
        <v>4519</v>
      </c>
      <c r="D1828" t="b">
        <f>IFERROR(VLOOKUP(B1828,PatData!$A$2:$A$2000,1,),"")&lt;&gt;""</f>
        <v>0</v>
      </c>
      <c r="E1828">
        <v>4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5064</v>
      </c>
      <c r="B1829" t="s">
        <v>5065</v>
      </c>
      <c r="D1829" t="b">
        <f>IFERROR(VLOOKUP(B1829,PatData!$A$2:$A$2000,1,),"")&lt;&gt;""</f>
        <v>0</v>
      </c>
      <c r="E1829">
        <v>4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3649</v>
      </c>
      <c r="B1830" t="s">
        <v>4520</v>
      </c>
      <c r="D1830" t="b">
        <f>IFERROR(VLOOKUP(B1830,PatData!$A$2:$A$2000,1,),"")&lt;&gt;""</f>
        <v>0</v>
      </c>
      <c r="E1830">
        <v>5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3650</v>
      </c>
      <c r="B1831" t="s">
        <v>4521</v>
      </c>
      <c r="D1831" t="b">
        <f>IFERROR(VLOOKUP(B1831,PatData!$A$2:$A$2000,1,),"")&lt;&gt;""</f>
        <v>0</v>
      </c>
      <c r="E1831">
        <v>5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3651</v>
      </c>
      <c r="B1832" t="s">
        <v>4522</v>
      </c>
      <c r="D1832" t="b">
        <f>IFERROR(VLOOKUP(B1832,PatData!$A$2:$A$2000,1,),"")&lt;&gt;""</f>
        <v>0</v>
      </c>
      <c r="E1832">
        <v>5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3652</v>
      </c>
      <c r="B1833" t="s">
        <v>4523</v>
      </c>
      <c r="D1833" t="b">
        <f>IFERROR(VLOOKUP(B1833,PatData!$A$2:$A$2000,1,),"")&lt;&gt;""</f>
        <v>0</v>
      </c>
      <c r="E1833">
        <v>5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3653</v>
      </c>
      <c r="B1834" t="s">
        <v>4524</v>
      </c>
      <c r="D1834" t="b">
        <f>IFERROR(VLOOKUP(B1834,PatData!$A$2:$A$2000,1,),"")&lt;&gt;""</f>
        <v>0</v>
      </c>
      <c r="E1834">
        <v>5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5066</v>
      </c>
      <c r="B1835" t="s">
        <v>4525</v>
      </c>
      <c r="D1835" t="b">
        <f>IFERROR(VLOOKUP(B1835,PatData!$A$2:$A$2000,1,),"")&lt;&gt;""</f>
        <v>0</v>
      </c>
      <c r="E1835">
        <v>5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5067</v>
      </c>
      <c r="B1836" t="s">
        <v>4526</v>
      </c>
      <c r="D1836" t="b">
        <f>IFERROR(VLOOKUP(B1836,PatData!$A$2:$A$2000,1,),"")&lt;&gt;""</f>
        <v>0</v>
      </c>
      <c r="E1836">
        <v>5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5068</v>
      </c>
      <c r="B1837" t="s">
        <v>4527</v>
      </c>
      <c r="D1837" t="b">
        <f>IFERROR(VLOOKUP(B1837,PatData!$A$2:$A$2000,1,),"")&lt;&gt;""</f>
        <v>0</v>
      </c>
      <c r="E1837">
        <v>5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3654</v>
      </c>
      <c r="B1838" t="s">
        <v>4528</v>
      </c>
      <c r="D1838" t="b">
        <f>IFERROR(VLOOKUP(B1838,PatData!$A$2:$A$2000,1,),"")&lt;&gt;""</f>
        <v>0</v>
      </c>
      <c r="E1838">
        <v>5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5069</v>
      </c>
      <c r="B1839" t="s">
        <v>4529</v>
      </c>
      <c r="D1839" t="b">
        <f>IFERROR(VLOOKUP(B1839,PatData!$A$2:$A$2000,1,),"")&lt;&gt;""</f>
        <v>0</v>
      </c>
      <c r="E1839">
        <v>5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5070</v>
      </c>
      <c r="B1840" t="s">
        <v>4530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5071</v>
      </c>
      <c r="B1841" t="s">
        <v>4531</v>
      </c>
      <c r="D1841" t="b">
        <f>IFERROR(VLOOKUP(B1841,PatData!$A$2:$A$2000,1,),"")&lt;&gt;""</f>
        <v>0</v>
      </c>
      <c r="E1841">
        <v>2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5072</v>
      </c>
      <c r="B1842" t="s">
        <v>5073</v>
      </c>
      <c r="D1842" t="b">
        <f>IFERROR(VLOOKUP(B1842,PatData!$A$2:$A$2000,1,),"")&lt;&gt;""</f>
        <v>0</v>
      </c>
      <c r="E1842">
        <v>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4787</v>
      </c>
      <c r="B1843" t="s">
        <v>4532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4788</v>
      </c>
      <c r="B1844" t="s">
        <v>4533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4789</v>
      </c>
      <c r="B1845" t="s">
        <v>4534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4790</v>
      </c>
      <c r="B1846" t="s">
        <v>4535</v>
      </c>
      <c r="D1846" t="b">
        <f>IFERROR(VLOOKUP(B1846,PatData!$A$2:$A$2000,1,),"")&lt;&gt;""</f>
        <v>0</v>
      </c>
      <c r="E1846" t="b">
        <v>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4791</v>
      </c>
      <c r="B1847" t="s">
        <v>4536</v>
      </c>
      <c r="D1847" t="b">
        <f>IFERROR(VLOOKUP(B1847,PatData!$A$2:$A$2000,1,),"")&lt;&gt;""</f>
        <v>0</v>
      </c>
      <c r="E1847" t="b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4792</v>
      </c>
      <c r="B1848" t="s">
        <v>4537</v>
      </c>
      <c r="D1848" t="b">
        <f>IFERROR(VLOOKUP(B1848,PatData!$A$2:$A$2000,1,),"")&lt;&gt;""</f>
        <v>0</v>
      </c>
      <c r="E1848" t="b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5074</v>
      </c>
      <c r="B1849" t="s">
        <v>4538</v>
      </c>
      <c r="D1849" t="b">
        <f>IFERROR(VLOOKUP(B1849,PatData!$A$2:$A$2000,1,),"")&lt;&gt;""</f>
        <v>0</v>
      </c>
      <c r="E1849" t="b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5075</v>
      </c>
      <c r="B1850" t="s">
        <v>4539</v>
      </c>
      <c r="D1850" t="b">
        <f>IFERROR(VLOOKUP(B1850,PatData!$A$2:$A$2000,1,),"")&lt;&gt;""</f>
        <v>0</v>
      </c>
      <c r="E1850" t="b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5076</v>
      </c>
      <c r="B1851" t="s">
        <v>4540</v>
      </c>
      <c r="D1851" t="b">
        <f>IFERROR(VLOOKUP(B1851,PatData!$A$2:$A$2000,1,),"")&lt;&gt;""</f>
        <v>0</v>
      </c>
      <c r="E1851" t="b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5077</v>
      </c>
      <c r="B1852" t="s">
        <v>4541</v>
      </c>
      <c r="D1852" t="b">
        <f>IFERROR(VLOOKUP(B1852,PatData!$A$2:$A$2000,1,),"")&lt;&gt;""</f>
        <v>0</v>
      </c>
      <c r="E1852" t="b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5078</v>
      </c>
      <c r="B1853" t="s">
        <v>4542</v>
      </c>
      <c r="D1853" t="b">
        <f>IFERROR(VLOOKUP(B1853,PatData!$A$2:$A$2000,1,),"")&lt;&gt;""</f>
        <v>0</v>
      </c>
      <c r="E1853" t="b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5079</v>
      </c>
      <c r="B1854" t="s">
        <v>4543</v>
      </c>
      <c r="D1854" t="b">
        <f>IFERROR(VLOOKUP(B1854,PatData!$A$2:$A$2000,1,),"")&lt;&gt;""</f>
        <v>0</v>
      </c>
      <c r="E1854"/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5080</v>
      </c>
      <c r="B1855" t="s">
        <v>4544</v>
      </c>
      <c r="D1855" t="b">
        <f>IFERROR(VLOOKUP(B1855,PatData!$A$2:$A$2000,1,),"")&lt;&gt;""</f>
        <v>0</v>
      </c>
      <c r="E1855"/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5081</v>
      </c>
      <c r="B1856" t="s">
        <v>4545</v>
      </c>
      <c r="D1856" t="b">
        <f>IFERROR(VLOOKUP(B1856,PatData!$A$2:$A$2000,1,),"")&lt;&gt;""</f>
        <v>0</v>
      </c>
      <c r="E1856"/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5137</v>
      </c>
      <c r="B1857" t="s">
        <v>5138</v>
      </c>
      <c r="D1857" t="b">
        <f>IFERROR(VLOOKUP(B1857,PatData!$A$2:$A$2000,1,),"")&lt;&gt;""</f>
        <v>0</v>
      </c>
      <c r="E1857">
        <v>2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5082</v>
      </c>
      <c r="B1858" t="s">
        <v>4546</v>
      </c>
      <c r="D1858" t="b">
        <f>IFERROR(VLOOKUP(B1858,PatData!$A$2:$A$2000,1,),"")&lt;&gt;""</f>
        <v>0</v>
      </c>
      <c r="E1858">
        <v>4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5083</v>
      </c>
      <c r="B1859" t="s">
        <v>4547</v>
      </c>
      <c r="D1859" t="b">
        <f>IFERROR(VLOOKUP(B1859,PatData!$A$2:$A$2000,1,),"")&lt;&gt;""</f>
        <v>0</v>
      </c>
      <c r="E1859">
        <v>4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5084</v>
      </c>
      <c r="B1860" t="s">
        <v>4548</v>
      </c>
      <c r="D1860" t="b">
        <f>IFERROR(VLOOKUP(B1860,PatData!$A$2:$A$2000,1,),"")&lt;&gt;""</f>
        <v>0</v>
      </c>
      <c r="E1860">
        <v>10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5085</v>
      </c>
      <c r="B1861" t="s">
        <v>4549</v>
      </c>
      <c r="D1861" t="b">
        <f>IFERROR(VLOOKUP(B1861,PatData!$A$2:$A$2000,1,),"")&lt;&gt;""</f>
        <v>0</v>
      </c>
      <c r="E1861">
        <v>10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5086</v>
      </c>
      <c r="B1862" t="s">
        <v>4550</v>
      </c>
      <c r="D1862" t="b">
        <f>IFERROR(VLOOKUP(B1862,PatData!$A$2:$A$2000,1,),"")&lt;&gt;""</f>
        <v>0</v>
      </c>
      <c r="E1862">
        <v>2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5087</v>
      </c>
      <c r="B1863" t="s">
        <v>4551</v>
      </c>
      <c r="D1863" t="b">
        <f>IFERROR(VLOOKUP(B1863,PatData!$A$2:$A$2000,1,),"")&lt;&gt;""</f>
        <v>0</v>
      </c>
      <c r="E1863">
        <v>2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5088</v>
      </c>
      <c r="B1864" t="s">
        <v>4552</v>
      </c>
      <c r="D1864" t="b">
        <f>IFERROR(VLOOKUP(B1864,PatData!$A$2:$A$2000,1,),"")&lt;&gt;""</f>
        <v>0</v>
      </c>
      <c r="E1864">
        <v>2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5089</v>
      </c>
      <c r="B1865" t="s">
        <v>4553</v>
      </c>
      <c r="D1865" t="b">
        <f>IFERROR(VLOOKUP(B1865,PatData!$A$2:$A$2000,1,),"")&lt;&gt;""</f>
        <v>0</v>
      </c>
      <c r="E1865">
        <v>2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5090</v>
      </c>
      <c r="B1866" t="s">
        <v>4554</v>
      </c>
      <c r="D1866" t="b">
        <f>IFERROR(VLOOKUP(B1866,PatData!$A$2:$A$2000,1,),"")&lt;&gt;""</f>
        <v>0</v>
      </c>
      <c r="E1866">
        <v>2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4783</v>
      </c>
      <c r="B1867" t="s">
        <v>4555</v>
      </c>
      <c r="D1867" t="b">
        <f>IFERROR(VLOOKUP(B1867,PatData!$A$2:$A$2000,1,),"")&lt;&gt;""</f>
        <v>0</v>
      </c>
      <c r="E1867">
        <v>2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4784</v>
      </c>
      <c r="B1868" t="s">
        <v>4556</v>
      </c>
      <c r="D1868" t="b">
        <f>IFERROR(VLOOKUP(B1868,PatData!$A$2:$A$2000,1,),"")&lt;&gt;""</f>
        <v>0</v>
      </c>
      <c r="E1868">
        <v>2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4785</v>
      </c>
      <c r="B1869" t="s">
        <v>4557</v>
      </c>
      <c r="D1869" t="b">
        <f>IFERROR(VLOOKUP(B1869,PatData!$A$2:$A$2000,1,),"")&lt;&gt;""</f>
        <v>0</v>
      </c>
      <c r="E1869">
        <v>2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4786</v>
      </c>
      <c r="B1870" t="s">
        <v>4558</v>
      </c>
      <c r="D1870" t="b">
        <f>IFERROR(VLOOKUP(B1870,PatData!$A$2:$A$2000,1,),"")&lt;&gt;""</f>
        <v>0</v>
      </c>
      <c r="E1870">
        <v>2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5091</v>
      </c>
      <c r="B1871" t="s">
        <v>4559</v>
      </c>
      <c r="D1871" t="b">
        <f>IFERROR(VLOOKUP(B1871,PatData!$A$2:$A$2000,1,),"")&lt;&gt;""</f>
        <v>0</v>
      </c>
      <c r="E1871">
        <v>3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4796</v>
      </c>
      <c r="B1872" t="s">
        <v>4560</v>
      </c>
      <c r="D1872" t="b">
        <f>IFERROR(VLOOKUP(B1872,PatData!$A$2:$A$2000,1,),"")&lt;&gt;""</f>
        <v>0</v>
      </c>
      <c r="E1872">
        <v>4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4779</v>
      </c>
      <c r="B1873" t="s">
        <v>4561</v>
      </c>
      <c r="D1873" t="b">
        <f>IFERROR(VLOOKUP(B1873,PatData!$A$2:$A$2000,1,),"")&lt;&gt;""</f>
        <v>0</v>
      </c>
      <c r="E1873">
        <v>5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5092</v>
      </c>
      <c r="B1874" t="s">
        <v>4562</v>
      </c>
      <c r="D1874" t="b">
        <f>IFERROR(VLOOKUP(B1874,PatData!$A$2:$A$2000,1,),"")&lt;&gt;""</f>
        <v>0</v>
      </c>
      <c r="E1874">
        <v>6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4780</v>
      </c>
      <c r="B1875" t="s">
        <v>4563</v>
      </c>
      <c r="D1875" t="b">
        <f>IFERROR(VLOOKUP(B1875,PatData!$A$2:$A$2000,1,),"")&lt;&gt;""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3647</v>
      </c>
      <c r="B1876" t="s">
        <v>4564</v>
      </c>
      <c r="D1876" t="b">
        <f>IFERROR(VLOOKUP(B1876,PatData!$A$2:$A$2000,1,),"")&lt;&gt;""</f>
        <v>0</v>
      </c>
      <c r="E1876">
        <v>3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3631</v>
      </c>
      <c r="B1877" t="s">
        <v>4565</v>
      </c>
      <c r="D1877" t="b">
        <f>IFERROR(VLOOKUP(B1877,PatData!$A$2:$A$2000,1,),"")&lt;&gt;""</f>
        <v>0</v>
      </c>
      <c r="E1877">
        <v>4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4781</v>
      </c>
      <c r="B1878" t="s">
        <v>4566</v>
      </c>
      <c r="D1878" t="b">
        <f>IFERROR(VLOOKUP(B1878,PatData!$A$2:$A$2000,1,),"")&lt;&gt;""</f>
        <v>0</v>
      </c>
      <c r="E1878">
        <v>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5093</v>
      </c>
      <c r="B1879" t="s">
        <v>4567</v>
      </c>
      <c r="D1879" t="b">
        <f>IFERROR(VLOOKUP(B1879,PatData!$A$2:$A$2000,1,),"")&lt;&gt;""</f>
        <v>0</v>
      </c>
      <c r="E1879">
        <v>7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5094</v>
      </c>
      <c r="B1880" t="s">
        <v>4568</v>
      </c>
      <c r="D1880" t="b">
        <f>IFERROR(VLOOKUP(B1880,PatData!$A$2:$A$2000,1,),"")&lt;&gt;""</f>
        <v>0</v>
      </c>
      <c r="E1880">
        <v>5010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3648</v>
      </c>
      <c r="B1881" t="s">
        <v>4569</v>
      </c>
      <c r="D1881" t="b">
        <f>IFERROR(VLOOKUP(B1881,PatData!$A$2:$A$2000,1,),"")&lt;&gt;""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5095</v>
      </c>
      <c r="B1882" t="s">
        <v>4570</v>
      </c>
      <c r="D1882" t="b">
        <f>IFERROR(VLOOKUP(B1882,PatData!$A$2:$A$2000,1,),"")&lt;&gt;""</f>
        <v>0</v>
      </c>
      <c r="E1882">
        <v>2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5096</v>
      </c>
      <c r="B1883" t="s">
        <v>4571</v>
      </c>
      <c r="D1883" t="b">
        <f>IFERROR(VLOOKUP(B1883,PatData!$A$2:$A$2000,1,),"")&lt;&gt;""</f>
        <v>0</v>
      </c>
      <c r="E1883">
        <v>2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4793</v>
      </c>
      <c r="B1884" t="s">
        <v>4572</v>
      </c>
      <c r="D1884" t="b">
        <f>IFERROR(VLOOKUP(B1884,PatData!$A$2:$A$2000,1,),"")&lt;&gt;""</f>
        <v>0</v>
      </c>
      <c r="E1884">
        <v>5035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3639</v>
      </c>
      <c r="B1885" t="s">
        <v>4573</v>
      </c>
      <c r="D1885" t="b">
        <f>IFERROR(VLOOKUP(B1885,PatData!$A$2:$A$2000,1,),"")&lt;&gt;""</f>
        <v>0</v>
      </c>
      <c r="E1885">
        <v>5002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5097</v>
      </c>
      <c r="B1886" t="s">
        <v>4574</v>
      </c>
      <c r="D1886" t="b">
        <f>IFERROR(VLOOKUP(B1886,PatData!$A$2:$A$2000,1,),"")&lt;&gt;""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5098</v>
      </c>
      <c r="B1887" t="s">
        <v>4575</v>
      </c>
      <c r="D1887" t="b">
        <f>IFERROR(VLOOKUP(B1887,PatData!$A$2:$A$2000,1,),"")&lt;&gt;""</f>
        <v>0</v>
      </c>
      <c r="E1887">
        <v>5010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5099</v>
      </c>
      <c r="B1888" t="s">
        <v>4576</v>
      </c>
      <c r="D1888" t="b">
        <f>IFERROR(VLOOKUP(B1888,PatData!$A$2:$A$2000,1,),"")&lt;&gt;""</f>
        <v>0</v>
      </c>
      <c r="E1888">
        <v>5010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5100</v>
      </c>
      <c r="B1889" t="s">
        <v>4577</v>
      </c>
      <c r="D1889" t="b">
        <f>IFERROR(VLOOKUP(B1889,PatData!$A$2:$A$2000,1,),"")&lt;&gt;""</f>
        <v>0</v>
      </c>
      <c r="E1889">
        <v>5010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5101</v>
      </c>
      <c r="B1890" t="s">
        <v>4578</v>
      </c>
      <c r="D1890" t="b">
        <f>IFERROR(VLOOKUP(B1890,PatData!$A$2:$A$2000,1,),"")&lt;&gt;""</f>
        <v>0</v>
      </c>
      <c r="E1890">
        <v>5000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3632</v>
      </c>
      <c r="B1891" t="s">
        <v>4579</v>
      </c>
      <c r="D1891" t="b">
        <f>IFERROR(VLOOKUP(B1891,PatData!$A$2:$A$2000,1,),"")&lt;&gt;""</f>
        <v>0</v>
      </c>
      <c r="E1891" t="b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5102</v>
      </c>
      <c r="B1892" t="s">
        <v>4580</v>
      </c>
      <c r="D1892" t="b">
        <f>IFERROR(VLOOKUP(B1892,PatData!$A$2:$A$2000,1,),"")&lt;&gt;""</f>
        <v>0</v>
      </c>
      <c r="E1892">
        <v>5001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5103</v>
      </c>
      <c r="B1893" t="s">
        <v>4581</v>
      </c>
      <c r="D1893" t="b">
        <f>IFERROR(VLOOKUP(B1893,PatData!$A$2:$A$2000,1,),"")&lt;&gt;""</f>
        <v>0</v>
      </c>
      <c r="E1893">
        <v>5010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5104</v>
      </c>
      <c r="B1894" t="s">
        <v>4582</v>
      </c>
      <c r="D1894" t="b">
        <f>IFERROR(VLOOKUP(B1894,PatData!$A$2:$A$2000,1,),"")&lt;&gt;""</f>
        <v>0</v>
      </c>
      <c r="E1894">
        <v>5000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5150</v>
      </c>
      <c r="B1895" t="s">
        <v>5151</v>
      </c>
      <c r="D1895" t="b">
        <f>IFERROR(VLOOKUP(B1895,PatData!$A$2:$A$2000,1,),"")&lt;&gt;""</f>
        <v>0</v>
      </c>
      <c r="E1895" t="s">
        <v>5152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5153</v>
      </c>
      <c r="B1896" t="s">
        <v>5154</v>
      </c>
      <c r="D1896" t="b">
        <f>IFERROR(VLOOKUP(B1896,PatData!$A$2:$A$2000,1,),"")&lt;&gt;""</f>
        <v>0</v>
      </c>
      <c r="E1896" t="s">
        <v>5155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5105</v>
      </c>
      <c r="B1897" t="s">
        <v>1964</v>
      </c>
      <c r="D1897" t="b">
        <f>IFERROR(VLOOKUP(B1897,PatData!$A$2:$A$2000,1,),"")&lt;&gt;""</f>
        <v>0</v>
      </c>
      <c r="E1897" t="s">
        <v>5106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5107</v>
      </c>
      <c r="B1898" t="s">
        <v>1965</v>
      </c>
      <c r="D1898" t="b">
        <f>IFERROR(VLOOKUP(B1898,PatData!$A$2:$A$2000,1,),"")&lt;&gt;""</f>
        <v>0</v>
      </c>
      <c r="E1898" t="s">
        <v>5108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5109</v>
      </c>
      <c r="B1899" t="s">
        <v>1966</v>
      </c>
      <c r="D1899" t="b">
        <f>IFERROR(VLOOKUP(B1899,PatData!$A$2:$A$2000,1,),"")&lt;&gt;""</f>
        <v>0</v>
      </c>
      <c r="E1899" t="s">
        <v>5110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5111</v>
      </c>
      <c r="B1900" t="s">
        <v>1967</v>
      </c>
      <c r="D1900" t="b">
        <f>IFERROR(VLOOKUP(B1900,PatData!$A$2:$A$2000,1,),"")&lt;&gt;""</f>
        <v>0</v>
      </c>
      <c r="E1900" t="s">
        <v>5112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5113</v>
      </c>
      <c r="B1901" t="s">
        <v>1968</v>
      </c>
      <c r="D1901" t="b">
        <f>IFERROR(VLOOKUP(B1901,PatData!$A$2:$A$2000,1,),"")&lt;&gt;""</f>
        <v>0</v>
      </c>
      <c r="E1901" t="s">
        <v>5114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5115</v>
      </c>
      <c r="B1902" t="s">
        <v>1969</v>
      </c>
      <c r="D1902" t="b">
        <f>IFERROR(VLOOKUP(B1902,PatData!$A$2:$A$2000,1,),"")&lt;&gt;""</f>
        <v>0</v>
      </c>
      <c r="E1902" t="s">
        <v>5116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5117</v>
      </c>
      <c r="B1903" t="s">
        <v>1970</v>
      </c>
      <c r="D1903" t="b">
        <f>IFERROR(VLOOKUP(B1903,PatData!$A$2:$A$2000,1,),"")&lt;&gt;""</f>
        <v>0</v>
      </c>
      <c r="E1903" t="s">
        <v>5118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5119</v>
      </c>
      <c r="B1904" t="s">
        <v>1971</v>
      </c>
      <c r="D1904" t="b">
        <f>IFERROR(VLOOKUP(B1904,PatData!$A$2:$A$2000,1,),"")&lt;&gt;""</f>
        <v>0</v>
      </c>
      <c r="E1904" t="s">
        <v>5120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5121</v>
      </c>
      <c r="B1905" t="s">
        <v>1972</v>
      </c>
      <c r="D1905" t="b">
        <f>IFERROR(VLOOKUP(B1905,PatData!$A$2:$A$2000,1,),"")&lt;&gt;""</f>
        <v>0</v>
      </c>
      <c r="E1905" t="s">
        <v>5122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5139</v>
      </c>
      <c r="B1906" t="s">
        <v>5140</v>
      </c>
      <c r="D1906" t="b">
        <f>IFERROR(VLOOKUP(B1906,PatData!$A$2:$A$2000,1,),"")&lt;&gt;""</f>
        <v>0</v>
      </c>
      <c r="E1906">
        <v>1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5156</v>
      </c>
      <c r="B1907" t="s">
        <v>5157</v>
      </c>
      <c r="D1907" t="b">
        <f>IFERROR(VLOOKUP(B1907,PatData!$A$2:$A$2000,1,),"")&lt;&gt;""</f>
        <v>0</v>
      </c>
      <c r="E1907" t="s">
        <v>5155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4797</v>
      </c>
      <c r="B1908" t="s">
        <v>4043</v>
      </c>
      <c r="D1908" t="b">
        <f>IFERROR(VLOOKUP(B1908,PatData!$A$2:$A$2000,1,),"")&lt;&gt;""</f>
        <v>0</v>
      </c>
      <c r="E1908" t="s">
        <v>4798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3739</v>
      </c>
      <c r="B1909" t="s">
        <v>1976</v>
      </c>
      <c r="D1909" t="b">
        <f>IFERROR(VLOOKUP(B1909,PatData!$A$2:$A$2000,1,),"")&lt;&gt;""</f>
        <v>0</v>
      </c>
      <c r="E1909" t="s">
        <v>3139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A1910" t="s">
        <v>3740</v>
      </c>
      <c r="B1910" t="s">
        <v>1977</v>
      </c>
      <c r="D1910" t="b">
        <f>IFERROR(VLOOKUP(B1910,PatData!$A$2:$A$2000,1,),"")&lt;&gt;""</f>
        <v>0</v>
      </c>
      <c r="E1910" t="s">
        <v>3140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2">
      <c r="A1911" t="s">
        <v>3741</v>
      </c>
      <c r="B1911" t="s">
        <v>1978</v>
      </c>
      <c r="D1911" t="b">
        <f>IFERROR(VLOOKUP(B1911,PatData!$A$2:$A$2000,1,),"")&lt;&gt;""</f>
        <v>0</v>
      </c>
      <c r="E1911" t="s">
        <v>3141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2">
      <c r="A1912" t="s">
        <v>3742</v>
      </c>
      <c r="B1912" t="s">
        <v>1979</v>
      </c>
      <c r="D1912" t="b">
        <f>IFERROR(VLOOKUP(B1912,PatData!$A$2:$A$2000,1,),"")&lt;&gt;""</f>
        <v>0</v>
      </c>
      <c r="E1912" t="s">
        <v>3142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3743</v>
      </c>
      <c r="B1913" t="s">
        <v>1963</v>
      </c>
      <c r="D1913" t="b">
        <f>IFERROR(VLOOKUP(B1913,PatData!$A$2:$A$2000,1,),"")&lt;&gt;""</f>
        <v>0</v>
      </c>
      <c r="E1913" t="s">
        <v>2002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1098</v>
      </c>
      <c r="B1914" t="s">
        <v>1083</v>
      </c>
      <c r="D1914" t="b">
        <f>IFERROR(VLOOKUP(B1914,PatData!$A$2:$A$2000,1,),"")&lt;&gt;""</f>
        <v>0</v>
      </c>
      <c r="E1914" t="s">
        <v>2002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4836</v>
      </c>
      <c r="B1915" t="s">
        <v>1084</v>
      </c>
      <c r="D1915" t="b">
        <f>IFERROR(VLOOKUP(B1915,PatData!$A$2:$A$2000,1,),"")&lt;&gt;""</f>
        <v>0</v>
      </c>
      <c r="E1915" t="s">
        <v>2002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1701</v>
      </c>
      <c r="B1916" t="s">
        <v>1085</v>
      </c>
      <c r="D1916" t="b">
        <f>IFERROR(VLOOKUP(B1916,PatData!$A$2:$A$2000,1,),"")&lt;&gt;""</f>
        <v>0</v>
      </c>
      <c r="E1916" t="s">
        <v>2002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1704</v>
      </c>
      <c r="B1917" t="s">
        <v>1086</v>
      </c>
      <c r="D1917" t="b">
        <f>IFERROR(VLOOKUP(B1917,PatData!$A$2:$A$2000,1,),"")&lt;&gt;""</f>
        <v>0</v>
      </c>
      <c r="E1917" t="s">
        <v>2002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1705</v>
      </c>
      <c r="B1918" t="s">
        <v>1087</v>
      </c>
      <c r="D1918" t="b">
        <f>IFERROR(VLOOKUP(B1918,PatData!$A$2:$A$2000,1,),"")&lt;&gt;""</f>
        <v>0</v>
      </c>
      <c r="E1918" t="s">
        <v>2002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1706</v>
      </c>
      <c r="B1919" t="s">
        <v>1088</v>
      </c>
      <c r="D1919" t="b">
        <f>IFERROR(VLOOKUP(B1919,PatData!$A$2:$A$2000,1,),"")&lt;&gt;""</f>
        <v>0</v>
      </c>
      <c r="E1919" t="s">
        <v>2002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1707</v>
      </c>
      <c r="B1920" t="s">
        <v>1089</v>
      </c>
      <c r="D1920" t="b">
        <f>IFERROR(VLOOKUP(B1920,PatData!$A$2:$A$2000,1,),"")&lt;&gt;""</f>
        <v>0</v>
      </c>
      <c r="E1920" t="s">
        <v>2002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1708</v>
      </c>
      <c r="B1921" t="s">
        <v>1090</v>
      </c>
      <c r="D1921" t="b">
        <f>IFERROR(VLOOKUP(B1921,PatData!$A$2:$A$2000,1,),"")&lt;&gt;""</f>
        <v>0</v>
      </c>
      <c r="E1921" t="s">
        <v>2002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1709</v>
      </c>
      <c r="B1922" t="s">
        <v>1091</v>
      </c>
      <c r="D1922" t="b">
        <f>IFERROR(VLOOKUP(B1922,PatData!$A$2:$A$2000,1,),"")&lt;&gt;""</f>
        <v>0</v>
      </c>
      <c r="E1922" t="s">
        <v>2002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1710</v>
      </c>
      <c r="B1923" t="s">
        <v>1092</v>
      </c>
      <c r="D1923" t="b">
        <f>IFERROR(VLOOKUP(B1923,PatData!$A$2:$A$2000,1,),"")&lt;&gt;""</f>
        <v>0</v>
      </c>
      <c r="E1923" t="s">
        <v>2002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1711</v>
      </c>
      <c r="B1924" t="s">
        <v>1093</v>
      </c>
      <c r="D1924" t="b">
        <f>IFERROR(VLOOKUP(B1924,PatData!$A$2:$A$2000,1,),"")&lt;&gt;""</f>
        <v>0</v>
      </c>
      <c r="E1924" t="s">
        <v>2002</v>
      </c>
      <c r="F1924" t="b">
        <v>1</v>
      </c>
      <c r="G1924" t="b">
        <v>0</v>
      </c>
      <c r="H1924" t="b">
        <v>0</v>
      </c>
      <c r="I1924" t="b">
        <v>0</v>
      </c>
    </row>
    <row r="1925" spans="1:9" x14ac:dyDescent="0.2">
      <c r="A1925" t="s">
        <v>1712</v>
      </c>
      <c r="B1925" t="s">
        <v>1094</v>
      </c>
      <c r="D1925" t="b">
        <f>IFERROR(VLOOKUP(B1925,PatData!$A$2:$A$2000,1,),"")&lt;&gt;""</f>
        <v>0</v>
      </c>
      <c r="E1925" t="s">
        <v>2002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E1926"/>
    </row>
    <row r="1927" spans="1:9" x14ac:dyDescent="0.2">
      <c r="E1927"/>
    </row>
    <row r="1928" spans="1:9" x14ac:dyDescent="0.2">
      <c r="E1928"/>
    </row>
    <row r="1929" spans="1:9" x14ac:dyDescent="0.2">
      <c r="E1929"/>
    </row>
    <row r="1930" spans="1:9" x14ac:dyDescent="0.2">
      <c r="E1930"/>
    </row>
    <row r="1931" spans="1:9" x14ac:dyDescent="0.2">
      <c r="E1931"/>
    </row>
    <row r="1932" spans="1:9" x14ac:dyDescent="0.2">
      <c r="E1932"/>
    </row>
    <row r="1933" spans="1:9" x14ac:dyDescent="0.2">
      <c r="E1933"/>
    </row>
    <row r="1934" spans="1:9" x14ac:dyDescent="0.2">
      <c r="E1934"/>
    </row>
    <row r="1935" spans="1:9" x14ac:dyDescent="0.2">
      <c r="E1935"/>
    </row>
    <row r="1936" spans="1:9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82</v>
      </c>
      <c r="B1" t="s">
        <v>237</v>
      </c>
    </row>
    <row r="2" spans="1:2" x14ac:dyDescent="0.2">
      <c r="A2" t="s">
        <v>107</v>
      </c>
    </row>
    <row r="3" spans="1:2" x14ac:dyDescent="0.2">
      <c r="A3" t="s">
        <v>64</v>
      </c>
      <c r="B3">
        <v>0</v>
      </c>
    </row>
    <row r="4" spans="1:2" x14ac:dyDescent="0.2">
      <c r="A4" t="s">
        <v>115</v>
      </c>
      <c r="B4" s="19"/>
    </row>
    <row r="5" spans="1:2" x14ac:dyDescent="0.2">
      <c r="A5" t="s">
        <v>147</v>
      </c>
      <c r="B5" t="s">
        <v>3988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75" x14ac:dyDescent="0.2"/>
  <cols>
    <col min="1" max="1" width="21" style="333" customWidth="1"/>
    <col min="2" max="2" width="11.7109375" style="333" customWidth="1"/>
    <col min="3" max="4" width="9.140625" style="333"/>
    <col min="5" max="5" width="14.42578125" style="333" customWidth="1"/>
    <col min="6" max="6" width="12.42578125" style="333" customWidth="1"/>
    <col min="7" max="8" width="9.140625" style="333"/>
    <col min="10" max="10" width="26.5703125" customWidth="1"/>
    <col min="11" max="11" width="5.42578125" style="310" customWidth="1"/>
  </cols>
  <sheetData>
    <row r="1" spans="1:16" x14ac:dyDescent="0.2">
      <c r="A1" s="334" t="s">
        <v>4607</v>
      </c>
      <c r="B1" s="334" t="s">
        <v>4583</v>
      </c>
      <c r="C1" s="334" t="s">
        <v>4589</v>
      </c>
      <c r="E1" s="333" t="s">
        <v>325</v>
      </c>
      <c r="F1" s="333" t="s">
        <v>568</v>
      </c>
      <c r="J1" s="311" t="s">
        <v>4623</v>
      </c>
      <c r="K1" s="311"/>
      <c r="L1" s="311" t="s">
        <v>4624</v>
      </c>
      <c r="O1" s="311"/>
    </row>
    <row r="2" spans="1:16" ht="15" x14ac:dyDescent="0.25">
      <c r="A2" s="644" t="s">
        <v>227</v>
      </c>
      <c r="B2" s="333">
        <v>1</v>
      </c>
      <c r="C2" s="644" t="s">
        <v>4588</v>
      </c>
      <c r="K2" s="315" t="s">
        <v>4626</v>
      </c>
      <c r="L2" s="310" t="s">
        <v>159</v>
      </c>
      <c r="M2" s="310" t="s">
        <v>67</v>
      </c>
      <c r="N2" s="310" t="s">
        <v>160</v>
      </c>
      <c r="O2" s="311" t="s">
        <v>4590</v>
      </c>
      <c r="P2" s="310" t="s">
        <v>472</v>
      </c>
    </row>
    <row r="3" spans="1:16" ht="15" x14ac:dyDescent="0.25">
      <c r="A3" s="644" t="s">
        <v>189</v>
      </c>
      <c r="B3" s="333">
        <v>1</v>
      </c>
      <c r="C3" s="644" t="s">
        <v>31</v>
      </c>
      <c r="E3" s="333" t="s">
        <v>571</v>
      </c>
      <c r="F3" s="333">
        <v>1.44</v>
      </c>
      <c r="J3" t="s">
        <v>356</v>
      </c>
      <c r="K3" s="310">
        <v>2</v>
      </c>
      <c r="L3">
        <f>24/1000</f>
        <v>2.4E-2</v>
      </c>
      <c r="M3">
        <v>24</v>
      </c>
      <c r="N3" s="311" t="s">
        <v>4622</v>
      </c>
      <c r="O3" s="311" t="s">
        <v>4622</v>
      </c>
      <c r="P3" s="311" t="s">
        <v>4622</v>
      </c>
    </row>
    <row r="4" spans="1:16" ht="15" x14ac:dyDescent="0.25">
      <c r="A4" s="644" t="s">
        <v>228</v>
      </c>
      <c r="B4" s="333">
        <v>1</v>
      </c>
      <c r="C4" s="644" t="s">
        <v>31</v>
      </c>
      <c r="E4" s="333" t="s">
        <v>355</v>
      </c>
      <c r="F4" s="333">
        <v>1</v>
      </c>
      <c r="J4" t="s">
        <v>184</v>
      </c>
      <c r="K4" s="310">
        <v>3</v>
      </c>
      <c r="L4" s="311" t="s">
        <v>4622</v>
      </c>
      <c r="M4" s="311" t="s">
        <v>4622</v>
      </c>
      <c r="N4" s="311" t="s">
        <v>4622</v>
      </c>
      <c r="O4">
        <v>1</v>
      </c>
      <c r="P4" s="311" t="s">
        <v>4622</v>
      </c>
    </row>
    <row r="5" spans="1:16" ht="15" x14ac:dyDescent="0.25">
      <c r="A5" s="644" t="s">
        <v>190</v>
      </c>
      <c r="B5" s="333">
        <v>1</v>
      </c>
      <c r="C5" s="644" t="s">
        <v>31</v>
      </c>
      <c r="E5" s="333" t="s">
        <v>466</v>
      </c>
      <c r="F5" s="333">
        <v>1440</v>
      </c>
      <c r="J5" t="s">
        <v>571</v>
      </c>
      <c r="K5" s="310">
        <v>4</v>
      </c>
      <c r="L5">
        <f>1000/60</f>
        <v>16.666666666666668</v>
      </c>
      <c r="M5">
        <f>1000*1000/60</f>
        <v>16666.666666666668</v>
      </c>
      <c r="N5" s="311" t="s">
        <v>4622</v>
      </c>
      <c r="O5" s="311" t="s">
        <v>4622</v>
      </c>
      <c r="P5" s="311" t="s">
        <v>4622</v>
      </c>
    </row>
    <row r="6" spans="1:16" ht="15" x14ac:dyDescent="0.25">
      <c r="A6" s="644" t="s">
        <v>222</v>
      </c>
      <c r="B6" s="646">
        <v>4.3478000000000003E-2</v>
      </c>
      <c r="C6" s="644" t="s">
        <v>472</v>
      </c>
      <c r="E6" s="333" t="s">
        <v>354</v>
      </c>
      <c r="F6" s="333">
        <v>24</v>
      </c>
      <c r="J6" t="s">
        <v>706</v>
      </c>
      <c r="K6" s="310">
        <v>5</v>
      </c>
      <c r="L6">
        <v>1000</v>
      </c>
      <c r="M6">
        <f>1000*1000</f>
        <v>1000000</v>
      </c>
      <c r="N6" s="311" t="s">
        <v>4622</v>
      </c>
      <c r="O6" s="311" t="s">
        <v>4622</v>
      </c>
      <c r="P6" s="311" t="s">
        <v>4622</v>
      </c>
    </row>
    <row r="7" spans="1:16" ht="15" x14ac:dyDescent="0.25">
      <c r="A7" s="644" t="s">
        <v>223</v>
      </c>
      <c r="B7" s="646">
        <v>2.5641000000000001E-2</v>
      </c>
      <c r="C7" s="644" t="s">
        <v>472</v>
      </c>
      <c r="E7" s="333" t="s">
        <v>414</v>
      </c>
      <c r="F7" s="333">
        <v>1.4400000000000001E-3</v>
      </c>
      <c r="J7" t="s">
        <v>355</v>
      </c>
      <c r="K7" s="310">
        <v>6</v>
      </c>
      <c r="L7">
        <v>24</v>
      </c>
      <c r="M7">
        <f>1000*24</f>
        <v>24000</v>
      </c>
      <c r="N7" s="311" t="s">
        <v>4622</v>
      </c>
      <c r="O7" s="311" t="s">
        <v>4622</v>
      </c>
      <c r="P7" s="311" t="s">
        <v>4622</v>
      </c>
    </row>
    <row r="8" spans="1:16" ht="15" x14ac:dyDescent="0.25">
      <c r="A8" s="644" t="s">
        <v>224</v>
      </c>
      <c r="B8" s="646">
        <v>2.4899999999999999E-2</v>
      </c>
      <c r="C8" s="644" t="s">
        <v>472</v>
      </c>
      <c r="E8" s="333" t="s">
        <v>706</v>
      </c>
      <c r="F8" s="333">
        <v>2.4E-2</v>
      </c>
      <c r="J8" t="s">
        <v>466</v>
      </c>
      <c r="K8" s="310">
        <v>7</v>
      </c>
      <c r="L8">
        <f>1/60</f>
        <v>1.6666666666666666E-2</v>
      </c>
      <c r="M8">
        <f>1000/60</f>
        <v>16.666666666666668</v>
      </c>
      <c r="N8" s="311" t="s">
        <v>4622</v>
      </c>
      <c r="O8" s="311" t="s">
        <v>4622</v>
      </c>
      <c r="P8" s="311" t="s">
        <v>4622</v>
      </c>
    </row>
    <row r="9" spans="1:16" ht="15" x14ac:dyDescent="0.25">
      <c r="A9" s="644" t="s">
        <v>229</v>
      </c>
      <c r="B9" s="646">
        <v>3.2288999999999998E-2</v>
      </c>
      <c r="C9" s="644" t="s">
        <v>472</v>
      </c>
      <c r="E9" s="333" t="s">
        <v>356</v>
      </c>
      <c r="F9" s="333">
        <v>1</v>
      </c>
      <c r="J9" t="s">
        <v>354</v>
      </c>
      <c r="K9" s="310">
        <v>8</v>
      </c>
      <c r="L9">
        <v>1</v>
      </c>
      <c r="M9">
        <f>1000</f>
        <v>1000</v>
      </c>
      <c r="N9" s="311" t="s">
        <v>4622</v>
      </c>
      <c r="O9" s="311" t="s">
        <v>4622</v>
      </c>
      <c r="P9" s="311" t="s">
        <v>4622</v>
      </c>
    </row>
    <row r="10" spans="1:16" ht="15" x14ac:dyDescent="0.25">
      <c r="A10" s="644" t="s">
        <v>225</v>
      </c>
      <c r="B10" s="646">
        <v>4.1140999999999997E-2</v>
      </c>
      <c r="C10" s="644" t="s">
        <v>472</v>
      </c>
      <c r="E10" s="333" t="s">
        <v>65</v>
      </c>
      <c r="F10" s="333">
        <v>24</v>
      </c>
      <c r="J10" s="311" t="s">
        <v>171</v>
      </c>
      <c r="K10" s="310">
        <v>9</v>
      </c>
      <c r="L10" s="311" t="s">
        <v>4622</v>
      </c>
      <c r="M10" s="311" t="s">
        <v>4622</v>
      </c>
      <c r="N10" s="311">
        <v>1</v>
      </c>
      <c r="O10" s="311" t="s">
        <v>4622</v>
      </c>
      <c r="P10" s="311" t="s">
        <v>4622</v>
      </c>
    </row>
    <row r="11" spans="1:16" ht="15" x14ac:dyDescent="0.25">
      <c r="A11" s="644" t="s">
        <v>851</v>
      </c>
      <c r="B11" s="646">
        <v>1.7899999999999999E-2</v>
      </c>
      <c r="C11" s="644" t="s">
        <v>472</v>
      </c>
      <c r="J11" t="s">
        <v>383</v>
      </c>
      <c r="K11" s="310">
        <v>10</v>
      </c>
      <c r="L11" s="311" t="s">
        <v>4622</v>
      </c>
      <c r="M11" s="311" t="s">
        <v>4622</v>
      </c>
      <c r="N11" s="311" t="s">
        <v>4622</v>
      </c>
      <c r="O11" s="311" t="s">
        <v>4622</v>
      </c>
      <c r="P11">
        <f>24</f>
        <v>24</v>
      </c>
    </row>
    <row r="12" spans="1:16" ht="15" x14ac:dyDescent="0.25">
      <c r="A12" s="644" t="s">
        <v>852</v>
      </c>
      <c r="B12" s="646">
        <v>40</v>
      </c>
      <c r="C12" s="644" t="s">
        <v>4590</v>
      </c>
      <c r="J12" t="s">
        <v>414</v>
      </c>
      <c r="K12" s="310">
        <v>11</v>
      </c>
      <c r="L12" s="311">
        <f>1000*1000/60</f>
        <v>16666.666666666668</v>
      </c>
      <c r="M12" s="311">
        <f>1000*1000*1000/60</f>
        <v>16666666.666666666</v>
      </c>
      <c r="N12" s="311" t="s">
        <v>4622</v>
      </c>
      <c r="O12" s="311" t="s">
        <v>4622</v>
      </c>
      <c r="P12" s="311" t="s">
        <v>4622</v>
      </c>
    </row>
    <row r="13" spans="1:16" ht="15" x14ac:dyDescent="0.25">
      <c r="A13" s="644" t="s">
        <v>569</v>
      </c>
      <c r="B13" s="646">
        <v>2.8205999999999998E-2</v>
      </c>
      <c r="C13" s="644" t="s">
        <v>472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58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44" sqref="B44"/>
    </sheetView>
  </sheetViews>
  <sheetFormatPr defaultRowHeight="12.75" x14ac:dyDescent="0.2"/>
  <cols>
    <col min="1" max="1" width="27.28515625" style="481" customWidth="1"/>
    <col min="2" max="10" width="9.140625" style="481"/>
    <col min="11" max="11" width="9.140625" style="481" customWidth="1"/>
    <col min="12" max="18" width="9.140625" style="481"/>
    <col min="19" max="19" width="29.85546875" style="481" customWidth="1"/>
    <col min="20" max="16384" width="9.140625" style="481"/>
  </cols>
  <sheetData>
    <row r="1" spans="1:21" x14ac:dyDescent="0.2">
      <c r="B1" s="482" t="s">
        <v>4591</v>
      </c>
    </row>
    <row r="2" spans="1:21" ht="15" x14ac:dyDescent="0.25">
      <c r="B2" s="690">
        <v>2</v>
      </c>
      <c r="C2" s="690">
        <v>3</v>
      </c>
      <c r="D2" s="690">
        <v>4</v>
      </c>
      <c r="E2" s="690">
        <v>5</v>
      </c>
      <c r="F2" s="690">
        <v>6</v>
      </c>
      <c r="G2" s="690">
        <v>7</v>
      </c>
      <c r="H2" s="690">
        <v>8</v>
      </c>
      <c r="I2" s="690">
        <v>9</v>
      </c>
      <c r="J2" s="690">
        <v>10</v>
      </c>
      <c r="K2" s="690">
        <v>11</v>
      </c>
      <c r="L2" s="690">
        <v>12</v>
      </c>
      <c r="M2" s="690">
        <v>13</v>
      </c>
    </row>
    <row r="3" spans="1:21" ht="15" x14ac:dyDescent="0.25">
      <c r="B3" s="690" t="s">
        <v>227</v>
      </c>
      <c r="C3" s="690" t="s">
        <v>189</v>
      </c>
      <c r="D3" s="690" t="s">
        <v>228</v>
      </c>
      <c r="E3" s="690" t="s">
        <v>190</v>
      </c>
      <c r="F3" s="690" t="s">
        <v>222</v>
      </c>
      <c r="G3" s="690" t="s">
        <v>223</v>
      </c>
      <c r="H3" s="690" t="s">
        <v>224</v>
      </c>
      <c r="I3" s="690" t="s">
        <v>229</v>
      </c>
      <c r="J3" s="690" t="s">
        <v>225</v>
      </c>
      <c r="K3" s="690" t="s">
        <v>851</v>
      </c>
      <c r="L3" s="690" t="s">
        <v>852</v>
      </c>
      <c r="M3" s="690" t="s">
        <v>569</v>
      </c>
    </row>
    <row r="4" spans="1:21" ht="15" x14ac:dyDescent="0.25">
      <c r="A4" s="688" t="s">
        <v>4608</v>
      </c>
      <c r="B4" s="691" t="str">
        <f t="shared" ref="B4:M4" si="0">VLOOKUP(B3,Tbl_Glob_Conversie,3,FALSE)</f>
        <v>kcal</v>
      </c>
      <c r="C4" s="691" t="str">
        <f t="shared" si="0"/>
        <v>gram</v>
      </c>
      <c r="D4" s="691" t="str">
        <f t="shared" si="0"/>
        <v>gram</v>
      </c>
      <c r="E4" s="691" t="str">
        <f t="shared" si="0"/>
        <v>gram</v>
      </c>
      <c r="F4" s="691" t="str">
        <f t="shared" si="0"/>
        <v>mmol</v>
      </c>
      <c r="G4" s="691" t="str">
        <f t="shared" si="0"/>
        <v>mmol</v>
      </c>
      <c r="H4" s="691" t="str">
        <f t="shared" si="0"/>
        <v>mmol</v>
      </c>
      <c r="I4" s="691" t="str">
        <f t="shared" si="0"/>
        <v>mmol</v>
      </c>
      <c r="J4" s="691" t="str">
        <f t="shared" si="0"/>
        <v>mmol</v>
      </c>
      <c r="K4" s="691" t="str">
        <f t="shared" si="0"/>
        <v>mmol</v>
      </c>
      <c r="L4" s="691" t="str">
        <f t="shared" si="0"/>
        <v>IE</v>
      </c>
      <c r="M4" s="691" t="str">
        <f t="shared" si="0"/>
        <v>mmol</v>
      </c>
    </row>
    <row r="5" spans="1:21" x14ac:dyDescent="0.2"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</row>
    <row r="6" spans="1:21" x14ac:dyDescent="0.2">
      <c r="A6" s="481" t="s">
        <v>570</v>
      </c>
      <c r="B6" s="333">
        <f>D6*4</f>
        <v>0.2</v>
      </c>
      <c r="C6" s="333"/>
      <c r="D6" s="455">
        <v>0.05</v>
      </c>
      <c r="E6" s="333"/>
      <c r="F6" s="333"/>
      <c r="G6" s="333"/>
      <c r="H6" s="333"/>
      <c r="I6" s="333"/>
      <c r="J6" s="333"/>
      <c r="K6" s="333"/>
      <c r="L6" s="333"/>
      <c r="M6" s="333"/>
    </row>
    <row r="7" spans="1:21" x14ac:dyDescent="0.2">
      <c r="A7" s="481" t="s">
        <v>573</v>
      </c>
      <c r="B7" s="333">
        <f t="shared" ref="B7:B19" si="1">D7*4</f>
        <v>0.4</v>
      </c>
      <c r="C7" s="333"/>
      <c r="D7" s="455">
        <v>0.1</v>
      </c>
      <c r="E7" s="333"/>
      <c r="F7" s="333"/>
      <c r="G7" s="333"/>
      <c r="H7" s="333"/>
      <c r="I7" s="333"/>
      <c r="J7" s="333"/>
      <c r="K7" s="333"/>
      <c r="L7" s="333"/>
      <c r="M7" s="333"/>
    </row>
    <row r="8" spans="1:21" x14ac:dyDescent="0.2">
      <c r="A8" s="481" t="s">
        <v>4601</v>
      </c>
      <c r="B8" s="333">
        <f t="shared" si="1"/>
        <v>0.5</v>
      </c>
      <c r="C8" s="333"/>
      <c r="D8" s="333">
        <v>0.125</v>
      </c>
      <c r="E8" s="333"/>
      <c r="F8" s="333"/>
      <c r="G8" s="333"/>
      <c r="H8" s="333"/>
      <c r="I8" s="333"/>
      <c r="J8" s="333"/>
      <c r="K8" s="333"/>
      <c r="L8" s="333"/>
      <c r="M8" s="333"/>
    </row>
    <row r="9" spans="1:21" x14ac:dyDescent="0.2">
      <c r="A9" s="481" t="s">
        <v>574</v>
      </c>
      <c r="B9" s="333">
        <f t="shared" si="1"/>
        <v>0.6</v>
      </c>
      <c r="C9" s="333"/>
      <c r="D9" s="333">
        <v>0.15</v>
      </c>
      <c r="E9" s="333"/>
      <c r="F9" s="333"/>
      <c r="G9" s="333"/>
      <c r="H9" s="333"/>
      <c r="I9" s="333"/>
      <c r="J9" s="333"/>
      <c r="K9" s="333"/>
      <c r="L9" s="333"/>
      <c r="M9" s="333"/>
    </row>
    <row r="10" spans="1:21" x14ac:dyDescent="0.2">
      <c r="A10" s="481" t="s">
        <v>4602</v>
      </c>
      <c r="B10" s="333">
        <f t="shared" si="1"/>
        <v>0.7</v>
      </c>
      <c r="C10" s="333"/>
      <c r="D10" s="333">
        <v>0.17499999999999999</v>
      </c>
      <c r="E10" s="333"/>
      <c r="F10" s="333"/>
      <c r="G10" s="333"/>
      <c r="H10" s="333"/>
      <c r="I10" s="333"/>
      <c r="J10" s="333"/>
      <c r="K10" s="333"/>
      <c r="L10" s="333"/>
      <c r="M10" s="333"/>
      <c r="S10" s="674"/>
      <c r="T10" s="674"/>
      <c r="U10" s="674"/>
    </row>
    <row r="11" spans="1:21" x14ac:dyDescent="0.2">
      <c r="A11" s="481" t="s">
        <v>576</v>
      </c>
      <c r="B11" s="333">
        <f t="shared" si="1"/>
        <v>0.8</v>
      </c>
      <c r="C11" s="333"/>
      <c r="D11" s="455">
        <v>0.2</v>
      </c>
      <c r="E11" s="333"/>
      <c r="F11" s="333"/>
      <c r="G11" s="333"/>
      <c r="H11" s="333"/>
      <c r="I11" s="333"/>
      <c r="J11" s="333"/>
      <c r="K11" s="333"/>
      <c r="L11" s="333"/>
      <c r="M11" s="333"/>
      <c r="S11" s="674"/>
      <c r="U11" s="674"/>
    </row>
    <row r="12" spans="1:21" x14ac:dyDescent="0.2">
      <c r="A12" s="481" t="s">
        <v>577</v>
      </c>
      <c r="B12" s="333">
        <f t="shared" si="1"/>
        <v>1</v>
      </c>
      <c r="C12" s="333"/>
      <c r="D12" s="455">
        <v>0.25</v>
      </c>
      <c r="E12" s="333"/>
      <c r="F12" s="333"/>
      <c r="G12" s="333"/>
      <c r="H12" s="333"/>
      <c r="I12" s="333"/>
      <c r="J12" s="333"/>
      <c r="K12" s="333"/>
      <c r="L12" s="333"/>
      <c r="M12" s="333"/>
      <c r="S12" s="674"/>
      <c r="U12" s="674"/>
    </row>
    <row r="13" spans="1:21" x14ac:dyDescent="0.2">
      <c r="A13" s="674" t="s">
        <v>578</v>
      </c>
      <c r="B13" s="333">
        <f t="shared" si="1"/>
        <v>1.2</v>
      </c>
      <c r="C13" s="333"/>
      <c r="D13" s="455">
        <v>0.3</v>
      </c>
      <c r="E13" s="333"/>
      <c r="F13" s="333"/>
      <c r="G13" s="333"/>
      <c r="H13" s="333"/>
      <c r="I13" s="333"/>
      <c r="J13" s="333"/>
      <c r="K13" s="333"/>
      <c r="L13" s="333"/>
      <c r="M13" s="333"/>
      <c r="S13" s="674"/>
      <c r="T13" s="674"/>
      <c r="U13" s="674"/>
    </row>
    <row r="14" spans="1:21" x14ac:dyDescent="0.2">
      <c r="A14" s="482" t="s">
        <v>579</v>
      </c>
      <c r="B14" s="333">
        <f t="shared" si="1"/>
        <v>1.4</v>
      </c>
      <c r="C14" s="333"/>
      <c r="D14" s="455">
        <v>0.35</v>
      </c>
      <c r="E14" s="333"/>
      <c r="F14" s="333"/>
      <c r="G14" s="333"/>
      <c r="H14" s="333"/>
      <c r="I14" s="333"/>
      <c r="J14" s="333"/>
      <c r="K14" s="333"/>
      <c r="L14" s="333"/>
      <c r="M14" s="333"/>
      <c r="S14" s="674"/>
      <c r="U14" s="674"/>
    </row>
    <row r="15" spans="1:21" x14ac:dyDescent="0.2">
      <c r="A15" s="481" t="s">
        <v>580</v>
      </c>
      <c r="B15" s="333">
        <f t="shared" si="1"/>
        <v>1.6</v>
      </c>
      <c r="C15" s="333"/>
      <c r="D15" s="455">
        <v>0.4</v>
      </c>
      <c r="E15" s="333"/>
      <c r="F15" s="333"/>
      <c r="G15" s="333"/>
      <c r="H15" s="333"/>
      <c r="I15" s="333"/>
      <c r="J15" s="333"/>
      <c r="K15" s="333"/>
      <c r="L15" s="333"/>
      <c r="M15" s="333"/>
      <c r="S15" s="674"/>
      <c r="U15" s="674"/>
    </row>
    <row r="16" spans="1:21" x14ac:dyDescent="0.2">
      <c r="A16" s="674" t="s">
        <v>581</v>
      </c>
      <c r="B16" s="333">
        <f t="shared" si="1"/>
        <v>1.8</v>
      </c>
      <c r="C16" s="333"/>
      <c r="D16" s="455">
        <v>0.45</v>
      </c>
      <c r="E16" s="333"/>
      <c r="F16" s="333"/>
      <c r="G16" s="333"/>
      <c r="H16" s="333"/>
      <c r="I16" s="333"/>
      <c r="J16" s="333"/>
      <c r="K16" s="333"/>
      <c r="L16" s="333"/>
      <c r="M16" s="333"/>
      <c r="S16" s="674"/>
      <c r="U16" s="674"/>
    </row>
    <row r="17" spans="1:21" x14ac:dyDescent="0.2">
      <c r="A17" s="481" t="s">
        <v>582</v>
      </c>
      <c r="B17" s="333">
        <f t="shared" si="1"/>
        <v>2</v>
      </c>
      <c r="C17" s="333"/>
      <c r="D17" s="455">
        <v>0.5</v>
      </c>
      <c r="E17" s="333"/>
      <c r="F17" s="333"/>
      <c r="G17" s="333"/>
      <c r="H17" s="333"/>
      <c r="I17" s="333"/>
      <c r="J17" s="333"/>
      <c r="K17" s="333"/>
      <c r="L17" s="333"/>
      <c r="M17" s="333"/>
      <c r="S17" s="674"/>
      <c r="U17" s="674"/>
    </row>
    <row r="18" spans="1:21" x14ac:dyDescent="0.2">
      <c r="A18" s="481" t="s">
        <v>4603</v>
      </c>
      <c r="B18" s="333">
        <f t="shared" si="1"/>
        <v>0.2</v>
      </c>
      <c r="C18" s="333"/>
      <c r="D18" s="333">
        <v>0.05</v>
      </c>
      <c r="E18" s="333"/>
      <c r="F18" s="333">
        <v>7.6999999999999999E-2</v>
      </c>
      <c r="G18" s="333"/>
      <c r="H18" s="333"/>
      <c r="I18" s="333"/>
      <c r="J18" s="333"/>
      <c r="K18" s="333"/>
      <c r="L18" s="333"/>
      <c r="M18" s="333">
        <f>F18</f>
        <v>7.6999999999999999E-2</v>
      </c>
      <c r="S18" s="674"/>
      <c r="U18" s="674"/>
    </row>
    <row r="19" spans="1:21" x14ac:dyDescent="0.2">
      <c r="A19" s="481" t="s">
        <v>4604</v>
      </c>
      <c r="B19" s="333">
        <f t="shared" si="1"/>
        <v>0.2</v>
      </c>
      <c r="C19" s="333"/>
      <c r="D19" s="333">
        <v>0.05</v>
      </c>
      <c r="E19" s="333"/>
      <c r="F19" s="333">
        <v>0.155</v>
      </c>
      <c r="G19" s="333"/>
      <c r="H19" s="333"/>
      <c r="I19" s="333"/>
      <c r="J19" s="333"/>
      <c r="K19" s="333"/>
      <c r="L19" s="333"/>
      <c r="M19" s="333">
        <f t="shared" ref="M19:M21" si="2">F19</f>
        <v>0.155</v>
      </c>
      <c r="S19" s="674"/>
      <c r="U19" s="674"/>
    </row>
    <row r="20" spans="1:21" x14ac:dyDescent="0.2">
      <c r="A20" s="689" t="s">
        <v>4804</v>
      </c>
      <c r="B20" s="333"/>
      <c r="C20" s="333"/>
      <c r="D20" s="333"/>
      <c r="E20" s="333"/>
      <c r="F20" s="333">
        <f>F21/2</f>
        <v>7.7499999999999999E-2</v>
      </c>
      <c r="G20" s="333"/>
      <c r="H20" s="333"/>
      <c r="I20" s="333"/>
      <c r="J20" s="333"/>
      <c r="K20" s="333"/>
      <c r="L20" s="333"/>
      <c r="M20" s="333">
        <f t="shared" si="2"/>
        <v>7.7499999999999999E-2</v>
      </c>
      <c r="S20" s="674"/>
      <c r="U20" s="674"/>
    </row>
    <row r="21" spans="1:21" x14ac:dyDescent="0.2">
      <c r="A21" s="481" t="s">
        <v>302</v>
      </c>
      <c r="B21" s="333"/>
      <c r="C21" s="333"/>
      <c r="D21" s="333"/>
      <c r="E21" s="333"/>
      <c r="F21" s="333">
        <v>0.155</v>
      </c>
      <c r="G21" s="333"/>
      <c r="H21" s="333"/>
      <c r="I21" s="333"/>
      <c r="J21" s="333"/>
      <c r="K21" s="333"/>
      <c r="L21" s="333"/>
      <c r="M21" s="333">
        <f t="shared" si="2"/>
        <v>0.155</v>
      </c>
      <c r="S21" s="674"/>
      <c r="U21" s="674"/>
    </row>
    <row r="22" spans="1:21" x14ac:dyDescent="0.2">
      <c r="A22" s="481" t="s">
        <v>450</v>
      </c>
      <c r="B22" s="333"/>
      <c r="C22" s="333"/>
      <c r="D22" s="333"/>
      <c r="E22" s="333"/>
      <c r="F22" s="333">
        <v>0.13100000000000001</v>
      </c>
      <c r="G22" s="333">
        <v>5.4000000000000003E-3</v>
      </c>
      <c r="H22" s="333"/>
      <c r="I22" s="333"/>
      <c r="J22" s="333"/>
      <c r="K22" s="333"/>
      <c r="L22" s="333"/>
      <c r="M22" s="333">
        <v>0.109</v>
      </c>
      <c r="S22" s="674"/>
      <c r="T22" s="674"/>
      <c r="U22" s="674"/>
    </row>
    <row r="23" spans="1:21" x14ac:dyDescent="0.2">
      <c r="A23" s="674" t="s">
        <v>583</v>
      </c>
      <c r="B23" s="333"/>
      <c r="C23" s="333"/>
      <c r="D23" s="333"/>
      <c r="E23" s="333"/>
      <c r="F23" s="455">
        <v>0.5</v>
      </c>
      <c r="G23" s="333"/>
      <c r="H23" s="333"/>
      <c r="I23" s="333"/>
      <c r="J23" s="333"/>
      <c r="K23" s="333"/>
      <c r="L23" s="333"/>
      <c r="M23" s="333"/>
      <c r="S23" s="674"/>
      <c r="T23" s="674"/>
    </row>
    <row r="24" spans="1:21" x14ac:dyDescent="0.2">
      <c r="A24" s="674" t="s">
        <v>55</v>
      </c>
      <c r="B24" s="333"/>
      <c r="C24" s="333"/>
      <c r="D24" s="333"/>
      <c r="E24" s="333"/>
      <c r="F24" s="455">
        <v>1</v>
      </c>
      <c r="G24" s="333"/>
      <c r="H24" s="333"/>
      <c r="I24" s="333"/>
      <c r="J24" s="333"/>
      <c r="K24" s="333"/>
      <c r="L24" s="333"/>
      <c r="M24" s="333"/>
      <c r="S24" s="674"/>
      <c r="T24" s="674"/>
    </row>
    <row r="25" spans="1:21" x14ac:dyDescent="0.2">
      <c r="A25" s="674" t="s">
        <v>328</v>
      </c>
      <c r="B25" s="333"/>
      <c r="C25" s="333"/>
      <c r="D25" s="333"/>
      <c r="E25" s="333"/>
      <c r="F25" s="455">
        <v>0.5</v>
      </c>
      <c r="G25" s="333"/>
      <c r="H25" s="333"/>
      <c r="I25" s="333"/>
      <c r="J25" s="333"/>
      <c r="K25" s="333"/>
      <c r="L25" s="333"/>
      <c r="M25" s="333">
        <f>F25</f>
        <v>0.5</v>
      </c>
      <c r="T25" s="674"/>
    </row>
    <row r="26" spans="1:21" x14ac:dyDescent="0.2">
      <c r="A26" s="481" t="s">
        <v>552</v>
      </c>
      <c r="B26" s="333"/>
      <c r="C26" s="333"/>
      <c r="D26" s="333"/>
      <c r="E26" s="333"/>
      <c r="F26" s="455"/>
      <c r="G26" s="204">
        <v>1</v>
      </c>
      <c r="H26" s="333"/>
      <c r="I26" s="333"/>
      <c r="J26" s="333"/>
      <c r="K26" s="333"/>
      <c r="L26" s="333"/>
      <c r="M26" s="333"/>
      <c r="T26" s="674"/>
    </row>
    <row r="27" spans="1:21" x14ac:dyDescent="0.2">
      <c r="A27" s="481" t="s">
        <v>220</v>
      </c>
      <c r="B27" s="333"/>
      <c r="C27" s="333"/>
      <c r="D27" s="333"/>
      <c r="E27" s="333"/>
      <c r="F27" s="455"/>
      <c r="G27" s="333">
        <v>1</v>
      </c>
      <c r="H27" s="333"/>
      <c r="I27" s="333"/>
      <c r="J27" s="333"/>
      <c r="K27" s="333"/>
      <c r="L27" s="333"/>
      <c r="M27" s="333">
        <f>G27</f>
        <v>1</v>
      </c>
      <c r="T27" s="674"/>
    </row>
    <row r="28" spans="1:21" x14ac:dyDescent="0.2">
      <c r="A28" s="481" t="s">
        <v>553</v>
      </c>
      <c r="B28" s="333"/>
      <c r="C28" s="333"/>
      <c r="D28" s="333"/>
      <c r="E28" s="333"/>
      <c r="F28" s="455"/>
      <c r="G28" s="333"/>
      <c r="H28" s="204">
        <v>0.22500000000000001</v>
      </c>
      <c r="I28" s="333"/>
      <c r="J28" s="333"/>
      <c r="K28" s="333"/>
      <c r="L28" s="333"/>
      <c r="M28" s="204">
        <v>0.45</v>
      </c>
      <c r="T28" s="674"/>
    </row>
    <row r="29" spans="1:21" x14ac:dyDescent="0.2">
      <c r="A29" s="481" t="s">
        <v>329</v>
      </c>
      <c r="B29" s="333"/>
      <c r="C29" s="333"/>
      <c r="D29" s="333"/>
      <c r="E29" s="333"/>
      <c r="F29" s="455"/>
      <c r="G29" s="333"/>
      <c r="H29" s="333">
        <v>0.22500000000000001</v>
      </c>
      <c r="I29" s="333"/>
      <c r="J29" s="333"/>
      <c r="K29" s="333"/>
      <c r="L29" s="333"/>
      <c r="M29" s="333"/>
      <c r="T29" s="674"/>
    </row>
    <row r="30" spans="1:21" x14ac:dyDescent="0.2">
      <c r="A30" s="481" t="s">
        <v>554</v>
      </c>
      <c r="B30" s="333"/>
      <c r="C30" s="333"/>
      <c r="D30" s="333"/>
      <c r="E30" s="333"/>
      <c r="F30" s="455"/>
      <c r="G30" s="333"/>
      <c r="H30" s="333"/>
      <c r="I30" s="333"/>
      <c r="J30" s="204">
        <v>0.5</v>
      </c>
      <c r="K30" s="333"/>
      <c r="L30" s="333"/>
      <c r="M30" s="204">
        <v>1</v>
      </c>
      <c r="T30" s="674"/>
    </row>
    <row r="31" spans="1:21" x14ac:dyDescent="0.2">
      <c r="A31" s="481" t="s">
        <v>310</v>
      </c>
      <c r="B31" s="333"/>
      <c r="C31" s="333"/>
      <c r="D31" s="333"/>
      <c r="E31" s="333"/>
      <c r="F31" s="455"/>
      <c r="G31" s="333"/>
      <c r="H31" s="333"/>
      <c r="I31" s="333"/>
      <c r="J31" s="204">
        <v>0.5</v>
      </c>
      <c r="K31" s="333"/>
      <c r="L31" s="333"/>
      <c r="M31" s="204">
        <v>1</v>
      </c>
      <c r="T31" s="674"/>
    </row>
    <row r="32" spans="1:21" x14ac:dyDescent="0.2">
      <c r="A32" s="481" t="s">
        <v>308</v>
      </c>
      <c r="B32" s="333"/>
      <c r="C32" s="333"/>
      <c r="D32" s="333"/>
      <c r="E32" s="333"/>
      <c r="F32" s="333">
        <v>0.5</v>
      </c>
      <c r="G32" s="333">
        <v>1.25</v>
      </c>
      <c r="H32" s="333"/>
      <c r="I32" s="333">
        <v>1.5</v>
      </c>
      <c r="J32" s="204"/>
      <c r="K32" s="333"/>
      <c r="L32" s="333"/>
      <c r="M32" s="204"/>
      <c r="T32" s="674"/>
    </row>
    <row r="33" spans="1:13" x14ac:dyDescent="0.2">
      <c r="A33" s="674" t="s">
        <v>117</v>
      </c>
      <c r="B33" s="333"/>
      <c r="C33" s="333">
        <v>0.2</v>
      </c>
      <c r="D33" s="333"/>
      <c r="E33" s="333"/>
      <c r="F33" s="333"/>
      <c r="G33" s="333"/>
      <c r="H33" s="333"/>
      <c r="I33" s="333"/>
      <c r="J33" s="333"/>
      <c r="K33" s="333"/>
      <c r="L33" s="333"/>
      <c r="M33" s="333"/>
    </row>
    <row r="34" spans="1:13" x14ac:dyDescent="0.2">
      <c r="A34" s="481" t="s">
        <v>584</v>
      </c>
      <c r="B34" s="333">
        <v>0.28999999999999998</v>
      </c>
      <c r="C34" s="333">
        <v>7.4285714285714288E-2</v>
      </c>
      <c r="D34" s="333"/>
      <c r="E34" s="333"/>
      <c r="F34" s="333">
        <v>5.4285714285714284E-2</v>
      </c>
      <c r="G34" s="333">
        <v>7.1428571428571425E-2</v>
      </c>
      <c r="H34" s="333">
        <v>2.5714285714285714E-2</v>
      </c>
      <c r="I34" s="333">
        <v>3.4285714285714287E-2</v>
      </c>
      <c r="J34" s="333">
        <v>4.2857142857142859E-3</v>
      </c>
      <c r="K34" s="333"/>
      <c r="L34" s="333"/>
      <c r="M34" s="333"/>
    </row>
    <row r="35" spans="1:13" x14ac:dyDescent="0.2">
      <c r="A35" s="481" t="s">
        <v>326</v>
      </c>
      <c r="B35" s="333">
        <v>0.28999999999999998</v>
      </c>
      <c r="C35" s="333">
        <v>7.4285714285714288E-2</v>
      </c>
      <c r="D35" s="333">
        <v>0</v>
      </c>
      <c r="E35" s="333"/>
      <c r="F35" s="333">
        <v>7.1428571428571426E-3</v>
      </c>
      <c r="G35" s="333">
        <v>1.7142857142857144E-2</v>
      </c>
      <c r="H35" s="333">
        <v>2.5714285714285714E-2</v>
      </c>
      <c r="I35" s="333">
        <v>2.1428571428571429E-2</v>
      </c>
      <c r="J35" s="333">
        <v>5.7142857142857143E-3</v>
      </c>
      <c r="K35" s="333"/>
      <c r="L35" s="333"/>
      <c r="M35" s="333"/>
    </row>
    <row r="36" spans="1:13" x14ac:dyDescent="0.2">
      <c r="A36" s="481" t="s">
        <v>327</v>
      </c>
      <c r="B36" s="333">
        <v>0.32</v>
      </c>
      <c r="C36" s="333">
        <v>0.08</v>
      </c>
      <c r="D36" s="333">
        <v>0</v>
      </c>
      <c r="E36" s="333"/>
      <c r="F36" s="333">
        <v>8.0000000000000002E-3</v>
      </c>
      <c r="G36" s="333">
        <v>0.02</v>
      </c>
      <c r="H36" s="333">
        <v>2.8000000000000001E-2</v>
      </c>
      <c r="I36" s="333">
        <v>2.4E-2</v>
      </c>
      <c r="J36" s="333">
        <v>8.0000000000000002E-3</v>
      </c>
      <c r="K36" s="333"/>
      <c r="L36" s="333"/>
      <c r="M36" s="333"/>
    </row>
    <row r="37" spans="1:13" x14ac:dyDescent="0.2">
      <c r="A37" s="481" t="s">
        <v>41</v>
      </c>
      <c r="B37" s="333">
        <v>0.35</v>
      </c>
      <c r="C37" s="333">
        <v>8.7999999999999995E-2</v>
      </c>
      <c r="D37" s="333">
        <v>0</v>
      </c>
      <c r="E37" s="333"/>
      <c r="F37" s="333">
        <v>0.01</v>
      </c>
      <c r="G37" s="333">
        <v>2.5000000000000001E-2</v>
      </c>
      <c r="H37" s="333">
        <v>1.7999999999999999E-2</v>
      </c>
      <c r="I37" s="333">
        <v>0.03</v>
      </c>
      <c r="J37" s="333">
        <v>0.01</v>
      </c>
      <c r="K37" s="333"/>
      <c r="L37" s="333"/>
      <c r="M37" s="333"/>
    </row>
    <row r="38" spans="1:13" x14ac:dyDescent="0.2">
      <c r="A38" s="481" t="s">
        <v>42</v>
      </c>
      <c r="B38" s="333">
        <v>0.33</v>
      </c>
      <c r="C38" s="333">
        <v>8.3000000000000004E-2</v>
      </c>
      <c r="D38" s="333">
        <v>0</v>
      </c>
      <c r="E38" s="333"/>
      <c r="F38" s="333">
        <v>1.2499999999999999E-2</v>
      </c>
      <c r="G38" s="333">
        <v>3.1E-2</v>
      </c>
      <c r="H38" s="333">
        <v>2.5999999999999999E-2</v>
      </c>
      <c r="I38" s="333">
        <v>3.7999999999999999E-2</v>
      </c>
      <c r="J38" s="333">
        <v>1.2500000000000001E-2</v>
      </c>
      <c r="K38" s="333"/>
      <c r="L38" s="333"/>
      <c r="M38" s="333"/>
    </row>
    <row r="39" spans="1:13" x14ac:dyDescent="0.2">
      <c r="A39" s="481" t="s">
        <v>78</v>
      </c>
      <c r="B39" s="333">
        <v>0.96</v>
      </c>
      <c r="C39" s="333">
        <v>7.0000000000000007E-2</v>
      </c>
      <c r="D39" s="333">
        <v>0.24</v>
      </c>
      <c r="E39" s="333"/>
      <c r="F39" s="333">
        <v>4.0500000000000001E-2</v>
      </c>
      <c r="G39" s="333">
        <v>2.5700000000000001E-2</v>
      </c>
      <c r="H39" s="333">
        <v>4.1000000000000003E-3</v>
      </c>
      <c r="I39" s="333">
        <v>1.47E-2</v>
      </c>
      <c r="J39" s="333">
        <v>5.0000000000000001E-3</v>
      </c>
      <c r="K39" s="333"/>
      <c r="L39" s="333"/>
      <c r="M39" s="333"/>
    </row>
    <row r="40" spans="1:13" x14ac:dyDescent="0.2">
      <c r="A40" s="481" t="s">
        <v>514</v>
      </c>
      <c r="B40" s="333"/>
      <c r="C40" s="204">
        <v>0.1</v>
      </c>
      <c r="D40" s="333"/>
      <c r="E40" s="333"/>
      <c r="F40" s="333"/>
      <c r="G40" s="333"/>
      <c r="H40" s="333"/>
      <c r="I40" s="333"/>
      <c r="J40" s="333"/>
      <c r="K40" s="333"/>
      <c r="L40" s="204">
        <v>40</v>
      </c>
      <c r="M40" s="333"/>
    </row>
    <row r="41" spans="1:13" x14ac:dyDescent="0.2">
      <c r="A41" s="481" t="s">
        <v>194</v>
      </c>
      <c r="B41" s="333"/>
      <c r="C41" s="333"/>
      <c r="D41" s="333"/>
      <c r="E41" s="333"/>
      <c r="F41" s="333"/>
      <c r="G41" s="333"/>
      <c r="H41" s="333"/>
      <c r="I41" s="333"/>
      <c r="J41" s="333"/>
      <c r="K41" s="333"/>
      <c r="L41" s="333"/>
      <c r="M41" s="333"/>
    </row>
    <row r="42" spans="1:13" x14ac:dyDescent="0.2">
      <c r="A42" s="481" t="s">
        <v>192</v>
      </c>
      <c r="B42" s="333">
        <v>1.8</v>
      </c>
      <c r="C42" s="333"/>
      <c r="D42" s="333"/>
      <c r="E42" s="333">
        <v>0.2</v>
      </c>
      <c r="F42" s="333"/>
      <c r="G42" s="333"/>
      <c r="H42" s="333"/>
      <c r="I42" s="333"/>
      <c r="J42" s="333"/>
      <c r="K42" s="333"/>
      <c r="L42" s="333"/>
      <c r="M42" s="333"/>
    </row>
    <row r="43" spans="1:13" x14ac:dyDescent="0.2">
      <c r="A43" s="481" t="s">
        <v>551</v>
      </c>
      <c r="B43" s="333">
        <v>1.8</v>
      </c>
      <c r="C43" s="333"/>
      <c r="D43" s="333"/>
      <c r="E43" s="333">
        <v>0.2</v>
      </c>
      <c r="F43" s="333"/>
      <c r="G43" s="333"/>
      <c r="H43" s="333"/>
      <c r="I43" s="333"/>
      <c r="J43" s="333"/>
      <c r="K43" s="333"/>
      <c r="L43" s="333"/>
      <c r="M43" s="333"/>
    </row>
    <row r="44" spans="1:13" x14ac:dyDescent="0.2">
      <c r="A44" s="481" t="s">
        <v>991</v>
      </c>
      <c r="B44" s="333">
        <f>9*E44</f>
        <v>1.8</v>
      </c>
      <c r="C44" s="333"/>
      <c r="D44" s="333"/>
      <c r="E44" s="334">
        <v>0.2</v>
      </c>
      <c r="F44" s="333"/>
      <c r="G44" s="333"/>
      <c r="H44" s="333"/>
      <c r="I44" s="333"/>
      <c r="J44" s="333"/>
      <c r="K44" s="333"/>
      <c r="L44" s="333"/>
      <c r="M44" s="333"/>
    </row>
    <row r="47" spans="1:13" x14ac:dyDescent="0.2">
      <c r="B47" s="477"/>
      <c r="C47" s="477"/>
      <c r="D47" s="477"/>
      <c r="E47" s="477"/>
      <c r="F47" s="477"/>
      <c r="G47" s="477"/>
      <c r="H47" s="477"/>
      <c r="I47" s="477"/>
      <c r="J47" s="477"/>
      <c r="K47" s="477"/>
      <c r="L47" s="477"/>
      <c r="M47" s="477"/>
    </row>
    <row r="48" spans="1:13" x14ac:dyDescent="0.2">
      <c r="B48" s="477"/>
      <c r="D48" s="477"/>
      <c r="E48" s="477"/>
      <c r="F48" s="477"/>
      <c r="G48" s="477"/>
      <c r="H48" s="477"/>
      <c r="I48" s="477"/>
      <c r="J48" s="477"/>
      <c r="K48" s="477"/>
      <c r="L48" s="477"/>
      <c r="M48" s="477"/>
    </row>
    <row r="49" spans="2:13" x14ac:dyDescent="0.2">
      <c r="B49" s="477"/>
      <c r="C49" s="477"/>
      <c r="E49" s="477"/>
      <c r="F49" s="477"/>
      <c r="G49" s="477"/>
      <c r="H49" s="477"/>
      <c r="I49" s="477"/>
      <c r="J49" s="477"/>
      <c r="L49" s="477"/>
      <c r="M49" s="477"/>
    </row>
    <row r="50" spans="2:13" x14ac:dyDescent="0.2">
      <c r="B50" s="477"/>
      <c r="C50" s="477"/>
      <c r="D50" s="477"/>
      <c r="F50" s="477"/>
      <c r="G50" s="477"/>
      <c r="H50" s="477"/>
      <c r="I50" s="477"/>
      <c r="J50" s="477"/>
      <c r="L50" s="477"/>
      <c r="M50" s="477"/>
    </row>
    <row r="51" spans="2:13" x14ac:dyDescent="0.2">
      <c r="B51" s="477"/>
      <c r="C51" s="477"/>
      <c r="D51" s="477"/>
      <c r="E51" s="477"/>
      <c r="F51" s="477"/>
      <c r="G51" s="477"/>
      <c r="H51" s="477"/>
      <c r="I51" s="477"/>
      <c r="J51" s="477"/>
      <c r="K51" s="477"/>
      <c r="M51" s="477"/>
    </row>
    <row r="52" spans="2:13" x14ac:dyDescent="0.2">
      <c r="B52" s="477"/>
      <c r="C52" s="477"/>
      <c r="D52" s="477"/>
      <c r="E52" s="477"/>
      <c r="F52" s="477"/>
      <c r="H52" s="477"/>
      <c r="I52" s="477"/>
      <c r="J52" s="477"/>
      <c r="K52" s="477"/>
      <c r="L52" s="477"/>
      <c r="M52" s="47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G6" sqref="G6"/>
    </sheetView>
  </sheetViews>
  <sheetFormatPr defaultColWidth="9.140625" defaultRowHeight="12.75" x14ac:dyDescent="0.2"/>
  <cols>
    <col min="1" max="1" width="32.28515625" style="694" bestFit="1" customWidth="1"/>
    <col min="2" max="14" width="8.28515625" style="694" customWidth="1"/>
    <col min="15" max="15" width="35.140625" style="694" customWidth="1"/>
    <col min="16" max="30" width="7.7109375" style="694" customWidth="1"/>
    <col min="31" max="16384" width="9.140625" style="694"/>
  </cols>
  <sheetData>
    <row r="1" spans="1:35" x14ac:dyDescent="0.2">
      <c r="A1" s="693" t="s">
        <v>4612</v>
      </c>
      <c r="B1" s="694" t="s">
        <v>4613</v>
      </c>
      <c r="P1" s="694" t="s">
        <v>4591</v>
      </c>
      <c r="AG1" s="695"/>
      <c r="AH1" s="692"/>
      <c r="AI1" s="695"/>
    </row>
    <row r="2" spans="1:35" x14ac:dyDescent="0.2">
      <c r="B2" s="694" t="s">
        <v>4588</v>
      </c>
      <c r="C2" s="695" t="s">
        <v>31</v>
      </c>
      <c r="D2" s="695" t="s">
        <v>31</v>
      </c>
      <c r="E2" s="695" t="s">
        <v>31</v>
      </c>
      <c r="F2" s="695" t="s">
        <v>159</v>
      </c>
      <c r="G2" s="695" t="s">
        <v>159</v>
      </c>
      <c r="H2" s="695" t="s">
        <v>159</v>
      </c>
      <c r="I2" s="695" t="s">
        <v>159</v>
      </c>
      <c r="J2" s="695" t="s">
        <v>159</v>
      </c>
      <c r="K2" s="695" t="s">
        <v>159</v>
      </c>
      <c r="L2" s="695" t="s">
        <v>853</v>
      </c>
      <c r="M2" s="695" t="s">
        <v>159</v>
      </c>
      <c r="N2" s="695"/>
      <c r="O2" s="696" t="s">
        <v>4595</v>
      </c>
      <c r="P2" s="695">
        <v>2</v>
      </c>
      <c r="Q2" s="695">
        <v>3</v>
      </c>
      <c r="R2" s="695">
        <v>4</v>
      </c>
      <c r="S2" s="695">
        <v>5</v>
      </c>
      <c r="T2" s="695">
        <v>6</v>
      </c>
      <c r="U2" s="695">
        <v>7</v>
      </c>
      <c r="V2" s="695">
        <v>8</v>
      </c>
      <c r="W2" s="695">
        <v>9</v>
      </c>
      <c r="X2" s="695">
        <v>10</v>
      </c>
      <c r="Y2" s="695">
        <v>11</v>
      </c>
      <c r="Z2" s="695">
        <v>12</v>
      </c>
      <c r="AA2" s="695">
        <v>13</v>
      </c>
      <c r="AG2" s="695"/>
      <c r="AH2" s="692"/>
      <c r="AI2" s="695"/>
    </row>
    <row r="3" spans="1:35" x14ac:dyDescent="0.2">
      <c r="A3" s="695"/>
      <c r="B3" s="695" t="s">
        <v>227</v>
      </c>
      <c r="C3" s="695" t="s">
        <v>221</v>
      </c>
      <c r="D3" s="695" t="s">
        <v>521</v>
      </c>
      <c r="E3" s="695" t="s">
        <v>522</v>
      </c>
      <c r="F3" s="695" t="s">
        <v>222</v>
      </c>
      <c r="G3" s="695" t="s">
        <v>223</v>
      </c>
      <c r="H3" s="695" t="s">
        <v>224</v>
      </c>
      <c r="I3" s="695" t="s">
        <v>520</v>
      </c>
      <c r="J3" s="695" t="s">
        <v>225</v>
      </c>
      <c r="K3" s="695" t="s">
        <v>851</v>
      </c>
      <c r="L3" s="695" t="s">
        <v>852</v>
      </c>
      <c r="M3" s="695" t="s">
        <v>569</v>
      </c>
      <c r="N3" s="695"/>
      <c r="O3" s="695"/>
      <c r="P3" s="695" t="s">
        <v>227</v>
      </c>
      <c r="Q3" s="695" t="s">
        <v>189</v>
      </c>
      <c r="R3" s="695" t="s">
        <v>228</v>
      </c>
      <c r="S3" s="695" t="s">
        <v>190</v>
      </c>
      <c r="T3" s="695" t="s">
        <v>222</v>
      </c>
      <c r="U3" s="695" t="s">
        <v>223</v>
      </c>
      <c r="V3" s="695" t="s">
        <v>224</v>
      </c>
      <c r="W3" s="695" t="s">
        <v>229</v>
      </c>
      <c r="X3" s="695" t="s">
        <v>225</v>
      </c>
      <c r="Y3" s="695" t="s">
        <v>851</v>
      </c>
      <c r="Z3" s="695" t="s">
        <v>852</v>
      </c>
      <c r="AA3" s="695" t="s">
        <v>569</v>
      </c>
      <c r="AG3" s="695"/>
      <c r="AH3" s="692"/>
      <c r="AI3" s="695"/>
    </row>
    <row r="4" spans="1:35" x14ac:dyDescent="0.2">
      <c r="A4" s="695"/>
      <c r="B4" s="695" t="s">
        <v>227</v>
      </c>
      <c r="C4" s="695" t="s">
        <v>189</v>
      </c>
      <c r="D4" s="695" t="s">
        <v>228</v>
      </c>
      <c r="E4" s="695" t="s">
        <v>190</v>
      </c>
      <c r="F4" s="695" t="s">
        <v>222</v>
      </c>
      <c r="G4" s="695" t="s">
        <v>223</v>
      </c>
      <c r="H4" s="695" t="s">
        <v>224</v>
      </c>
      <c r="I4" s="695" t="s">
        <v>229</v>
      </c>
      <c r="J4" s="695" t="s">
        <v>225</v>
      </c>
      <c r="K4" s="695" t="s">
        <v>851</v>
      </c>
      <c r="L4" s="695" t="s">
        <v>852</v>
      </c>
      <c r="M4" s="695" t="s">
        <v>569</v>
      </c>
      <c r="N4" s="695"/>
      <c r="O4" s="695"/>
      <c r="P4" s="694" t="str">
        <f t="shared" ref="P4:AA4" si="0">VLOOKUP(P3,Tbl_Glob_Conversie,3,FALSE)</f>
        <v>kcal</v>
      </c>
      <c r="Q4" s="694" t="str">
        <f t="shared" si="0"/>
        <v>gram</v>
      </c>
      <c r="R4" s="694" t="str">
        <f t="shared" si="0"/>
        <v>gram</v>
      </c>
      <c r="S4" s="694" t="str">
        <f t="shared" si="0"/>
        <v>gram</v>
      </c>
      <c r="T4" s="694" t="str">
        <f t="shared" si="0"/>
        <v>mmol</v>
      </c>
      <c r="U4" s="694" t="str">
        <f t="shared" si="0"/>
        <v>mmol</v>
      </c>
      <c r="V4" s="694" t="str">
        <f t="shared" si="0"/>
        <v>mmol</v>
      </c>
      <c r="W4" s="694" t="str">
        <f t="shared" si="0"/>
        <v>mmol</v>
      </c>
      <c r="X4" s="694" t="str">
        <f t="shared" si="0"/>
        <v>mmol</v>
      </c>
      <c r="Y4" s="694" t="str">
        <f t="shared" si="0"/>
        <v>mmol</v>
      </c>
      <c r="Z4" s="694" t="str">
        <f t="shared" si="0"/>
        <v>IE</v>
      </c>
      <c r="AA4" s="694" t="str">
        <f t="shared" si="0"/>
        <v>mmol</v>
      </c>
      <c r="AG4" s="695"/>
      <c r="AH4" s="692"/>
      <c r="AI4" s="695"/>
    </row>
    <row r="5" spans="1:35" x14ac:dyDescent="0.2">
      <c r="A5" s="695"/>
      <c r="B5" s="695">
        <v>2</v>
      </c>
      <c r="C5" s="695">
        <v>3</v>
      </c>
      <c r="D5" s="695">
        <v>4</v>
      </c>
      <c r="E5" s="695">
        <v>5</v>
      </c>
      <c r="F5" s="695">
        <v>6</v>
      </c>
      <c r="G5" s="695">
        <v>7</v>
      </c>
      <c r="H5" s="695">
        <v>8</v>
      </c>
      <c r="I5" s="695">
        <v>9</v>
      </c>
      <c r="J5" s="695">
        <v>10</v>
      </c>
      <c r="K5" s="695">
        <v>11</v>
      </c>
      <c r="L5" s="695">
        <v>12</v>
      </c>
      <c r="M5" s="695">
        <v>13</v>
      </c>
      <c r="N5" s="695"/>
      <c r="O5" s="695"/>
      <c r="AG5" s="695"/>
      <c r="AH5" s="692"/>
      <c r="AI5" s="695"/>
    </row>
    <row r="6" spans="1:35" x14ac:dyDescent="0.2">
      <c r="A6" s="456" t="s">
        <v>162</v>
      </c>
      <c r="B6" s="456">
        <v>68</v>
      </c>
      <c r="C6" s="456">
        <v>1</v>
      </c>
      <c r="D6" s="697">
        <v>7.0000000000000009</v>
      </c>
      <c r="E6" s="697">
        <v>4</v>
      </c>
      <c r="F6" s="456">
        <v>20</v>
      </c>
      <c r="G6" s="456">
        <v>50.000000000000007</v>
      </c>
      <c r="H6" s="456">
        <v>30</v>
      </c>
      <c r="I6" s="456">
        <v>15</v>
      </c>
      <c r="J6" s="456">
        <v>3.0000000000000004</v>
      </c>
      <c r="K6" s="697">
        <v>0.1</v>
      </c>
      <c r="L6" s="456">
        <v>0</v>
      </c>
      <c r="M6" s="456">
        <v>43</v>
      </c>
      <c r="N6" s="695"/>
      <c r="O6" s="695" t="str">
        <f>A6</f>
        <v>MM</v>
      </c>
      <c r="P6" s="694">
        <f t="shared" ref="P6:P38" si="1">VLOOKUP(P$3,Tbl_Glob_Conversie,2,FALSE)*B6/100</f>
        <v>0.68</v>
      </c>
      <c r="Q6" s="694">
        <f t="shared" ref="Q6:Q38" si="2">VLOOKUP(Q$3,Tbl_Glob_Conversie,2,FALSE)*C6/100</f>
        <v>0.01</v>
      </c>
      <c r="R6" s="694">
        <f t="shared" ref="R6:R38" si="3">VLOOKUP(R$3,Tbl_Glob_Conversie,2,FALSE)*D6/100</f>
        <v>7.0000000000000007E-2</v>
      </c>
      <c r="S6" s="694">
        <f t="shared" ref="S6:S38" si="4">VLOOKUP(S$3,Tbl_Glob_Conversie,2,FALSE)*E6/100</f>
        <v>0.04</v>
      </c>
      <c r="T6" s="694">
        <f t="shared" ref="T6:T38" si="5">VLOOKUP(T$3,Tbl_Glob_Conversie,2,FALSE)*F6/100</f>
        <v>8.6956000000000012E-3</v>
      </c>
      <c r="U6" s="694">
        <f t="shared" ref="U6:U38" si="6">VLOOKUP(U$3,Tbl_Glob_Conversie,2,FALSE)*G6/100</f>
        <v>1.2820500000000002E-2</v>
      </c>
      <c r="V6" s="694">
        <f t="shared" ref="V6:V38" si="7">VLOOKUP(V$3,Tbl_Glob_Conversie,2,FALSE)*H6/100</f>
        <v>7.4700000000000001E-3</v>
      </c>
      <c r="W6" s="694">
        <f t="shared" ref="W6:W38" si="8">VLOOKUP(W$3,Tbl_Glob_Conversie,2,FALSE)*I6/100</f>
        <v>4.8433499999999997E-3</v>
      </c>
      <c r="X6" s="694">
        <f t="shared" ref="X6:X38" si="9">VLOOKUP(X$3,Tbl_Glob_Conversie,2,FALSE)*J6/100</f>
        <v>1.23423E-3</v>
      </c>
      <c r="Y6" s="694">
        <f t="shared" ref="Y6:Y38" si="10">VLOOKUP(Y$3,Tbl_Glob_Conversie,2,FALSE)*K6/100</f>
        <v>1.7899999999999998E-5</v>
      </c>
      <c r="Z6" s="694">
        <f t="shared" ref="Z6:Z38" si="11">VLOOKUP(Z$3,Tbl_Glob_Conversie,2,FALSE)*L6/100</f>
        <v>0</v>
      </c>
      <c r="AA6" s="694">
        <f t="shared" ref="AA6:AA38" si="12">VLOOKUP(AA$3,Tbl_Glob_Conversie,2,FALSE)*M6/100</f>
        <v>1.212858E-2</v>
      </c>
      <c r="AG6" s="695"/>
      <c r="AH6" s="692"/>
      <c r="AI6" s="695"/>
    </row>
    <row r="7" spans="1:35" x14ac:dyDescent="0.2">
      <c r="A7" s="456" t="s">
        <v>856</v>
      </c>
      <c r="B7" s="456">
        <v>80</v>
      </c>
      <c r="C7" s="456">
        <v>2.6</v>
      </c>
      <c r="D7" s="697">
        <v>8.4</v>
      </c>
      <c r="E7" s="697">
        <v>3.9</v>
      </c>
      <c r="F7" s="456">
        <v>70</v>
      </c>
      <c r="G7" s="456">
        <v>80</v>
      </c>
      <c r="H7" s="456">
        <v>100</v>
      </c>
      <c r="I7" s="456">
        <v>56</v>
      </c>
      <c r="J7" s="456">
        <v>8</v>
      </c>
      <c r="K7" s="697">
        <v>1.6</v>
      </c>
      <c r="L7" s="456">
        <v>3</v>
      </c>
      <c r="M7" s="456">
        <v>85</v>
      </c>
      <c r="N7" s="695"/>
      <c r="O7" s="695" t="str">
        <f t="shared" ref="O7:O39" si="13">A7</f>
        <v>Nutrilon Nenatal Start</v>
      </c>
      <c r="P7" s="694">
        <f t="shared" si="1"/>
        <v>0.8</v>
      </c>
      <c r="Q7" s="694">
        <f t="shared" si="2"/>
        <v>2.6000000000000002E-2</v>
      </c>
      <c r="R7" s="694">
        <f t="shared" si="3"/>
        <v>8.4000000000000005E-2</v>
      </c>
      <c r="S7" s="694">
        <f t="shared" si="4"/>
        <v>3.9E-2</v>
      </c>
      <c r="T7" s="694">
        <f t="shared" si="5"/>
        <v>3.0434599999999999E-2</v>
      </c>
      <c r="U7" s="694">
        <f t="shared" si="6"/>
        <v>2.0512800000000001E-2</v>
      </c>
      <c r="V7" s="694">
        <f t="shared" si="7"/>
        <v>2.4899999999999999E-2</v>
      </c>
      <c r="W7" s="694">
        <f t="shared" si="8"/>
        <v>1.8081839999999998E-2</v>
      </c>
      <c r="X7" s="694">
        <f t="shared" si="9"/>
        <v>3.2912799999999997E-3</v>
      </c>
      <c r="Y7" s="694">
        <f t="shared" si="10"/>
        <v>2.8639999999999997E-4</v>
      </c>
      <c r="Z7" s="694">
        <f t="shared" si="11"/>
        <v>1.2</v>
      </c>
      <c r="AA7" s="694">
        <f t="shared" si="12"/>
        <v>2.3975099999999999E-2</v>
      </c>
      <c r="AG7" s="695"/>
      <c r="AH7" s="692"/>
      <c r="AI7" s="695"/>
    </row>
    <row r="8" spans="1:35" x14ac:dyDescent="0.2">
      <c r="A8" s="456" t="s">
        <v>857</v>
      </c>
      <c r="B8" s="456">
        <v>75</v>
      </c>
      <c r="C8" s="456">
        <v>2</v>
      </c>
      <c r="D8" s="697">
        <v>7.5</v>
      </c>
      <c r="E8" s="697">
        <v>4</v>
      </c>
      <c r="F8" s="456">
        <v>28</v>
      </c>
      <c r="G8" s="456">
        <v>77</v>
      </c>
      <c r="H8" s="456">
        <v>87</v>
      </c>
      <c r="I8" s="456">
        <v>47</v>
      </c>
      <c r="J8" s="456">
        <v>7</v>
      </c>
      <c r="K8" s="697">
        <v>1.2</v>
      </c>
      <c r="L8" s="456">
        <v>1.7</v>
      </c>
      <c r="M8" s="456">
        <v>55</v>
      </c>
      <c r="N8" s="695"/>
      <c r="O8" s="695" t="str">
        <f t="shared" si="13"/>
        <v>Nutrilon Nenatal 1</v>
      </c>
      <c r="P8" s="694">
        <f t="shared" si="1"/>
        <v>0.75</v>
      </c>
      <c r="Q8" s="694">
        <f t="shared" si="2"/>
        <v>0.02</v>
      </c>
      <c r="R8" s="694">
        <f t="shared" si="3"/>
        <v>7.4999999999999997E-2</v>
      </c>
      <c r="S8" s="694">
        <f t="shared" si="4"/>
        <v>0.04</v>
      </c>
      <c r="T8" s="694">
        <f t="shared" si="5"/>
        <v>1.217384E-2</v>
      </c>
      <c r="U8" s="694">
        <f t="shared" si="6"/>
        <v>1.9743570000000002E-2</v>
      </c>
      <c r="V8" s="694">
        <f t="shared" si="7"/>
        <v>2.1662999999999998E-2</v>
      </c>
      <c r="W8" s="694">
        <f t="shared" si="8"/>
        <v>1.517583E-2</v>
      </c>
      <c r="X8" s="694">
        <f t="shared" si="9"/>
        <v>2.8798700000000001E-3</v>
      </c>
      <c r="Y8" s="694">
        <f t="shared" si="10"/>
        <v>2.1479999999999999E-4</v>
      </c>
      <c r="Z8" s="694">
        <f t="shared" si="11"/>
        <v>0.68</v>
      </c>
      <c r="AA8" s="694">
        <f t="shared" si="12"/>
        <v>1.5513299999999999E-2</v>
      </c>
    </row>
    <row r="9" spans="1:35" x14ac:dyDescent="0.2">
      <c r="A9" s="456" t="s">
        <v>858</v>
      </c>
      <c r="B9" s="698">
        <v>66</v>
      </c>
      <c r="C9" s="698">
        <v>1.5</v>
      </c>
      <c r="D9" s="699">
        <v>7.2</v>
      </c>
      <c r="E9" s="699">
        <v>3.4</v>
      </c>
      <c r="F9" s="698">
        <v>25</v>
      </c>
      <c r="G9" s="698">
        <v>73</v>
      </c>
      <c r="H9" s="698">
        <v>46</v>
      </c>
      <c r="I9" s="698">
        <v>26</v>
      </c>
      <c r="J9" s="698">
        <v>5.0999999999999996</v>
      </c>
      <c r="K9" s="700">
        <v>0.53</v>
      </c>
      <c r="L9" s="698">
        <v>1.2</v>
      </c>
      <c r="M9" s="456">
        <v>41</v>
      </c>
      <c r="N9" s="695"/>
      <c r="O9" s="695" t="str">
        <f t="shared" si="13"/>
        <v>Nutrilon Hypoallergeen 1</v>
      </c>
      <c r="P9" s="694">
        <f t="shared" si="1"/>
        <v>0.66</v>
      </c>
      <c r="Q9" s="694">
        <f t="shared" si="2"/>
        <v>1.4999999999999999E-2</v>
      </c>
      <c r="R9" s="694">
        <f t="shared" si="3"/>
        <v>7.2000000000000008E-2</v>
      </c>
      <c r="S9" s="694">
        <f t="shared" si="4"/>
        <v>3.4000000000000002E-2</v>
      </c>
      <c r="T9" s="694">
        <f t="shared" si="5"/>
        <v>1.0869500000000001E-2</v>
      </c>
      <c r="U9" s="694">
        <f t="shared" si="6"/>
        <v>1.8717930000000001E-2</v>
      </c>
      <c r="V9" s="694">
        <f t="shared" si="7"/>
        <v>1.1453999999999999E-2</v>
      </c>
      <c r="W9" s="694">
        <f t="shared" si="8"/>
        <v>8.3951400000000006E-3</v>
      </c>
      <c r="X9" s="694">
        <f t="shared" si="9"/>
        <v>2.0981909999999997E-3</v>
      </c>
      <c r="Y9" s="694">
        <f t="shared" si="10"/>
        <v>9.4870000000000005E-5</v>
      </c>
      <c r="Z9" s="694">
        <f t="shared" si="11"/>
        <v>0.48</v>
      </c>
      <c r="AA9" s="694">
        <f t="shared" si="12"/>
        <v>1.1564459999999999E-2</v>
      </c>
    </row>
    <row r="10" spans="1:35" x14ac:dyDescent="0.2">
      <c r="A10" s="456" t="s">
        <v>572</v>
      </c>
      <c r="B10" s="456">
        <v>66</v>
      </c>
      <c r="C10" s="456">
        <v>1.3</v>
      </c>
      <c r="D10" s="697">
        <v>7.3</v>
      </c>
      <c r="E10" s="697">
        <v>3.4</v>
      </c>
      <c r="F10" s="456">
        <v>17</v>
      </c>
      <c r="G10" s="456">
        <v>68</v>
      </c>
      <c r="H10" s="456">
        <v>57</v>
      </c>
      <c r="I10" s="456">
        <v>32</v>
      </c>
      <c r="J10" s="456">
        <v>5.0999999999999996</v>
      </c>
      <c r="K10" s="697">
        <v>3.9</v>
      </c>
      <c r="L10" s="456">
        <v>8.6999999999999993</v>
      </c>
      <c r="M10" s="456">
        <v>42</v>
      </c>
      <c r="N10" s="695"/>
      <c r="O10" s="695" t="str">
        <f t="shared" si="13"/>
        <v>Nutrilon Standaard 1</v>
      </c>
      <c r="P10" s="694">
        <f t="shared" si="1"/>
        <v>0.66</v>
      </c>
      <c r="Q10" s="694">
        <f t="shared" si="2"/>
        <v>1.3000000000000001E-2</v>
      </c>
      <c r="R10" s="694">
        <f t="shared" si="3"/>
        <v>7.2999999999999995E-2</v>
      </c>
      <c r="S10" s="694">
        <f t="shared" si="4"/>
        <v>3.4000000000000002E-2</v>
      </c>
      <c r="T10" s="694">
        <f t="shared" si="5"/>
        <v>7.3912600000000002E-3</v>
      </c>
      <c r="U10" s="694">
        <f t="shared" si="6"/>
        <v>1.7435880000000001E-2</v>
      </c>
      <c r="V10" s="694">
        <f t="shared" si="7"/>
        <v>1.4193000000000001E-2</v>
      </c>
      <c r="W10" s="694">
        <f t="shared" si="8"/>
        <v>1.033248E-2</v>
      </c>
      <c r="X10" s="694">
        <f t="shared" si="9"/>
        <v>2.0981909999999997E-3</v>
      </c>
      <c r="Y10" s="694">
        <f t="shared" si="10"/>
        <v>6.981E-4</v>
      </c>
      <c r="Z10" s="694">
        <f t="shared" si="11"/>
        <v>3.48</v>
      </c>
      <c r="AA10" s="694">
        <f t="shared" si="12"/>
        <v>1.1846520000000001E-2</v>
      </c>
    </row>
    <row r="11" spans="1:35" x14ac:dyDescent="0.2">
      <c r="A11" s="456" t="s">
        <v>921</v>
      </c>
      <c r="B11" s="456">
        <v>68</v>
      </c>
      <c r="C11" s="456">
        <v>1.4</v>
      </c>
      <c r="D11" s="697">
        <v>8.6</v>
      </c>
      <c r="E11" s="697">
        <v>3</v>
      </c>
      <c r="F11" s="456">
        <v>23</v>
      </c>
      <c r="G11" s="456">
        <v>74</v>
      </c>
      <c r="H11" s="456">
        <v>65</v>
      </c>
      <c r="I11" s="456">
        <v>36</v>
      </c>
      <c r="J11" s="456">
        <v>4.8</v>
      </c>
      <c r="K11" s="697">
        <v>7</v>
      </c>
      <c r="L11" s="456">
        <v>1.4</v>
      </c>
      <c r="M11" s="456">
        <v>47</v>
      </c>
      <c r="N11" s="695"/>
      <c r="O11" s="695" t="str">
        <f t="shared" si="13"/>
        <v>Nutrilon Standaard 2</v>
      </c>
      <c r="P11" s="694">
        <f t="shared" si="1"/>
        <v>0.68</v>
      </c>
      <c r="Q11" s="694">
        <f t="shared" si="2"/>
        <v>1.3999999999999999E-2</v>
      </c>
      <c r="R11" s="694">
        <f t="shared" si="3"/>
        <v>8.5999999999999993E-2</v>
      </c>
      <c r="S11" s="694">
        <f t="shared" si="4"/>
        <v>0.03</v>
      </c>
      <c r="T11" s="694">
        <f t="shared" si="5"/>
        <v>9.9999400000000006E-3</v>
      </c>
      <c r="U11" s="694">
        <f t="shared" si="6"/>
        <v>1.8974339999999999E-2</v>
      </c>
      <c r="V11" s="694">
        <f t="shared" si="7"/>
        <v>1.6184999999999998E-2</v>
      </c>
      <c r="W11" s="694">
        <f t="shared" si="8"/>
        <v>1.162404E-2</v>
      </c>
      <c r="X11" s="694">
        <f t="shared" si="9"/>
        <v>1.974768E-3</v>
      </c>
      <c r="Y11" s="694">
        <f t="shared" si="10"/>
        <v>1.253E-3</v>
      </c>
      <c r="Z11" s="694">
        <f t="shared" si="11"/>
        <v>0.56000000000000005</v>
      </c>
      <c r="AA11" s="694">
        <f t="shared" si="12"/>
        <v>1.3256820000000001E-2</v>
      </c>
    </row>
    <row r="12" spans="1:35" x14ac:dyDescent="0.2">
      <c r="A12" s="456" t="s">
        <v>17</v>
      </c>
      <c r="B12" s="456">
        <v>100</v>
      </c>
      <c r="C12" s="456">
        <v>2.6</v>
      </c>
      <c r="D12" s="697">
        <v>10.3</v>
      </c>
      <c r="E12" s="697">
        <v>5.4</v>
      </c>
      <c r="F12" s="456">
        <v>37</v>
      </c>
      <c r="G12" s="456">
        <v>95</v>
      </c>
      <c r="H12" s="456">
        <v>100</v>
      </c>
      <c r="I12" s="456">
        <v>50</v>
      </c>
      <c r="J12" s="456">
        <v>9</v>
      </c>
      <c r="K12" s="697">
        <v>1.2</v>
      </c>
      <c r="L12" s="456">
        <v>1.9</v>
      </c>
      <c r="M12" s="456">
        <v>62</v>
      </c>
      <c r="N12" s="695"/>
      <c r="O12" s="695" t="str">
        <f t="shared" si="13"/>
        <v>Infatrini</v>
      </c>
      <c r="P12" s="694">
        <f t="shared" si="1"/>
        <v>1</v>
      </c>
      <c r="Q12" s="694">
        <f t="shared" si="2"/>
        <v>2.6000000000000002E-2</v>
      </c>
      <c r="R12" s="694">
        <f t="shared" si="3"/>
        <v>0.10300000000000001</v>
      </c>
      <c r="S12" s="694">
        <f t="shared" si="4"/>
        <v>5.4000000000000006E-2</v>
      </c>
      <c r="T12" s="694">
        <f t="shared" si="5"/>
        <v>1.6086860000000001E-2</v>
      </c>
      <c r="U12" s="694">
        <f t="shared" si="6"/>
        <v>2.4358950000000001E-2</v>
      </c>
      <c r="V12" s="694">
        <f t="shared" si="7"/>
        <v>2.4899999999999999E-2</v>
      </c>
      <c r="W12" s="694">
        <f t="shared" si="8"/>
        <v>1.6144499999999999E-2</v>
      </c>
      <c r="X12" s="694">
        <f t="shared" si="9"/>
        <v>3.7026899999999998E-3</v>
      </c>
      <c r="Y12" s="694">
        <f t="shared" si="10"/>
        <v>2.1479999999999999E-4</v>
      </c>
      <c r="Z12" s="694">
        <f t="shared" si="11"/>
        <v>0.76</v>
      </c>
      <c r="AA12" s="694">
        <f t="shared" si="12"/>
        <v>1.7487719999999998E-2</v>
      </c>
    </row>
    <row r="13" spans="1:35" x14ac:dyDescent="0.2">
      <c r="A13" s="456" t="s">
        <v>938</v>
      </c>
      <c r="B13" s="456">
        <v>100</v>
      </c>
      <c r="C13" s="456">
        <v>2.6</v>
      </c>
      <c r="D13" s="697">
        <v>10.3</v>
      </c>
      <c r="E13" s="697">
        <v>5.4</v>
      </c>
      <c r="F13" s="456">
        <v>32</v>
      </c>
      <c r="G13" s="456">
        <v>108</v>
      </c>
      <c r="H13" s="456">
        <v>80</v>
      </c>
      <c r="I13" s="456">
        <v>40</v>
      </c>
      <c r="J13" s="456">
        <v>8</v>
      </c>
      <c r="K13" s="697">
        <v>1</v>
      </c>
      <c r="L13" s="456">
        <v>1.7</v>
      </c>
      <c r="M13" s="456">
        <v>64</v>
      </c>
      <c r="N13" s="695"/>
      <c r="O13" s="695" t="str">
        <f t="shared" si="13"/>
        <v>Infatrini Peptisorb</v>
      </c>
      <c r="P13" s="694">
        <f t="shared" si="1"/>
        <v>1</v>
      </c>
      <c r="Q13" s="694">
        <f t="shared" si="2"/>
        <v>2.6000000000000002E-2</v>
      </c>
      <c r="R13" s="694">
        <f t="shared" si="3"/>
        <v>0.10300000000000001</v>
      </c>
      <c r="S13" s="694">
        <f t="shared" si="4"/>
        <v>5.4000000000000006E-2</v>
      </c>
      <c r="T13" s="694">
        <f t="shared" si="5"/>
        <v>1.391296E-2</v>
      </c>
      <c r="U13" s="694">
        <f t="shared" si="6"/>
        <v>2.769228E-2</v>
      </c>
      <c r="V13" s="694">
        <f t="shared" si="7"/>
        <v>1.992E-2</v>
      </c>
      <c r="W13" s="694">
        <f t="shared" si="8"/>
        <v>1.2915600000000001E-2</v>
      </c>
      <c r="X13" s="694">
        <f t="shared" si="9"/>
        <v>3.2912799999999997E-3</v>
      </c>
      <c r="Y13" s="694">
        <f t="shared" si="10"/>
        <v>1.7899999999999999E-4</v>
      </c>
      <c r="Z13" s="694">
        <f t="shared" si="11"/>
        <v>0.68</v>
      </c>
      <c r="AA13" s="694">
        <f t="shared" si="12"/>
        <v>1.805184E-2</v>
      </c>
    </row>
    <row r="14" spans="1:35" x14ac:dyDescent="0.2">
      <c r="A14" s="456" t="s">
        <v>933</v>
      </c>
      <c r="B14" s="456">
        <v>67</v>
      </c>
      <c r="C14" s="456">
        <v>1.6</v>
      </c>
      <c r="D14" s="697">
        <v>7</v>
      </c>
      <c r="E14" s="697">
        <v>3.5</v>
      </c>
      <c r="F14" s="456">
        <v>20</v>
      </c>
      <c r="G14" s="456">
        <v>81</v>
      </c>
      <c r="H14" s="456">
        <v>47</v>
      </c>
      <c r="I14" s="456">
        <v>26</v>
      </c>
      <c r="J14" s="456">
        <v>5.3</v>
      </c>
      <c r="K14" s="700">
        <v>0.53</v>
      </c>
      <c r="L14" s="456">
        <v>1.3</v>
      </c>
      <c r="M14" s="456">
        <v>40</v>
      </c>
      <c r="N14" s="695"/>
      <c r="O14" s="695" t="str">
        <f t="shared" si="13"/>
        <v>Nutrilon Pepti 1</v>
      </c>
      <c r="P14" s="694">
        <f t="shared" si="1"/>
        <v>0.67</v>
      </c>
      <c r="Q14" s="694">
        <f t="shared" si="2"/>
        <v>1.6E-2</v>
      </c>
      <c r="R14" s="694">
        <f t="shared" si="3"/>
        <v>7.0000000000000007E-2</v>
      </c>
      <c r="S14" s="694">
        <f t="shared" si="4"/>
        <v>3.5000000000000003E-2</v>
      </c>
      <c r="T14" s="694">
        <f t="shared" si="5"/>
        <v>8.6956000000000012E-3</v>
      </c>
      <c r="U14" s="694">
        <f t="shared" si="6"/>
        <v>2.076921E-2</v>
      </c>
      <c r="V14" s="694">
        <f t="shared" si="7"/>
        <v>1.1702999999999998E-2</v>
      </c>
      <c r="W14" s="694">
        <f t="shared" si="8"/>
        <v>8.3951400000000006E-3</v>
      </c>
      <c r="X14" s="694">
        <f t="shared" si="9"/>
        <v>2.1804729999999996E-3</v>
      </c>
      <c r="Y14" s="694">
        <f t="shared" si="10"/>
        <v>9.4870000000000005E-5</v>
      </c>
      <c r="Z14" s="694">
        <f t="shared" si="11"/>
        <v>0.52</v>
      </c>
      <c r="AA14" s="694">
        <f t="shared" si="12"/>
        <v>1.12824E-2</v>
      </c>
    </row>
    <row r="15" spans="1:35" x14ac:dyDescent="0.2">
      <c r="A15" s="456" t="s">
        <v>476</v>
      </c>
      <c r="B15" s="456">
        <v>101</v>
      </c>
      <c r="C15" s="456">
        <v>2.7</v>
      </c>
      <c r="D15" s="697">
        <v>12.3</v>
      </c>
      <c r="E15" s="697">
        <v>4.4000000000000004</v>
      </c>
      <c r="F15" s="456">
        <v>60</v>
      </c>
      <c r="G15" s="456">
        <v>110</v>
      </c>
      <c r="H15" s="456">
        <v>60</v>
      </c>
      <c r="I15" s="456">
        <v>50</v>
      </c>
      <c r="J15" s="456">
        <v>11</v>
      </c>
      <c r="K15" s="701">
        <v>1</v>
      </c>
      <c r="L15" s="456">
        <v>1</v>
      </c>
      <c r="M15" s="456">
        <v>95</v>
      </c>
      <c r="N15" s="695"/>
      <c r="O15" s="695" t="str">
        <f t="shared" si="13"/>
        <v>Nutrini Multi Fibre</v>
      </c>
      <c r="P15" s="694">
        <f t="shared" si="1"/>
        <v>1.01</v>
      </c>
      <c r="Q15" s="694">
        <f t="shared" si="2"/>
        <v>2.7000000000000003E-2</v>
      </c>
      <c r="R15" s="694">
        <f t="shared" si="3"/>
        <v>0.12300000000000001</v>
      </c>
      <c r="S15" s="694">
        <f t="shared" si="4"/>
        <v>4.4000000000000004E-2</v>
      </c>
      <c r="T15" s="694">
        <f t="shared" si="5"/>
        <v>2.60868E-2</v>
      </c>
      <c r="U15" s="694">
        <f t="shared" si="6"/>
        <v>2.82051E-2</v>
      </c>
      <c r="V15" s="694">
        <f t="shared" si="7"/>
        <v>1.494E-2</v>
      </c>
      <c r="W15" s="694">
        <f t="shared" si="8"/>
        <v>1.6144499999999999E-2</v>
      </c>
      <c r="X15" s="694">
        <f t="shared" si="9"/>
        <v>4.5255099999999999E-3</v>
      </c>
      <c r="Y15" s="694">
        <f t="shared" si="10"/>
        <v>1.7899999999999999E-4</v>
      </c>
      <c r="Z15" s="694">
        <f t="shared" si="11"/>
        <v>0.4</v>
      </c>
      <c r="AA15" s="694">
        <f t="shared" si="12"/>
        <v>2.6795699999999999E-2</v>
      </c>
    </row>
    <row r="16" spans="1:35" x14ac:dyDescent="0.2">
      <c r="A16" s="456" t="s">
        <v>477</v>
      </c>
      <c r="B16" s="456">
        <v>151</v>
      </c>
      <c r="C16" s="456">
        <v>4</v>
      </c>
      <c r="D16" s="697">
        <v>18.5</v>
      </c>
      <c r="E16" s="697">
        <v>6.7</v>
      </c>
      <c r="F16" s="456">
        <v>90</v>
      </c>
      <c r="G16" s="456">
        <v>165</v>
      </c>
      <c r="H16" s="456">
        <v>90</v>
      </c>
      <c r="I16" s="456">
        <v>75</v>
      </c>
      <c r="J16" s="456">
        <v>17</v>
      </c>
      <c r="K16" s="697">
        <v>1.5</v>
      </c>
      <c r="L16" s="456">
        <v>1.5</v>
      </c>
      <c r="M16" s="456">
        <v>143</v>
      </c>
      <c r="N16" s="695"/>
      <c r="O16" s="695" t="str">
        <f t="shared" si="13"/>
        <v>Nutrini Energy Multi Fibre</v>
      </c>
      <c r="P16" s="694">
        <f t="shared" si="1"/>
        <v>1.51</v>
      </c>
      <c r="Q16" s="694">
        <f t="shared" si="2"/>
        <v>0.04</v>
      </c>
      <c r="R16" s="694">
        <f t="shared" si="3"/>
        <v>0.185</v>
      </c>
      <c r="S16" s="694">
        <f t="shared" si="4"/>
        <v>6.7000000000000004E-2</v>
      </c>
      <c r="T16" s="694">
        <f t="shared" si="5"/>
        <v>3.9130200000000004E-2</v>
      </c>
      <c r="U16" s="694">
        <f t="shared" si="6"/>
        <v>4.2307650000000002E-2</v>
      </c>
      <c r="V16" s="694">
        <f t="shared" si="7"/>
        <v>2.2409999999999996E-2</v>
      </c>
      <c r="W16" s="694">
        <f t="shared" si="8"/>
        <v>2.4216749999999999E-2</v>
      </c>
      <c r="X16" s="694">
        <f t="shared" si="9"/>
        <v>6.9939699999999995E-3</v>
      </c>
      <c r="Y16" s="694">
        <f t="shared" si="10"/>
        <v>2.6849999999999997E-4</v>
      </c>
      <c r="Z16" s="694">
        <f t="shared" si="11"/>
        <v>0.6</v>
      </c>
      <c r="AA16" s="694">
        <f t="shared" si="12"/>
        <v>4.0334579999999995E-2</v>
      </c>
    </row>
    <row r="17" spans="1:27" x14ac:dyDescent="0.2">
      <c r="A17" s="456" t="s">
        <v>939</v>
      </c>
      <c r="B17" s="456">
        <v>100</v>
      </c>
      <c r="C17" s="456">
        <v>2.8</v>
      </c>
      <c r="D17" s="697">
        <v>13.7</v>
      </c>
      <c r="E17" s="697">
        <v>3.9</v>
      </c>
      <c r="F17" s="456">
        <v>60</v>
      </c>
      <c r="G17" s="456">
        <v>110</v>
      </c>
      <c r="H17" s="456">
        <v>60</v>
      </c>
      <c r="I17" s="456">
        <v>50</v>
      </c>
      <c r="J17" s="456">
        <v>11</v>
      </c>
      <c r="K17" s="701">
        <v>1</v>
      </c>
      <c r="L17" s="701">
        <v>1</v>
      </c>
      <c r="M17" s="456">
        <v>95</v>
      </c>
      <c r="N17" s="695"/>
      <c r="O17" s="695" t="str">
        <f t="shared" si="13"/>
        <v>Nutrini Peptisorb</v>
      </c>
      <c r="P17" s="694">
        <f t="shared" si="1"/>
        <v>1</v>
      </c>
      <c r="Q17" s="694">
        <f t="shared" si="2"/>
        <v>2.7999999999999997E-2</v>
      </c>
      <c r="R17" s="694">
        <f t="shared" si="3"/>
        <v>0.13699999999999998</v>
      </c>
      <c r="S17" s="694">
        <f t="shared" si="4"/>
        <v>3.9E-2</v>
      </c>
      <c r="T17" s="694">
        <f t="shared" si="5"/>
        <v>2.60868E-2</v>
      </c>
      <c r="U17" s="694">
        <f t="shared" si="6"/>
        <v>2.82051E-2</v>
      </c>
      <c r="V17" s="694">
        <f t="shared" si="7"/>
        <v>1.494E-2</v>
      </c>
      <c r="W17" s="694">
        <f t="shared" si="8"/>
        <v>1.6144499999999999E-2</v>
      </c>
      <c r="X17" s="694">
        <f t="shared" si="9"/>
        <v>4.5255099999999999E-3</v>
      </c>
      <c r="Y17" s="694">
        <f t="shared" si="10"/>
        <v>1.7899999999999999E-4</v>
      </c>
      <c r="Z17" s="694">
        <f t="shared" si="11"/>
        <v>0.4</v>
      </c>
      <c r="AA17" s="694">
        <f t="shared" si="12"/>
        <v>2.6795699999999999E-2</v>
      </c>
    </row>
    <row r="18" spans="1:27" x14ac:dyDescent="0.2">
      <c r="A18" s="456" t="s">
        <v>951</v>
      </c>
      <c r="B18" s="456">
        <v>68</v>
      </c>
      <c r="C18" s="456">
        <v>1.6</v>
      </c>
      <c r="D18" s="697">
        <v>8.1</v>
      </c>
      <c r="E18" s="697">
        <v>3.1</v>
      </c>
      <c r="F18" s="456">
        <v>25</v>
      </c>
      <c r="G18" s="456">
        <v>78</v>
      </c>
      <c r="H18" s="456">
        <v>63</v>
      </c>
      <c r="I18" s="456">
        <v>37</v>
      </c>
      <c r="J18" s="456">
        <v>5.5</v>
      </c>
      <c r="K18" s="697">
        <v>1</v>
      </c>
      <c r="L18" s="456">
        <v>1.4</v>
      </c>
      <c r="M18" s="456">
        <v>42</v>
      </c>
      <c r="N18" s="695"/>
      <c r="O18" s="695" t="str">
        <f t="shared" si="13"/>
        <v>Nutrilon Pepti 2</v>
      </c>
      <c r="P18" s="694">
        <f t="shared" si="1"/>
        <v>0.68</v>
      </c>
      <c r="Q18" s="694">
        <f t="shared" si="2"/>
        <v>1.6E-2</v>
      </c>
      <c r="R18" s="694">
        <f t="shared" si="3"/>
        <v>8.1000000000000003E-2</v>
      </c>
      <c r="S18" s="694">
        <f t="shared" si="4"/>
        <v>3.1E-2</v>
      </c>
      <c r="T18" s="694">
        <f t="shared" si="5"/>
        <v>1.0869500000000001E-2</v>
      </c>
      <c r="U18" s="694">
        <f t="shared" si="6"/>
        <v>1.9999980000000001E-2</v>
      </c>
      <c r="V18" s="694">
        <f t="shared" si="7"/>
        <v>1.5687E-2</v>
      </c>
      <c r="W18" s="694">
        <f t="shared" si="8"/>
        <v>1.194693E-2</v>
      </c>
      <c r="X18" s="694">
        <f t="shared" si="9"/>
        <v>2.262755E-3</v>
      </c>
      <c r="Y18" s="694">
        <f t="shared" si="10"/>
        <v>1.7899999999999999E-4</v>
      </c>
      <c r="Z18" s="694">
        <f t="shared" si="11"/>
        <v>0.56000000000000005</v>
      </c>
      <c r="AA18" s="694">
        <f t="shared" si="12"/>
        <v>1.1846520000000001E-2</v>
      </c>
    </row>
    <row r="19" spans="1:27" x14ac:dyDescent="0.2">
      <c r="A19" s="456" t="s">
        <v>479</v>
      </c>
      <c r="B19" s="456">
        <v>102</v>
      </c>
      <c r="C19" s="456">
        <v>3.3</v>
      </c>
      <c r="D19" s="697">
        <v>12.3</v>
      </c>
      <c r="E19" s="697">
        <v>4.2</v>
      </c>
      <c r="F19" s="456">
        <v>80</v>
      </c>
      <c r="G19" s="456">
        <v>138</v>
      </c>
      <c r="H19" s="456">
        <v>70</v>
      </c>
      <c r="I19" s="456">
        <v>60</v>
      </c>
      <c r="J19" s="456">
        <v>17</v>
      </c>
      <c r="K19" s="697">
        <v>1.3</v>
      </c>
      <c r="L19" s="456">
        <v>0.7</v>
      </c>
      <c r="M19" s="456">
        <v>125</v>
      </c>
      <c r="N19" s="695"/>
      <c r="O19" s="695" t="str">
        <f t="shared" si="13"/>
        <v>NutriniMax Multi Fibre</v>
      </c>
      <c r="P19" s="694">
        <f t="shared" si="1"/>
        <v>1.02</v>
      </c>
      <c r="Q19" s="694">
        <f t="shared" si="2"/>
        <v>3.3000000000000002E-2</v>
      </c>
      <c r="R19" s="694">
        <f t="shared" si="3"/>
        <v>0.12300000000000001</v>
      </c>
      <c r="S19" s="694">
        <f t="shared" si="4"/>
        <v>4.2000000000000003E-2</v>
      </c>
      <c r="T19" s="694">
        <f t="shared" si="5"/>
        <v>3.4782400000000005E-2</v>
      </c>
      <c r="U19" s="694">
        <f t="shared" si="6"/>
        <v>3.5384579999999999E-2</v>
      </c>
      <c r="V19" s="694">
        <f t="shared" si="7"/>
        <v>1.7429999999999998E-2</v>
      </c>
      <c r="W19" s="694">
        <f t="shared" si="8"/>
        <v>1.9373399999999999E-2</v>
      </c>
      <c r="X19" s="694">
        <f t="shared" si="9"/>
        <v>6.9939699999999995E-3</v>
      </c>
      <c r="Y19" s="694">
        <f t="shared" si="10"/>
        <v>2.3269999999999999E-4</v>
      </c>
      <c r="Z19" s="694">
        <f t="shared" si="11"/>
        <v>0.28000000000000003</v>
      </c>
      <c r="AA19" s="694">
        <f t="shared" si="12"/>
        <v>3.5257499999999997E-2</v>
      </c>
    </row>
    <row r="20" spans="1:27" x14ac:dyDescent="0.2">
      <c r="A20" s="456" t="s">
        <v>480</v>
      </c>
      <c r="B20" s="456">
        <v>152</v>
      </c>
      <c r="C20" s="456">
        <v>4.8</v>
      </c>
      <c r="D20" s="697">
        <v>18.5</v>
      </c>
      <c r="E20" s="697">
        <v>6.3</v>
      </c>
      <c r="F20" s="456">
        <v>107</v>
      </c>
      <c r="G20" s="456">
        <v>186</v>
      </c>
      <c r="H20" s="456">
        <v>95</v>
      </c>
      <c r="I20" s="456">
        <v>90</v>
      </c>
      <c r="J20" s="456">
        <v>26</v>
      </c>
      <c r="K20" s="697">
        <v>2</v>
      </c>
      <c r="L20" s="456">
        <v>1.1000000000000001</v>
      </c>
      <c r="M20" s="456">
        <v>147</v>
      </c>
      <c r="N20" s="695"/>
      <c r="O20" s="695" t="str">
        <f t="shared" si="13"/>
        <v>NutriniMax Energy Multi Fibre</v>
      </c>
      <c r="P20" s="694">
        <f t="shared" si="1"/>
        <v>1.52</v>
      </c>
      <c r="Q20" s="694">
        <f t="shared" si="2"/>
        <v>4.8000000000000001E-2</v>
      </c>
      <c r="R20" s="694">
        <f t="shared" si="3"/>
        <v>0.185</v>
      </c>
      <c r="S20" s="694">
        <f t="shared" si="4"/>
        <v>6.3E-2</v>
      </c>
      <c r="T20" s="694">
        <f t="shared" si="5"/>
        <v>4.6521460000000001E-2</v>
      </c>
      <c r="U20" s="694">
        <f t="shared" si="6"/>
        <v>4.769226E-2</v>
      </c>
      <c r="V20" s="694">
        <f t="shared" si="7"/>
        <v>2.3654999999999999E-2</v>
      </c>
      <c r="W20" s="694">
        <f t="shared" si="8"/>
        <v>2.9060099999999998E-2</v>
      </c>
      <c r="X20" s="694">
        <f t="shared" si="9"/>
        <v>1.069666E-2</v>
      </c>
      <c r="Y20" s="694">
        <f t="shared" si="10"/>
        <v>3.5799999999999997E-4</v>
      </c>
      <c r="Z20" s="694">
        <f t="shared" si="11"/>
        <v>0.44</v>
      </c>
      <c r="AA20" s="694">
        <f t="shared" si="12"/>
        <v>4.1462819999999991E-2</v>
      </c>
    </row>
    <row r="21" spans="1:27" x14ac:dyDescent="0.2">
      <c r="A21" s="456" t="s">
        <v>482</v>
      </c>
      <c r="B21" s="456">
        <v>103</v>
      </c>
      <c r="C21" s="456">
        <v>4</v>
      </c>
      <c r="D21" s="697">
        <v>12.3</v>
      </c>
      <c r="E21" s="697">
        <v>3.9</v>
      </c>
      <c r="F21" s="456">
        <v>100</v>
      </c>
      <c r="G21" s="456">
        <v>150</v>
      </c>
      <c r="H21" s="456">
        <v>80</v>
      </c>
      <c r="I21" s="456">
        <v>72</v>
      </c>
      <c r="J21" s="456">
        <v>23</v>
      </c>
      <c r="K21" s="699">
        <v>1.6</v>
      </c>
      <c r="L21" s="698">
        <v>1</v>
      </c>
      <c r="M21" s="456">
        <v>125</v>
      </c>
      <c r="N21" s="695"/>
      <c r="O21" s="695" t="str">
        <f t="shared" si="13"/>
        <v>Nutrison Multi Fibre</v>
      </c>
      <c r="P21" s="694">
        <f t="shared" si="1"/>
        <v>1.03</v>
      </c>
      <c r="Q21" s="694">
        <f t="shared" si="2"/>
        <v>0.04</v>
      </c>
      <c r="R21" s="694">
        <f t="shared" si="3"/>
        <v>0.12300000000000001</v>
      </c>
      <c r="S21" s="694">
        <f t="shared" si="4"/>
        <v>3.9E-2</v>
      </c>
      <c r="T21" s="694">
        <f t="shared" si="5"/>
        <v>4.3478000000000003E-2</v>
      </c>
      <c r="U21" s="694">
        <f t="shared" si="6"/>
        <v>3.8461500000000003E-2</v>
      </c>
      <c r="V21" s="694">
        <f t="shared" si="7"/>
        <v>1.992E-2</v>
      </c>
      <c r="W21" s="694">
        <f t="shared" si="8"/>
        <v>2.3248080000000001E-2</v>
      </c>
      <c r="X21" s="694">
        <f t="shared" si="9"/>
        <v>9.4624299999999991E-3</v>
      </c>
      <c r="Y21" s="694">
        <f t="shared" si="10"/>
        <v>2.8639999999999997E-4</v>
      </c>
      <c r="Z21" s="694">
        <f t="shared" si="11"/>
        <v>0.4</v>
      </c>
      <c r="AA21" s="694">
        <f t="shared" si="12"/>
        <v>3.5257499999999997E-2</v>
      </c>
    </row>
    <row r="22" spans="1:27" x14ac:dyDescent="0.2">
      <c r="A22" s="456" t="s">
        <v>483</v>
      </c>
      <c r="B22" s="456">
        <v>153</v>
      </c>
      <c r="C22" s="456">
        <v>6</v>
      </c>
      <c r="D22" s="697">
        <v>18.399999999999999</v>
      </c>
      <c r="E22" s="697">
        <v>5.8</v>
      </c>
      <c r="F22" s="456">
        <v>134</v>
      </c>
      <c r="G22" s="456">
        <v>201</v>
      </c>
      <c r="H22" s="456">
        <v>84</v>
      </c>
      <c r="I22" s="456">
        <v>84</v>
      </c>
      <c r="J22" s="456">
        <v>30</v>
      </c>
      <c r="K22" s="699">
        <v>2.4</v>
      </c>
      <c r="L22" s="698">
        <v>1.5</v>
      </c>
      <c r="M22" s="456">
        <v>100</v>
      </c>
      <c r="N22" s="695"/>
      <c r="O22" s="695" t="str">
        <f t="shared" si="13"/>
        <v>Nutrison Energy Multi Fibre</v>
      </c>
      <c r="P22" s="694">
        <f t="shared" si="1"/>
        <v>1.53</v>
      </c>
      <c r="Q22" s="694">
        <f t="shared" si="2"/>
        <v>0.06</v>
      </c>
      <c r="R22" s="694">
        <f t="shared" si="3"/>
        <v>0.184</v>
      </c>
      <c r="S22" s="694">
        <f t="shared" si="4"/>
        <v>5.7999999999999996E-2</v>
      </c>
      <c r="T22" s="694">
        <f t="shared" si="5"/>
        <v>5.826052000000001E-2</v>
      </c>
      <c r="U22" s="694">
        <f t="shared" si="6"/>
        <v>5.153841E-2</v>
      </c>
      <c r="V22" s="694">
        <f t="shared" si="7"/>
        <v>2.0915999999999997E-2</v>
      </c>
      <c r="W22" s="694">
        <f t="shared" si="8"/>
        <v>2.7122759999999996E-2</v>
      </c>
      <c r="X22" s="694">
        <f t="shared" si="9"/>
        <v>1.2342299999999999E-2</v>
      </c>
      <c r="Y22" s="694">
        <f t="shared" si="10"/>
        <v>4.2959999999999998E-4</v>
      </c>
      <c r="Z22" s="694">
        <f t="shared" si="11"/>
        <v>0.6</v>
      </c>
      <c r="AA22" s="694">
        <f t="shared" si="12"/>
        <v>2.8205999999999998E-2</v>
      </c>
    </row>
    <row r="23" spans="1:27" x14ac:dyDescent="0.2">
      <c r="A23" s="456" t="s">
        <v>940</v>
      </c>
      <c r="B23" s="456">
        <v>100</v>
      </c>
      <c r="C23" s="456">
        <v>4</v>
      </c>
      <c r="D23" s="697">
        <v>17.600000000000001</v>
      </c>
      <c r="E23" s="697">
        <v>1.7</v>
      </c>
      <c r="F23" s="456">
        <v>100</v>
      </c>
      <c r="G23" s="456">
        <v>150</v>
      </c>
      <c r="H23" s="456">
        <v>80</v>
      </c>
      <c r="I23" s="456">
        <v>72</v>
      </c>
      <c r="J23" s="456">
        <v>23</v>
      </c>
      <c r="K23" s="699">
        <v>1.6</v>
      </c>
      <c r="L23" s="698">
        <v>0.7</v>
      </c>
      <c r="M23" s="456">
        <v>125</v>
      </c>
      <c r="N23" s="695"/>
      <c r="O23" s="695" t="str">
        <f t="shared" si="13"/>
        <v>Nutrison Adv Peptisorb</v>
      </c>
      <c r="P23" s="694">
        <f t="shared" si="1"/>
        <v>1</v>
      </c>
      <c r="Q23" s="694">
        <f t="shared" si="2"/>
        <v>0.04</v>
      </c>
      <c r="R23" s="694">
        <f t="shared" si="3"/>
        <v>0.17600000000000002</v>
      </c>
      <c r="S23" s="694">
        <f t="shared" si="4"/>
        <v>1.7000000000000001E-2</v>
      </c>
      <c r="T23" s="694">
        <f t="shared" si="5"/>
        <v>4.3478000000000003E-2</v>
      </c>
      <c r="U23" s="694">
        <f t="shared" si="6"/>
        <v>3.8461500000000003E-2</v>
      </c>
      <c r="V23" s="694">
        <f t="shared" si="7"/>
        <v>1.992E-2</v>
      </c>
      <c r="W23" s="694">
        <f t="shared" si="8"/>
        <v>2.3248080000000001E-2</v>
      </c>
      <c r="X23" s="694">
        <f t="shared" si="9"/>
        <v>9.4624299999999991E-3</v>
      </c>
      <c r="Y23" s="694">
        <f t="shared" si="10"/>
        <v>2.8639999999999997E-4</v>
      </c>
      <c r="Z23" s="694">
        <f t="shared" si="11"/>
        <v>0.28000000000000003</v>
      </c>
      <c r="AA23" s="694">
        <f t="shared" si="12"/>
        <v>3.5257499999999997E-2</v>
      </c>
    </row>
    <row r="24" spans="1:27" x14ac:dyDescent="0.2">
      <c r="A24" s="456" t="s">
        <v>859</v>
      </c>
      <c r="B24" s="456">
        <v>67</v>
      </c>
      <c r="C24" s="456">
        <v>1.8</v>
      </c>
      <c r="D24" s="697">
        <v>7.2</v>
      </c>
      <c r="E24" s="697">
        <v>3.4</v>
      </c>
      <c r="F24" s="456">
        <v>26.1</v>
      </c>
      <c r="G24" s="456">
        <v>72.5</v>
      </c>
      <c r="H24" s="456">
        <v>65.599999999999994</v>
      </c>
      <c r="I24" s="456">
        <v>47.1</v>
      </c>
      <c r="J24" s="456">
        <v>7</v>
      </c>
      <c r="K24" s="699">
        <v>1</v>
      </c>
      <c r="L24" s="698">
        <v>1.2</v>
      </c>
      <c r="M24" s="456">
        <v>53.3</v>
      </c>
      <c r="N24" s="695"/>
      <c r="O24" s="695" t="str">
        <f t="shared" si="13"/>
        <v>Nutrilon Neocate</v>
      </c>
      <c r="P24" s="694">
        <f t="shared" si="1"/>
        <v>0.67</v>
      </c>
      <c r="Q24" s="694">
        <f t="shared" si="2"/>
        <v>1.8000000000000002E-2</v>
      </c>
      <c r="R24" s="694">
        <f t="shared" si="3"/>
        <v>7.2000000000000008E-2</v>
      </c>
      <c r="S24" s="694">
        <f t="shared" si="4"/>
        <v>3.4000000000000002E-2</v>
      </c>
      <c r="T24" s="694">
        <f t="shared" si="5"/>
        <v>1.1347758000000001E-2</v>
      </c>
      <c r="U24" s="694">
        <f t="shared" si="6"/>
        <v>1.8589725000000001E-2</v>
      </c>
      <c r="V24" s="694">
        <f t="shared" si="7"/>
        <v>1.6334399999999999E-2</v>
      </c>
      <c r="W24" s="694">
        <f t="shared" si="8"/>
        <v>1.5208118999999999E-2</v>
      </c>
      <c r="X24" s="694">
        <f t="shared" si="9"/>
        <v>2.8798700000000001E-3</v>
      </c>
      <c r="Y24" s="694">
        <f t="shared" si="10"/>
        <v>1.7899999999999999E-4</v>
      </c>
      <c r="Z24" s="694">
        <f t="shared" si="11"/>
        <v>0.48</v>
      </c>
      <c r="AA24" s="694">
        <f t="shared" si="12"/>
        <v>1.5033797999999998E-2</v>
      </c>
    </row>
    <row r="25" spans="1:27" x14ac:dyDescent="0.2">
      <c r="A25" s="456" t="s">
        <v>860</v>
      </c>
      <c r="B25" s="456">
        <v>66</v>
      </c>
      <c r="C25" s="456">
        <v>1.8</v>
      </c>
      <c r="D25" s="697">
        <v>6.8</v>
      </c>
      <c r="E25" s="697">
        <v>3.5</v>
      </c>
      <c r="F25" s="456">
        <v>18</v>
      </c>
      <c r="G25" s="456">
        <v>65</v>
      </c>
      <c r="H25" s="456">
        <v>50</v>
      </c>
      <c r="I25" s="456">
        <v>28</v>
      </c>
      <c r="J25" s="456">
        <v>5.0999999999999996</v>
      </c>
      <c r="K25" s="699">
        <v>0.77</v>
      </c>
      <c r="L25" s="698">
        <v>1.3</v>
      </c>
      <c r="M25" s="456">
        <v>40</v>
      </c>
      <c r="N25" s="695"/>
      <c r="O25" s="695" t="str">
        <f t="shared" si="13"/>
        <v>Nutrilon Pepti Junior</v>
      </c>
      <c r="P25" s="694">
        <f t="shared" si="1"/>
        <v>0.66</v>
      </c>
      <c r="Q25" s="694">
        <f t="shared" si="2"/>
        <v>1.8000000000000002E-2</v>
      </c>
      <c r="R25" s="694">
        <f t="shared" si="3"/>
        <v>6.8000000000000005E-2</v>
      </c>
      <c r="S25" s="694">
        <f t="shared" si="4"/>
        <v>3.5000000000000003E-2</v>
      </c>
      <c r="T25" s="694">
        <f t="shared" si="5"/>
        <v>7.8260400000000011E-3</v>
      </c>
      <c r="U25" s="694">
        <f t="shared" si="6"/>
        <v>1.6666650000000002E-2</v>
      </c>
      <c r="V25" s="694">
        <f t="shared" si="7"/>
        <v>1.2449999999999999E-2</v>
      </c>
      <c r="W25" s="694">
        <f t="shared" si="8"/>
        <v>9.0409199999999992E-3</v>
      </c>
      <c r="X25" s="694">
        <f t="shared" si="9"/>
        <v>2.0981909999999997E-3</v>
      </c>
      <c r="Y25" s="694">
        <f t="shared" si="10"/>
        <v>1.3783E-4</v>
      </c>
      <c r="Z25" s="694">
        <f t="shared" si="11"/>
        <v>0.52</v>
      </c>
      <c r="AA25" s="694">
        <f t="shared" si="12"/>
        <v>1.12824E-2</v>
      </c>
    </row>
    <row r="26" spans="1:27" x14ac:dyDescent="0.2">
      <c r="A26" s="702" t="s">
        <v>922</v>
      </c>
      <c r="B26" s="456">
        <v>68</v>
      </c>
      <c r="C26" s="456">
        <v>1</v>
      </c>
      <c r="D26" s="697">
        <v>7.0000000000000009</v>
      </c>
      <c r="E26" s="697">
        <v>4</v>
      </c>
      <c r="F26" s="456">
        <v>20</v>
      </c>
      <c r="G26" s="456">
        <v>50.000000000000007</v>
      </c>
      <c r="H26" s="456">
        <v>30</v>
      </c>
      <c r="I26" s="456">
        <v>15</v>
      </c>
      <c r="J26" s="456">
        <v>3.0000000000000004</v>
      </c>
      <c r="K26" s="697">
        <v>0.1</v>
      </c>
      <c r="L26" s="456">
        <v>0</v>
      </c>
      <c r="M26" s="456">
        <v>43</v>
      </c>
      <c r="N26" s="695"/>
      <c r="O26" s="695" t="str">
        <f t="shared" si="13"/>
        <v>MM of Nenatal 1</v>
      </c>
      <c r="P26" s="694">
        <f t="shared" si="1"/>
        <v>0.68</v>
      </c>
      <c r="Q26" s="694">
        <f t="shared" si="2"/>
        <v>0.01</v>
      </c>
      <c r="R26" s="694">
        <f t="shared" si="3"/>
        <v>7.0000000000000007E-2</v>
      </c>
      <c r="S26" s="694">
        <f t="shared" si="4"/>
        <v>0.04</v>
      </c>
      <c r="T26" s="694">
        <f t="shared" si="5"/>
        <v>8.6956000000000012E-3</v>
      </c>
      <c r="U26" s="694">
        <f t="shared" si="6"/>
        <v>1.2820500000000002E-2</v>
      </c>
      <c r="V26" s="694">
        <f t="shared" si="7"/>
        <v>7.4700000000000001E-3</v>
      </c>
      <c r="W26" s="694">
        <f t="shared" si="8"/>
        <v>4.8433499999999997E-3</v>
      </c>
      <c r="X26" s="694">
        <f t="shared" si="9"/>
        <v>1.23423E-3</v>
      </c>
      <c r="Y26" s="694">
        <f t="shared" si="10"/>
        <v>1.7899999999999998E-5</v>
      </c>
      <c r="Z26" s="694">
        <f t="shared" si="11"/>
        <v>0</v>
      </c>
      <c r="AA26" s="694">
        <f t="shared" si="12"/>
        <v>1.212858E-2</v>
      </c>
    </row>
    <row r="27" spans="1:27" x14ac:dyDescent="0.2">
      <c r="A27" s="702" t="s">
        <v>923</v>
      </c>
      <c r="B27" s="456">
        <v>68</v>
      </c>
      <c r="C27" s="456">
        <v>1</v>
      </c>
      <c r="D27" s="697">
        <v>7.0000000000000009</v>
      </c>
      <c r="E27" s="697">
        <v>4</v>
      </c>
      <c r="F27" s="456">
        <v>20</v>
      </c>
      <c r="G27" s="456">
        <v>50.000000000000007</v>
      </c>
      <c r="H27" s="456">
        <v>30</v>
      </c>
      <c r="I27" s="456">
        <v>15</v>
      </c>
      <c r="J27" s="456">
        <v>3.0000000000000004</v>
      </c>
      <c r="K27" s="697">
        <v>0.1</v>
      </c>
      <c r="L27" s="456">
        <v>0</v>
      </c>
      <c r="M27" s="456">
        <v>43</v>
      </c>
      <c r="N27" s="695"/>
      <c r="O27" s="695" t="str">
        <f t="shared" si="13"/>
        <v>MM of Nenatal Start</v>
      </c>
      <c r="P27" s="694">
        <f t="shared" si="1"/>
        <v>0.68</v>
      </c>
      <c r="Q27" s="694">
        <f t="shared" si="2"/>
        <v>0.01</v>
      </c>
      <c r="R27" s="694">
        <f t="shared" si="3"/>
        <v>7.0000000000000007E-2</v>
      </c>
      <c r="S27" s="694">
        <f t="shared" si="4"/>
        <v>0.04</v>
      </c>
      <c r="T27" s="694">
        <f t="shared" si="5"/>
        <v>8.6956000000000012E-3</v>
      </c>
      <c r="U27" s="694">
        <f t="shared" si="6"/>
        <v>1.2820500000000002E-2</v>
      </c>
      <c r="V27" s="694">
        <f t="shared" si="7"/>
        <v>7.4700000000000001E-3</v>
      </c>
      <c r="W27" s="694">
        <f t="shared" si="8"/>
        <v>4.8433499999999997E-3</v>
      </c>
      <c r="X27" s="694">
        <f t="shared" si="9"/>
        <v>1.23423E-3</v>
      </c>
      <c r="Y27" s="694">
        <f t="shared" si="10"/>
        <v>1.7899999999999998E-5</v>
      </c>
      <c r="Z27" s="694">
        <f t="shared" si="11"/>
        <v>0</v>
      </c>
      <c r="AA27" s="694">
        <f t="shared" si="12"/>
        <v>1.212858E-2</v>
      </c>
    </row>
    <row r="28" spans="1:27" x14ac:dyDescent="0.2">
      <c r="A28" s="702" t="s">
        <v>924</v>
      </c>
      <c r="B28" s="456">
        <v>68</v>
      </c>
      <c r="C28" s="456">
        <v>1</v>
      </c>
      <c r="D28" s="697">
        <v>7.0000000000000009</v>
      </c>
      <c r="E28" s="697">
        <v>4</v>
      </c>
      <c r="F28" s="456">
        <v>20</v>
      </c>
      <c r="G28" s="456">
        <v>50.000000000000007</v>
      </c>
      <c r="H28" s="456">
        <v>30</v>
      </c>
      <c r="I28" s="456">
        <v>15</v>
      </c>
      <c r="J28" s="456">
        <v>3.0000000000000004</v>
      </c>
      <c r="K28" s="697">
        <v>0.1</v>
      </c>
      <c r="L28" s="456">
        <v>0</v>
      </c>
      <c r="M28" s="456">
        <v>43</v>
      </c>
      <c r="N28" s="695"/>
      <c r="O28" s="695" t="str">
        <f t="shared" si="13"/>
        <v>MM of Nutrilon Standaard 1</v>
      </c>
      <c r="P28" s="694">
        <f t="shared" si="1"/>
        <v>0.68</v>
      </c>
      <c r="Q28" s="694">
        <f t="shared" si="2"/>
        <v>0.01</v>
      </c>
      <c r="R28" s="694">
        <f t="shared" si="3"/>
        <v>7.0000000000000007E-2</v>
      </c>
      <c r="S28" s="694">
        <f t="shared" si="4"/>
        <v>0.04</v>
      </c>
      <c r="T28" s="694">
        <f t="shared" si="5"/>
        <v>8.6956000000000012E-3</v>
      </c>
      <c r="U28" s="694">
        <f t="shared" si="6"/>
        <v>1.2820500000000002E-2</v>
      </c>
      <c r="V28" s="694">
        <f t="shared" si="7"/>
        <v>7.4700000000000001E-3</v>
      </c>
      <c r="W28" s="694">
        <f t="shared" si="8"/>
        <v>4.8433499999999997E-3</v>
      </c>
      <c r="X28" s="694">
        <f t="shared" si="9"/>
        <v>1.23423E-3</v>
      </c>
      <c r="Y28" s="694">
        <f t="shared" si="10"/>
        <v>1.7899999999999998E-5</v>
      </c>
      <c r="Z28" s="694">
        <f t="shared" si="11"/>
        <v>0</v>
      </c>
      <c r="AA28" s="694">
        <f t="shared" si="12"/>
        <v>1.212858E-2</v>
      </c>
    </row>
    <row r="29" spans="1:27" x14ac:dyDescent="0.2">
      <c r="A29" s="702" t="s">
        <v>925</v>
      </c>
      <c r="B29" s="456">
        <v>68</v>
      </c>
      <c r="C29" s="456">
        <v>1</v>
      </c>
      <c r="D29" s="697">
        <v>7.0000000000000009</v>
      </c>
      <c r="E29" s="697">
        <v>4</v>
      </c>
      <c r="F29" s="456">
        <v>20</v>
      </c>
      <c r="G29" s="456">
        <v>50.000000000000007</v>
      </c>
      <c r="H29" s="456">
        <v>30</v>
      </c>
      <c r="I29" s="456">
        <v>15</v>
      </c>
      <c r="J29" s="456">
        <v>3.0000000000000004</v>
      </c>
      <c r="K29" s="697">
        <v>0.1</v>
      </c>
      <c r="L29" s="456">
        <v>0</v>
      </c>
      <c r="M29" s="456">
        <v>43</v>
      </c>
      <c r="N29" s="695"/>
      <c r="O29" s="695" t="str">
        <f t="shared" si="13"/>
        <v>MM of Nutrilon Standaard 2</v>
      </c>
      <c r="P29" s="694">
        <f t="shared" si="1"/>
        <v>0.68</v>
      </c>
      <c r="Q29" s="694">
        <f t="shared" si="2"/>
        <v>0.01</v>
      </c>
      <c r="R29" s="694">
        <f t="shared" si="3"/>
        <v>7.0000000000000007E-2</v>
      </c>
      <c r="S29" s="694">
        <f t="shared" si="4"/>
        <v>0.04</v>
      </c>
      <c r="T29" s="694">
        <f t="shared" si="5"/>
        <v>8.6956000000000012E-3</v>
      </c>
      <c r="U29" s="694">
        <f t="shared" si="6"/>
        <v>1.2820500000000002E-2</v>
      </c>
      <c r="V29" s="694">
        <f t="shared" si="7"/>
        <v>7.4700000000000001E-3</v>
      </c>
      <c r="W29" s="694">
        <f t="shared" si="8"/>
        <v>4.8433499999999997E-3</v>
      </c>
      <c r="X29" s="694">
        <f t="shared" si="9"/>
        <v>1.23423E-3</v>
      </c>
      <c r="Y29" s="694">
        <f t="shared" si="10"/>
        <v>1.7899999999999998E-5</v>
      </c>
      <c r="Z29" s="694">
        <f t="shared" si="11"/>
        <v>0</v>
      </c>
      <c r="AA29" s="694">
        <f t="shared" si="12"/>
        <v>1.212858E-2</v>
      </c>
    </row>
    <row r="30" spans="1:27" x14ac:dyDescent="0.2">
      <c r="A30" s="702" t="s">
        <v>926</v>
      </c>
      <c r="B30" s="456">
        <v>68</v>
      </c>
      <c r="C30" s="456">
        <v>1</v>
      </c>
      <c r="D30" s="697">
        <v>7.0000000000000009</v>
      </c>
      <c r="E30" s="697">
        <v>4</v>
      </c>
      <c r="F30" s="456">
        <v>20</v>
      </c>
      <c r="G30" s="456">
        <v>50.000000000000007</v>
      </c>
      <c r="H30" s="456">
        <v>30</v>
      </c>
      <c r="I30" s="456">
        <v>15</v>
      </c>
      <c r="J30" s="456">
        <v>3.0000000000000004</v>
      </c>
      <c r="K30" s="697">
        <v>0.1</v>
      </c>
      <c r="L30" s="456">
        <v>0</v>
      </c>
      <c r="M30" s="456">
        <v>43</v>
      </c>
      <c r="N30" s="695"/>
      <c r="O30" s="695" t="str">
        <f t="shared" si="13"/>
        <v>MM of Hypoallergeen</v>
      </c>
      <c r="P30" s="694">
        <f t="shared" si="1"/>
        <v>0.68</v>
      </c>
      <c r="Q30" s="694">
        <f t="shared" si="2"/>
        <v>0.01</v>
      </c>
      <c r="R30" s="694">
        <f t="shared" si="3"/>
        <v>7.0000000000000007E-2</v>
      </c>
      <c r="S30" s="694">
        <f t="shared" si="4"/>
        <v>0.04</v>
      </c>
      <c r="T30" s="694">
        <f t="shared" si="5"/>
        <v>8.6956000000000012E-3</v>
      </c>
      <c r="U30" s="694">
        <f t="shared" si="6"/>
        <v>1.2820500000000002E-2</v>
      </c>
      <c r="V30" s="694">
        <f t="shared" si="7"/>
        <v>7.4700000000000001E-3</v>
      </c>
      <c r="W30" s="694">
        <f t="shared" si="8"/>
        <v>4.8433499999999997E-3</v>
      </c>
      <c r="X30" s="694">
        <f t="shared" si="9"/>
        <v>1.23423E-3</v>
      </c>
      <c r="Y30" s="694">
        <f t="shared" si="10"/>
        <v>1.7899999999999998E-5</v>
      </c>
      <c r="Z30" s="694">
        <f t="shared" si="11"/>
        <v>0</v>
      </c>
      <c r="AA30" s="694">
        <f t="shared" si="12"/>
        <v>1.212858E-2</v>
      </c>
    </row>
    <row r="31" spans="1:27" x14ac:dyDescent="0.2">
      <c r="A31" s="702" t="s">
        <v>927</v>
      </c>
      <c r="B31" s="456">
        <v>68</v>
      </c>
      <c r="C31" s="456">
        <v>1</v>
      </c>
      <c r="D31" s="697">
        <v>7.0000000000000009</v>
      </c>
      <c r="E31" s="697">
        <v>4</v>
      </c>
      <c r="F31" s="456">
        <v>20</v>
      </c>
      <c r="G31" s="456">
        <v>50.000000000000007</v>
      </c>
      <c r="H31" s="456">
        <v>30</v>
      </c>
      <c r="I31" s="456">
        <v>15</v>
      </c>
      <c r="J31" s="456">
        <v>3.0000000000000004</v>
      </c>
      <c r="K31" s="697">
        <v>0.1</v>
      </c>
      <c r="L31" s="456">
        <v>0</v>
      </c>
      <c r="M31" s="456">
        <v>43</v>
      </c>
      <c r="N31" s="695"/>
      <c r="O31" s="695" t="str">
        <f t="shared" si="13"/>
        <v>MM of Neocate</v>
      </c>
      <c r="P31" s="694">
        <f t="shared" si="1"/>
        <v>0.68</v>
      </c>
      <c r="Q31" s="694">
        <f t="shared" si="2"/>
        <v>0.01</v>
      </c>
      <c r="R31" s="694">
        <f t="shared" si="3"/>
        <v>7.0000000000000007E-2</v>
      </c>
      <c r="S31" s="694">
        <f t="shared" si="4"/>
        <v>0.04</v>
      </c>
      <c r="T31" s="694">
        <f t="shared" si="5"/>
        <v>8.6956000000000012E-3</v>
      </c>
      <c r="U31" s="694">
        <f t="shared" si="6"/>
        <v>1.2820500000000002E-2</v>
      </c>
      <c r="V31" s="694">
        <f t="shared" si="7"/>
        <v>7.4700000000000001E-3</v>
      </c>
      <c r="W31" s="694">
        <f t="shared" si="8"/>
        <v>4.8433499999999997E-3</v>
      </c>
      <c r="X31" s="694">
        <f t="shared" si="9"/>
        <v>1.23423E-3</v>
      </c>
      <c r="Y31" s="694">
        <f t="shared" si="10"/>
        <v>1.7899999999999998E-5</v>
      </c>
      <c r="Z31" s="694">
        <f t="shared" si="11"/>
        <v>0</v>
      </c>
      <c r="AA31" s="694">
        <f t="shared" si="12"/>
        <v>1.212858E-2</v>
      </c>
    </row>
    <row r="32" spans="1:27" x14ac:dyDescent="0.2">
      <c r="A32" s="702" t="s">
        <v>930</v>
      </c>
      <c r="B32" s="702">
        <v>66.3</v>
      </c>
      <c r="C32" s="702">
        <v>1.5</v>
      </c>
      <c r="D32" s="702">
        <v>7</v>
      </c>
      <c r="E32" s="702">
        <v>3.6</v>
      </c>
      <c r="F32" s="702">
        <v>20.3</v>
      </c>
      <c r="G32" s="702">
        <v>67</v>
      </c>
      <c r="H32" s="702">
        <v>53.3</v>
      </c>
      <c r="I32" s="702">
        <v>29.2</v>
      </c>
      <c r="J32" s="702">
        <v>0.08</v>
      </c>
      <c r="K32" s="702">
        <v>0.51</v>
      </c>
      <c r="L32" s="702">
        <v>1.9</v>
      </c>
      <c r="M32" s="456">
        <v>40</v>
      </c>
      <c r="N32" s="695"/>
      <c r="O32" s="695" t="str">
        <f t="shared" si="13"/>
        <v>Nutrilon Caprilon</v>
      </c>
      <c r="P32" s="694">
        <f t="shared" si="1"/>
        <v>0.66299999999999992</v>
      </c>
      <c r="Q32" s="694">
        <f t="shared" si="2"/>
        <v>1.4999999999999999E-2</v>
      </c>
      <c r="R32" s="694">
        <f t="shared" si="3"/>
        <v>7.0000000000000007E-2</v>
      </c>
      <c r="S32" s="694">
        <f t="shared" si="4"/>
        <v>3.6000000000000004E-2</v>
      </c>
      <c r="T32" s="694">
        <f t="shared" si="5"/>
        <v>8.826034E-3</v>
      </c>
      <c r="U32" s="694">
        <f t="shared" si="6"/>
        <v>1.7179470000000002E-2</v>
      </c>
      <c r="V32" s="694">
        <f t="shared" si="7"/>
        <v>1.3271699999999999E-2</v>
      </c>
      <c r="W32" s="694">
        <f t="shared" si="8"/>
        <v>9.4283879999999994E-3</v>
      </c>
      <c r="X32" s="694">
        <f t="shared" si="9"/>
        <v>3.2912799999999994E-5</v>
      </c>
      <c r="Y32" s="694">
        <f t="shared" si="10"/>
        <v>9.1290000000000002E-5</v>
      </c>
      <c r="Z32" s="694">
        <f t="shared" si="11"/>
        <v>0.76</v>
      </c>
      <c r="AA32" s="694">
        <f t="shared" si="12"/>
        <v>1.12824E-2</v>
      </c>
    </row>
    <row r="33" spans="1:27" x14ac:dyDescent="0.2">
      <c r="A33" s="456" t="s">
        <v>861</v>
      </c>
      <c r="B33" s="702">
        <v>66</v>
      </c>
      <c r="C33" s="702">
        <v>1.4</v>
      </c>
      <c r="D33" s="702">
        <v>7.2</v>
      </c>
      <c r="E33" s="702">
        <v>3.5</v>
      </c>
      <c r="F33" s="702">
        <v>20</v>
      </c>
      <c r="G33" s="702">
        <v>65</v>
      </c>
      <c r="H33" s="702">
        <v>50</v>
      </c>
      <c r="I33" s="702">
        <v>30</v>
      </c>
      <c r="J33" s="702">
        <v>6</v>
      </c>
      <c r="K33" s="702">
        <v>0.78</v>
      </c>
      <c r="L33" s="702">
        <v>1.2</v>
      </c>
      <c r="M33" s="702">
        <v>42</v>
      </c>
      <c r="O33" s="695" t="str">
        <f t="shared" si="13"/>
        <v>Hero Baby 1 NS Standaard</v>
      </c>
      <c r="P33" s="694">
        <f t="shared" si="1"/>
        <v>0.66</v>
      </c>
      <c r="Q33" s="694">
        <f t="shared" si="2"/>
        <v>1.3999999999999999E-2</v>
      </c>
      <c r="R33" s="694">
        <f t="shared" si="3"/>
        <v>7.2000000000000008E-2</v>
      </c>
      <c r="S33" s="694">
        <f t="shared" si="4"/>
        <v>3.5000000000000003E-2</v>
      </c>
      <c r="T33" s="694">
        <f t="shared" si="5"/>
        <v>8.6956000000000012E-3</v>
      </c>
      <c r="U33" s="694">
        <f t="shared" si="6"/>
        <v>1.6666650000000002E-2</v>
      </c>
      <c r="V33" s="694">
        <f t="shared" si="7"/>
        <v>1.2449999999999999E-2</v>
      </c>
      <c r="W33" s="694">
        <f t="shared" si="8"/>
        <v>9.6866999999999995E-3</v>
      </c>
      <c r="X33" s="694">
        <f t="shared" si="9"/>
        <v>2.46846E-3</v>
      </c>
      <c r="Y33" s="694">
        <f t="shared" si="10"/>
        <v>1.3961999999999999E-4</v>
      </c>
      <c r="Z33" s="694">
        <f t="shared" si="11"/>
        <v>0.48</v>
      </c>
      <c r="AA33" s="694">
        <f t="shared" si="12"/>
        <v>1.1846520000000001E-2</v>
      </c>
    </row>
    <row r="34" spans="1:27" x14ac:dyDescent="0.2">
      <c r="A34" s="456" t="s">
        <v>862</v>
      </c>
      <c r="B34" s="702">
        <v>70</v>
      </c>
      <c r="C34" s="702">
        <v>1.6</v>
      </c>
      <c r="D34" s="702">
        <v>9.1999999999999993</v>
      </c>
      <c r="E34" s="702">
        <v>2.9</v>
      </c>
      <c r="F34" s="702">
        <v>24</v>
      </c>
      <c r="G34" s="702">
        <v>83</v>
      </c>
      <c r="H34" s="702">
        <v>72</v>
      </c>
      <c r="I34" s="702">
        <v>53</v>
      </c>
      <c r="J34" s="702">
        <v>7.8</v>
      </c>
      <c r="K34" s="702">
        <v>1.1000000000000001</v>
      </c>
      <c r="L34" s="702">
        <v>1.3</v>
      </c>
      <c r="M34" s="702">
        <v>45</v>
      </c>
      <c r="O34" s="695" t="str">
        <f t="shared" si="13"/>
        <v>Hero Baby 2 NS Standaard</v>
      </c>
      <c r="P34" s="694">
        <f t="shared" si="1"/>
        <v>0.7</v>
      </c>
      <c r="Q34" s="694">
        <f t="shared" si="2"/>
        <v>1.6E-2</v>
      </c>
      <c r="R34" s="694">
        <f t="shared" si="3"/>
        <v>9.1999999999999998E-2</v>
      </c>
      <c r="S34" s="694">
        <f t="shared" si="4"/>
        <v>2.8999999999999998E-2</v>
      </c>
      <c r="T34" s="694">
        <f t="shared" si="5"/>
        <v>1.043472E-2</v>
      </c>
      <c r="U34" s="694">
        <f t="shared" si="6"/>
        <v>2.128203E-2</v>
      </c>
      <c r="V34" s="694">
        <f t="shared" si="7"/>
        <v>1.7927999999999999E-2</v>
      </c>
      <c r="W34" s="694">
        <f t="shared" si="8"/>
        <v>1.711317E-2</v>
      </c>
      <c r="X34" s="694">
        <f t="shared" si="9"/>
        <v>3.2089979999999994E-3</v>
      </c>
      <c r="Y34" s="694">
        <f t="shared" si="10"/>
        <v>1.9689999999999999E-4</v>
      </c>
      <c r="Z34" s="694">
        <f t="shared" si="11"/>
        <v>0.52</v>
      </c>
      <c r="AA34" s="694">
        <f t="shared" si="12"/>
        <v>1.2692699999999999E-2</v>
      </c>
    </row>
    <row r="35" spans="1:27" x14ac:dyDescent="0.2">
      <c r="A35" s="456" t="s">
        <v>863</v>
      </c>
      <c r="B35" s="702">
        <v>65</v>
      </c>
      <c r="C35" s="702">
        <v>1.4</v>
      </c>
      <c r="D35" s="702">
        <v>6.8</v>
      </c>
      <c r="E35" s="702">
        <v>3.5</v>
      </c>
      <c r="F35" s="702">
        <v>16</v>
      </c>
      <c r="G35" s="702">
        <v>60.1</v>
      </c>
      <c r="H35" s="702">
        <v>43.9</v>
      </c>
      <c r="I35" s="702">
        <v>26</v>
      </c>
      <c r="J35" s="702">
        <v>4</v>
      </c>
      <c r="K35" s="702">
        <v>0.4</v>
      </c>
      <c r="L35" s="702">
        <v>1.2</v>
      </c>
      <c r="M35" s="702">
        <v>40</v>
      </c>
      <c r="O35" s="695" t="str">
        <f t="shared" si="13"/>
        <v>Hero Baby 1 NS Comfort</v>
      </c>
      <c r="P35" s="694">
        <f t="shared" si="1"/>
        <v>0.65</v>
      </c>
      <c r="Q35" s="694">
        <f t="shared" si="2"/>
        <v>1.3999999999999999E-2</v>
      </c>
      <c r="R35" s="694">
        <f t="shared" si="3"/>
        <v>6.8000000000000005E-2</v>
      </c>
      <c r="S35" s="694">
        <f t="shared" si="4"/>
        <v>3.5000000000000003E-2</v>
      </c>
      <c r="T35" s="694">
        <f t="shared" si="5"/>
        <v>6.9564800000000001E-3</v>
      </c>
      <c r="U35" s="694">
        <f t="shared" si="6"/>
        <v>1.5410241E-2</v>
      </c>
      <c r="V35" s="694">
        <f t="shared" si="7"/>
        <v>1.0931099999999997E-2</v>
      </c>
      <c r="W35" s="694">
        <f t="shared" si="8"/>
        <v>8.3951400000000006E-3</v>
      </c>
      <c r="X35" s="694">
        <f t="shared" si="9"/>
        <v>1.6456399999999999E-3</v>
      </c>
      <c r="Y35" s="694">
        <f t="shared" si="10"/>
        <v>7.1599999999999992E-5</v>
      </c>
      <c r="Z35" s="694">
        <f t="shared" si="11"/>
        <v>0.48</v>
      </c>
      <c r="AA35" s="694">
        <f t="shared" si="12"/>
        <v>1.12824E-2</v>
      </c>
    </row>
    <row r="36" spans="1:27" x14ac:dyDescent="0.2">
      <c r="A36" s="456" t="s">
        <v>864</v>
      </c>
      <c r="B36" s="702">
        <v>62</v>
      </c>
      <c r="C36" s="702">
        <v>1.3</v>
      </c>
      <c r="D36" s="702">
        <v>6.4</v>
      </c>
      <c r="E36" s="702">
        <v>3.3</v>
      </c>
      <c r="F36" s="702">
        <v>15</v>
      </c>
      <c r="G36" s="702">
        <v>56.8</v>
      </c>
      <c r="H36" s="702">
        <v>41.6</v>
      </c>
      <c r="I36" s="702">
        <v>25</v>
      </c>
      <c r="J36" s="702">
        <v>3.79</v>
      </c>
      <c r="K36" s="702">
        <v>1</v>
      </c>
      <c r="L36" s="702">
        <v>1.1000000000000001</v>
      </c>
      <c r="M36" s="702">
        <v>37.9</v>
      </c>
      <c r="O36" s="695" t="str">
        <f t="shared" si="13"/>
        <v>Hero Baby 2 NS Comfort</v>
      </c>
      <c r="P36" s="694">
        <f t="shared" si="1"/>
        <v>0.62</v>
      </c>
      <c r="Q36" s="694">
        <f t="shared" si="2"/>
        <v>1.3000000000000001E-2</v>
      </c>
      <c r="R36" s="694">
        <f t="shared" si="3"/>
        <v>6.4000000000000001E-2</v>
      </c>
      <c r="S36" s="694">
        <f t="shared" si="4"/>
        <v>3.3000000000000002E-2</v>
      </c>
      <c r="T36" s="694">
        <f t="shared" si="5"/>
        <v>6.5217000000000001E-3</v>
      </c>
      <c r="U36" s="694">
        <f t="shared" si="6"/>
        <v>1.4564087999999999E-2</v>
      </c>
      <c r="V36" s="694">
        <f t="shared" si="7"/>
        <v>1.0358399999999999E-2</v>
      </c>
      <c r="W36" s="694">
        <f t="shared" si="8"/>
        <v>8.0722499999999996E-3</v>
      </c>
      <c r="X36" s="694">
        <f t="shared" si="9"/>
        <v>1.5592439E-3</v>
      </c>
      <c r="Y36" s="694">
        <f t="shared" si="10"/>
        <v>1.7899999999999999E-4</v>
      </c>
      <c r="Z36" s="694">
        <f t="shared" si="11"/>
        <v>0.44</v>
      </c>
      <c r="AA36" s="694">
        <f t="shared" si="12"/>
        <v>1.0690073999999999E-2</v>
      </c>
    </row>
    <row r="37" spans="1:27" x14ac:dyDescent="0.2">
      <c r="A37" s="456" t="s">
        <v>931</v>
      </c>
      <c r="B37" s="702">
        <v>66</v>
      </c>
      <c r="C37" s="702">
        <v>2</v>
      </c>
      <c r="D37" s="702">
        <v>6.6</v>
      </c>
      <c r="E37" s="702">
        <v>3.5</v>
      </c>
      <c r="F37" s="702">
        <v>22</v>
      </c>
      <c r="G37" s="702">
        <v>69.3</v>
      </c>
      <c r="H37" s="702">
        <v>66.3</v>
      </c>
      <c r="I37" s="702">
        <v>39</v>
      </c>
      <c r="J37" s="702">
        <v>6.58</v>
      </c>
      <c r="K37" s="702">
        <v>0.87</v>
      </c>
      <c r="L37" s="702">
        <v>1.3</v>
      </c>
      <c r="M37" s="702">
        <v>45.2</v>
      </c>
      <c r="O37" s="695" t="str">
        <f t="shared" si="13"/>
        <v>Hero Baby 1 NS Prematuur</v>
      </c>
      <c r="P37" s="694">
        <f t="shared" si="1"/>
        <v>0.66</v>
      </c>
      <c r="Q37" s="694">
        <f t="shared" si="2"/>
        <v>0.02</v>
      </c>
      <c r="R37" s="694">
        <f t="shared" si="3"/>
        <v>6.6000000000000003E-2</v>
      </c>
      <c r="S37" s="694">
        <f t="shared" si="4"/>
        <v>3.5000000000000003E-2</v>
      </c>
      <c r="T37" s="694">
        <f t="shared" si="5"/>
        <v>9.5651599999999996E-3</v>
      </c>
      <c r="U37" s="694">
        <f t="shared" si="6"/>
        <v>1.7769212999999999E-2</v>
      </c>
      <c r="V37" s="694">
        <f t="shared" si="7"/>
        <v>1.6508699999999998E-2</v>
      </c>
      <c r="W37" s="694">
        <f t="shared" si="8"/>
        <v>1.259271E-2</v>
      </c>
      <c r="X37" s="694">
        <f t="shared" si="9"/>
        <v>2.7070778000000003E-3</v>
      </c>
      <c r="Y37" s="694">
        <f t="shared" si="10"/>
        <v>1.5573E-4</v>
      </c>
      <c r="Z37" s="694">
        <f t="shared" si="11"/>
        <v>0.52</v>
      </c>
      <c r="AA37" s="694">
        <f t="shared" si="12"/>
        <v>1.2749112E-2</v>
      </c>
    </row>
    <row r="38" spans="1:27" x14ac:dyDescent="0.2">
      <c r="A38" s="456" t="s">
        <v>932</v>
      </c>
      <c r="B38" s="702">
        <v>79</v>
      </c>
      <c r="C38" s="702">
        <v>2.6</v>
      </c>
      <c r="D38" s="702">
        <v>8.3000000000000007</v>
      </c>
      <c r="E38" s="702">
        <v>4</v>
      </c>
      <c r="F38" s="702">
        <v>51</v>
      </c>
      <c r="G38" s="702">
        <v>88</v>
      </c>
      <c r="H38" s="702">
        <v>96</v>
      </c>
      <c r="I38" s="702">
        <v>54.4</v>
      </c>
      <c r="J38" s="702">
        <v>8.9</v>
      </c>
      <c r="K38" s="702">
        <v>1.8</v>
      </c>
      <c r="L38" s="702">
        <v>1.9</v>
      </c>
      <c r="M38" s="702">
        <v>76.8</v>
      </c>
      <c r="O38" s="695" t="str">
        <f t="shared" si="13"/>
        <v>Hero Baby Prematuur Start</v>
      </c>
      <c r="P38" s="694">
        <f t="shared" si="1"/>
        <v>0.79</v>
      </c>
      <c r="Q38" s="694">
        <f t="shared" si="2"/>
        <v>2.6000000000000002E-2</v>
      </c>
      <c r="R38" s="694">
        <f t="shared" si="3"/>
        <v>8.3000000000000004E-2</v>
      </c>
      <c r="S38" s="694">
        <f t="shared" si="4"/>
        <v>0.04</v>
      </c>
      <c r="T38" s="694">
        <f t="shared" si="5"/>
        <v>2.2173780000000001E-2</v>
      </c>
      <c r="U38" s="694">
        <f t="shared" si="6"/>
        <v>2.256408E-2</v>
      </c>
      <c r="V38" s="694">
        <f t="shared" si="7"/>
        <v>2.3903999999999995E-2</v>
      </c>
      <c r="W38" s="694">
        <f t="shared" si="8"/>
        <v>1.7565215999999998E-2</v>
      </c>
      <c r="X38" s="694">
        <f t="shared" si="9"/>
        <v>3.6615490000000001E-3</v>
      </c>
      <c r="Y38" s="694">
        <f t="shared" si="10"/>
        <v>3.2219999999999997E-4</v>
      </c>
      <c r="Z38" s="694">
        <f t="shared" si="11"/>
        <v>0.76</v>
      </c>
      <c r="AA38" s="694">
        <f t="shared" si="12"/>
        <v>2.1662207999999995E-2</v>
      </c>
    </row>
    <row r="39" spans="1:27" x14ac:dyDescent="0.2">
      <c r="A39" s="695" t="s">
        <v>4611</v>
      </c>
      <c r="B39" s="694">
        <v>0</v>
      </c>
      <c r="C39" s="694">
        <v>0</v>
      </c>
      <c r="D39" s="694">
        <v>0</v>
      </c>
      <c r="E39" s="694">
        <v>0</v>
      </c>
      <c r="F39" s="694">
        <v>0</v>
      </c>
      <c r="G39" s="694">
        <v>0</v>
      </c>
      <c r="H39" s="694">
        <v>0</v>
      </c>
      <c r="I39" s="694">
        <v>0</v>
      </c>
      <c r="J39" s="694">
        <v>0</v>
      </c>
      <c r="K39" s="694">
        <v>0</v>
      </c>
      <c r="L39" s="694">
        <v>0</v>
      </c>
      <c r="M39" s="694">
        <v>0</v>
      </c>
      <c r="O39" s="695" t="str">
        <f t="shared" si="13"/>
        <v>Speciale Voeding</v>
      </c>
      <c r="P39" s="694">
        <f t="shared" ref="P39" si="14">VLOOKUP(P$3,Tbl_Glob_Conversie,2,FALSE)*B39/100</f>
        <v>0</v>
      </c>
      <c r="Q39" s="694">
        <f t="shared" ref="Q39" si="15">VLOOKUP(Q$3,Tbl_Glob_Conversie,2,FALSE)*C39/100</f>
        <v>0</v>
      </c>
      <c r="R39" s="694">
        <f t="shared" ref="R39" si="16">VLOOKUP(R$3,Tbl_Glob_Conversie,2,FALSE)*D39/100</f>
        <v>0</v>
      </c>
      <c r="S39" s="694">
        <f t="shared" ref="S39" si="17">VLOOKUP(S$3,Tbl_Glob_Conversie,2,FALSE)*E39/100</f>
        <v>0</v>
      </c>
      <c r="T39" s="694">
        <f t="shared" ref="T39" si="18">VLOOKUP(T$3,Tbl_Glob_Conversie,2,FALSE)*F39/100</f>
        <v>0</v>
      </c>
      <c r="U39" s="694">
        <f t="shared" ref="U39" si="19">VLOOKUP(U$3,Tbl_Glob_Conversie,2,FALSE)*G39/100</f>
        <v>0</v>
      </c>
      <c r="V39" s="694">
        <f t="shared" ref="V39" si="20">VLOOKUP(V$3,Tbl_Glob_Conversie,2,FALSE)*H39/100</f>
        <v>0</v>
      </c>
      <c r="W39" s="694">
        <f t="shared" ref="W39" si="21">VLOOKUP(W$3,Tbl_Glob_Conversie,2,FALSE)*I39/100</f>
        <v>0</v>
      </c>
      <c r="X39" s="694">
        <f t="shared" ref="X39" si="22">VLOOKUP(X$3,Tbl_Glob_Conversie,2,FALSE)*J39/100</f>
        <v>0</v>
      </c>
      <c r="Y39" s="694">
        <f t="shared" ref="Y39" si="23">VLOOKUP(Y$3,Tbl_Glob_Conversie,2,FALSE)*K39/100</f>
        <v>0</v>
      </c>
      <c r="Z39" s="694">
        <f t="shared" ref="Z39" si="24">VLOOKUP(Z$3,Tbl_Glob_Conversie,2,FALSE)*L39/100</f>
        <v>0</v>
      </c>
      <c r="AA39" s="694">
        <f t="shared" ref="AA39" si="25">VLOOKUP(AA$3,Tbl_Glob_Conversie,2,FALSE)*M39/100</f>
        <v>0</v>
      </c>
    </row>
    <row r="40" spans="1:27" x14ac:dyDescent="0.2">
      <c r="A40" s="695"/>
      <c r="R40" s="695"/>
    </row>
    <row r="41" spans="1:27" x14ac:dyDescent="0.2">
      <c r="A41" s="695"/>
    </row>
    <row r="42" spans="1:27" x14ac:dyDescent="0.2">
      <c r="A42" s="695"/>
    </row>
    <row r="43" spans="1:27" x14ac:dyDescent="0.2">
      <c r="A43" s="693" t="s">
        <v>1082</v>
      </c>
      <c r="B43" s="694" t="s">
        <v>4614</v>
      </c>
      <c r="P43" s="694" t="s">
        <v>4592</v>
      </c>
    </row>
    <row r="44" spans="1:27" x14ac:dyDescent="0.2">
      <c r="C44" s="695" t="s">
        <v>31</v>
      </c>
      <c r="D44" s="695" t="s">
        <v>31</v>
      </c>
      <c r="E44" s="695" t="s">
        <v>31</v>
      </c>
      <c r="F44" s="695" t="s">
        <v>159</v>
      </c>
      <c r="G44" s="695" t="s">
        <v>159</v>
      </c>
      <c r="H44" s="695" t="s">
        <v>159</v>
      </c>
      <c r="I44" s="695" t="s">
        <v>159</v>
      </c>
      <c r="J44" s="695" t="s">
        <v>159</v>
      </c>
      <c r="K44" s="695" t="s">
        <v>159</v>
      </c>
      <c r="L44" s="695" t="s">
        <v>853</v>
      </c>
      <c r="M44" s="695" t="s">
        <v>159</v>
      </c>
      <c r="N44" s="695"/>
      <c r="O44" s="696" t="s">
        <v>4596</v>
      </c>
      <c r="P44" s="695">
        <v>2</v>
      </c>
      <c r="Q44" s="695">
        <v>3</v>
      </c>
      <c r="R44" s="695">
        <v>4</v>
      </c>
      <c r="S44" s="695">
        <v>5</v>
      </c>
      <c r="T44" s="695">
        <v>6</v>
      </c>
      <c r="U44" s="695">
        <v>7</v>
      </c>
      <c r="V44" s="695">
        <v>8</v>
      </c>
      <c r="W44" s="695">
        <v>9</v>
      </c>
      <c r="X44" s="695">
        <v>10</v>
      </c>
      <c r="Y44" s="695">
        <v>11</v>
      </c>
      <c r="Z44" s="695">
        <v>12</v>
      </c>
      <c r="AA44" s="695">
        <v>13</v>
      </c>
    </row>
    <row r="45" spans="1:27" x14ac:dyDescent="0.2">
      <c r="A45" s="695"/>
      <c r="B45" s="695" t="s">
        <v>227</v>
      </c>
      <c r="C45" s="695" t="s">
        <v>221</v>
      </c>
      <c r="D45" s="695" t="s">
        <v>521</v>
      </c>
      <c r="E45" s="695" t="s">
        <v>522</v>
      </c>
      <c r="F45" s="695" t="s">
        <v>222</v>
      </c>
      <c r="G45" s="695" t="s">
        <v>223</v>
      </c>
      <c r="H45" s="695" t="s">
        <v>224</v>
      </c>
      <c r="I45" s="695" t="s">
        <v>520</v>
      </c>
      <c r="J45" s="695" t="s">
        <v>225</v>
      </c>
      <c r="K45" s="695" t="s">
        <v>851</v>
      </c>
      <c r="L45" s="695" t="s">
        <v>852</v>
      </c>
      <c r="M45" s="695" t="s">
        <v>569</v>
      </c>
      <c r="N45" s="695"/>
      <c r="O45" s="695"/>
      <c r="P45" s="695" t="s">
        <v>227</v>
      </c>
      <c r="Q45" s="695" t="s">
        <v>189</v>
      </c>
      <c r="R45" s="695" t="s">
        <v>228</v>
      </c>
      <c r="S45" s="695" t="s">
        <v>190</v>
      </c>
      <c r="T45" s="695" t="s">
        <v>222</v>
      </c>
      <c r="U45" s="695" t="s">
        <v>223</v>
      </c>
      <c r="V45" s="695" t="s">
        <v>224</v>
      </c>
      <c r="W45" s="695" t="s">
        <v>229</v>
      </c>
      <c r="X45" s="695" t="s">
        <v>225</v>
      </c>
      <c r="Y45" s="695" t="s">
        <v>851</v>
      </c>
      <c r="Z45" s="695" t="s">
        <v>852</v>
      </c>
      <c r="AA45" s="695" t="s">
        <v>569</v>
      </c>
    </row>
    <row r="46" spans="1:27" x14ac:dyDescent="0.2">
      <c r="A46" s="695"/>
      <c r="B46" s="695" t="s">
        <v>227</v>
      </c>
      <c r="C46" s="695" t="s">
        <v>189</v>
      </c>
      <c r="D46" s="695" t="s">
        <v>228</v>
      </c>
      <c r="E46" s="695" t="s">
        <v>190</v>
      </c>
      <c r="F46" s="695" t="s">
        <v>222</v>
      </c>
      <c r="G46" s="695" t="s">
        <v>223</v>
      </c>
      <c r="H46" s="695" t="s">
        <v>224</v>
      </c>
      <c r="I46" s="695" t="s">
        <v>229</v>
      </c>
      <c r="J46" s="695" t="s">
        <v>225</v>
      </c>
      <c r="K46" s="695" t="s">
        <v>851</v>
      </c>
      <c r="L46" s="695" t="s">
        <v>852</v>
      </c>
      <c r="M46" s="695" t="s">
        <v>569</v>
      </c>
      <c r="N46" s="695"/>
      <c r="O46" s="695"/>
      <c r="P46" s="694" t="str">
        <f t="shared" ref="P46:AA46" si="26">VLOOKUP(P45,Tbl_Glob_Conversie,3,FALSE)</f>
        <v>kcal</v>
      </c>
      <c r="Q46" s="694" t="str">
        <f t="shared" si="26"/>
        <v>gram</v>
      </c>
      <c r="R46" s="694" t="str">
        <f t="shared" si="26"/>
        <v>gram</v>
      </c>
      <c r="S46" s="694" t="str">
        <f t="shared" si="26"/>
        <v>gram</v>
      </c>
      <c r="T46" s="694" t="str">
        <f t="shared" si="26"/>
        <v>mmol</v>
      </c>
      <c r="U46" s="694" t="str">
        <f t="shared" si="26"/>
        <v>mmol</v>
      </c>
      <c r="V46" s="694" t="str">
        <f t="shared" si="26"/>
        <v>mmol</v>
      </c>
      <c r="W46" s="694" t="str">
        <f t="shared" si="26"/>
        <v>mmol</v>
      </c>
      <c r="X46" s="694" t="str">
        <f t="shared" si="26"/>
        <v>mmol</v>
      </c>
      <c r="Y46" s="694" t="str">
        <f t="shared" si="26"/>
        <v>mmol</v>
      </c>
      <c r="Z46" s="694" t="str">
        <f t="shared" si="26"/>
        <v>IE</v>
      </c>
      <c r="AA46" s="694" t="str">
        <f t="shared" si="26"/>
        <v>mmol</v>
      </c>
    </row>
    <row r="47" spans="1:27" x14ac:dyDescent="0.2">
      <c r="A47" s="695"/>
    </row>
    <row r="48" spans="1:27" x14ac:dyDescent="0.2">
      <c r="A48" s="456" t="s">
        <v>575</v>
      </c>
      <c r="B48" s="456">
        <v>347</v>
      </c>
      <c r="C48" s="456">
        <v>25.2</v>
      </c>
      <c r="D48" s="697">
        <v>62.2</v>
      </c>
      <c r="E48" s="697">
        <v>0</v>
      </c>
      <c r="F48" s="456">
        <v>803</v>
      </c>
      <c r="G48" s="456">
        <v>528</v>
      </c>
      <c r="H48" s="456">
        <v>1491</v>
      </c>
      <c r="I48" s="456">
        <v>872</v>
      </c>
      <c r="J48" s="456">
        <v>115</v>
      </c>
      <c r="K48" s="697">
        <v>0</v>
      </c>
      <c r="L48" s="456">
        <v>115</v>
      </c>
      <c r="M48" s="456">
        <v>573</v>
      </c>
      <c r="N48" s="695"/>
      <c r="O48" s="695" t="str">
        <f>A48</f>
        <v>Nutrilon Nenatal BMF</v>
      </c>
      <c r="P48" s="694">
        <f t="shared" ref="P48:P70" si="27">VLOOKUP(P$45,Tbl_Glob_Conversie,2,FALSE)*B48/100</f>
        <v>3.47</v>
      </c>
      <c r="Q48" s="694">
        <f t="shared" ref="Q48:Q70" si="28">VLOOKUP(Q$45,Tbl_Glob_Conversie,2,FALSE)*C48/100</f>
        <v>0.252</v>
      </c>
      <c r="R48" s="694">
        <f t="shared" ref="R48:R70" si="29">VLOOKUP(R$45,Tbl_Glob_Conversie,2,FALSE)*D48/100</f>
        <v>0.622</v>
      </c>
      <c r="S48" s="694">
        <f t="shared" ref="S48:S70" si="30">VLOOKUP(S$45,Tbl_Glob_Conversie,2,FALSE)*E48/100</f>
        <v>0</v>
      </c>
      <c r="T48" s="694">
        <f t="shared" ref="T48:T70" si="31">VLOOKUP(T$45,Tbl_Glob_Conversie,2,FALSE)*F48/100</f>
        <v>0.34912834000000004</v>
      </c>
      <c r="U48" s="694">
        <f t="shared" ref="U48:U70" si="32">VLOOKUP(U$45,Tbl_Glob_Conversie,2,FALSE)*G48/100</f>
        <v>0.13538448</v>
      </c>
      <c r="V48" s="694">
        <f t="shared" ref="V48:V70" si="33">VLOOKUP(V$45,Tbl_Glob_Conversie,2,FALSE)*H48/100</f>
        <v>0.37125899999999995</v>
      </c>
      <c r="W48" s="694">
        <f t="shared" ref="W48:W70" si="34">VLOOKUP(W$45,Tbl_Glob_Conversie,2,FALSE)*I48/100</f>
        <v>0.28156007999999999</v>
      </c>
      <c r="X48" s="694">
        <f t="shared" ref="X48:X70" si="35">VLOOKUP(X$45,Tbl_Glob_Conversie,2,FALSE)*J48/100</f>
        <v>4.7312149999999997E-2</v>
      </c>
      <c r="Y48" s="694">
        <f t="shared" ref="Y48:Y70" si="36">VLOOKUP(Y$45,Tbl_Glob_Conversie,2,FALSE)*K48/100</f>
        <v>0</v>
      </c>
      <c r="Z48" s="694">
        <f t="shared" ref="Z48:Z70" si="37">VLOOKUP(Z$45,Tbl_Glob_Conversie,2,FALSE)*L48/100</f>
        <v>46</v>
      </c>
      <c r="AA48" s="694">
        <f t="shared" ref="AA48:AA70" si="38">VLOOKUP(AA$45,Tbl_Glob_Conversie,2,FALSE)*M48/100</f>
        <v>0.16162037999999998</v>
      </c>
    </row>
    <row r="49" spans="1:27" x14ac:dyDescent="0.2">
      <c r="A49" s="456" t="s">
        <v>861</v>
      </c>
      <c r="B49" s="456">
        <v>509</v>
      </c>
      <c r="C49" s="456">
        <v>10</v>
      </c>
      <c r="D49" s="697">
        <v>56</v>
      </c>
      <c r="E49" s="697">
        <v>27</v>
      </c>
      <c r="F49" s="456">
        <v>120</v>
      </c>
      <c r="G49" s="456">
        <v>462</v>
      </c>
      <c r="H49" s="456">
        <v>338</v>
      </c>
      <c r="I49" s="456">
        <v>200</v>
      </c>
      <c r="J49" s="456">
        <v>30.8</v>
      </c>
      <c r="K49" s="699">
        <v>3.1</v>
      </c>
      <c r="L49" s="698">
        <v>9.1999999999999993</v>
      </c>
      <c r="M49" s="698">
        <v>308</v>
      </c>
      <c r="N49" s="703"/>
      <c r="O49" s="695" t="str">
        <f t="shared" ref="O49:O70" si="39">A49</f>
        <v>Hero Baby 1 NS Standaard</v>
      </c>
      <c r="P49" s="694">
        <f t="shared" si="27"/>
        <v>5.09</v>
      </c>
      <c r="Q49" s="694">
        <f t="shared" si="28"/>
        <v>0.1</v>
      </c>
      <c r="R49" s="694">
        <f t="shared" si="29"/>
        <v>0.56000000000000005</v>
      </c>
      <c r="S49" s="694">
        <f t="shared" si="30"/>
        <v>0.27</v>
      </c>
      <c r="T49" s="694">
        <f t="shared" si="31"/>
        <v>5.2173600000000001E-2</v>
      </c>
      <c r="U49" s="694">
        <f t="shared" si="32"/>
        <v>0.11846142</v>
      </c>
      <c r="V49" s="694">
        <f t="shared" si="33"/>
        <v>8.4162000000000001E-2</v>
      </c>
      <c r="W49" s="694">
        <f t="shared" si="34"/>
        <v>6.4577999999999997E-2</v>
      </c>
      <c r="X49" s="694">
        <f t="shared" si="35"/>
        <v>1.2671428E-2</v>
      </c>
      <c r="Y49" s="694">
        <f t="shared" si="36"/>
        <v>5.5489999999999999E-4</v>
      </c>
      <c r="Z49" s="694">
        <f t="shared" si="37"/>
        <v>3.68</v>
      </c>
      <c r="AA49" s="694">
        <f t="shared" si="38"/>
        <v>8.6874480000000004E-2</v>
      </c>
    </row>
    <row r="50" spans="1:27" x14ac:dyDescent="0.2">
      <c r="A50" s="456" t="s">
        <v>862</v>
      </c>
      <c r="B50" s="456">
        <v>470</v>
      </c>
      <c r="C50" s="456">
        <v>9.5</v>
      </c>
      <c r="D50" s="697">
        <v>64</v>
      </c>
      <c r="E50" s="697">
        <v>19</v>
      </c>
      <c r="F50" s="456">
        <v>160</v>
      </c>
      <c r="G50" s="456">
        <v>554</v>
      </c>
      <c r="H50" s="456">
        <v>405</v>
      </c>
      <c r="I50" s="456">
        <v>243</v>
      </c>
      <c r="J50" s="456">
        <v>52</v>
      </c>
      <c r="K50" s="699">
        <v>8.1999999999999993</v>
      </c>
      <c r="L50" s="698">
        <v>8.6</v>
      </c>
      <c r="M50" s="698">
        <v>297</v>
      </c>
      <c r="N50" s="703"/>
      <c r="O50" s="695" t="str">
        <f t="shared" si="39"/>
        <v>Hero Baby 2 NS Standaard</v>
      </c>
      <c r="P50" s="694">
        <f t="shared" si="27"/>
        <v>4.7</v>
      </c>
      <c r="Q50" s="694">
        <f t="shared" si="28"/>
        <v>9.5000000000000001E-2</v>
      </c>
      <c r="R50" s="694">
        <f t="shared" si="29"/>
        <v>0.64</v>
      </c>
      <c r="S50" s="694">
        <f t="shared" si="30"/>
        <v>0.19</v>
      </c>
      <c r="T50" s="694">
        <f t="shared" si="31"/>
        <v>6.956480000000001E-2</v>
      </c>
      <c r="U50" s="694">
        <f t="shared" si="32"/>
        <v>0.14205113999999999</v>
      </c>
      <c r="V50" s="694">
        <f t="shared" si="33"/>
        <v>0.100845</v>
      </c>
      <c r="W50" s="694">
        <f t="shared" si="34"/>
        <v>7.8462270000000001E-2</v>
      </c>
      <c r="X50" s="694">
        <f t="shared" si="35"/>
        <v>2.139332E-2</v>
      </c>
      <c r="Y50" s="694">
        <f t="shared" si="36"/>
        <v>1.4678E-3</v>
      </c>
      <c r="Z50" s="694">
        <f t="shared" si="37"/>
        <v>3.44</v>
      </c>
      <c r="AA50" s="694">
        <f t="shared" si="38"/>
        <v>8.3771819999999997E-2</v>
      </c>
    </row>
    <row r="51" spans="1:27" x14ac:dyDescent="0.2">
      <c r="A51" s="456" t="s">
        <v>863</v>
      </c>
      <c r="B51" s="456">
        <v>503</v>
      </c>
      <c r="C51" s="456">
        <v>11</v>
      </c>
      <c r="D51" s="697">
        <v>52</v>
      </c>
      <c r="E51" s="697">
        <v>27</v>
      </c>
      <c r="F51" s="456">
        <v>120</v>
      </c>
      <c r="G51" s="456">
        <v>462</v>
      </c>
      <c r="H51" s="456">
        <v>338</v>
      </c>
      <c r="I51" s="456">
        <v>200</v>
      </c>
      <c r="J51" s="704">
        <v>30.8</v>
      </c>
      <c r="K51" s="705">
        <v>3.1</v>
      </c>
      <c r="L51" s="706">
        <v>9.1999999999999993</v>
      </c>
      <c r="M51" s="706">
        <v>308</v>
      </c>
      <c r="N51" s="707"/>
      <c r="O51" s="695" t="str">
        <f t="shared" si="39"/>
        <v>Hero Baby 1 NS Comfort</v>
      </c>
      <c r="P51" s="694">
        <f t="shared" si="27"/>
        <v>5.03</v>
      </c>
      <c r="Q51" s="694">
        <f t="shared" si="28"/>
        <v>0.11</v>
      </c>
      <c r="R51" s="694">
        <f t="shared" si="29"/>
        <v>0.52</v>
      </c>
      <c r="S51" s="694">
        <f t="shared" si="30"/>
        <v>0.27</v>
      </c>
      <c r="T51" s="694">
        <f t="shared" si="31"/>
        <v>5.2173600000000001E-2</v>
      </c>
      <c r="U51" s="694">
        <f t="shared" si="32"/>
        <v>0.11846142</v>
      </c>
      <c r="V51" s="694">
        <f t="shared" si="33"/>
        <v>8.4162000000000001E-2</v>
      </c>
      <c r="W51" s="694">
        <f t="shared" si="34"/>
        <v>6.4577999999999997E-2</v>
      </c>
      <c r="X51" s="694">
        <f t="shared" si="35"/>
        <v>1.2671428E-2</v>
      </c>
      <c r="Y51" s="694">
        <f t="shared" si="36"/>
        <v>5.5489999999999999E-4</v>
      </c>
      <c r="Z51" s="694">
        <f t="shared" si="37"/>
        <v>3.68</v>
      </c>
      <c r="AA51" s="694">
        <f t="shared" si="38"/>
        <v>8.6874480000000004E-2</v>
      </c>
    </row>
    <row r="52" spans="1:27" x14ac:dyDescent="0.2">
      <c r="A52" s="456" t="s">
        <v>864</v>
      </c>
      <c r="B52" s="456">
        <v>503</v>
      </c>
      <c r="C52" s="456">
        <v>11</v>
      </c>
      <c r="D52" s="697">
        <v>52</v>
      </c>
      <c r="E52" s="697">
        <v>27</v>
      </c>
      <c r="F52" s="456">
        <v>120</v>
      </c>
      <c r="G52" s="456">
        <v>462</v>
      </c>
      <c r="H52" s="456">
        <v>338</v>
      </c>
      <c r="I52" s="456">
        <v>200</v>
      </c>
      <c r="J52" s="704">
        <v>30.8</v>
      </c>
      <c r="K52" s="705">
        <v>8.5</v>
      </c>
      <c r="L52" s="706">
        <v>9.1999999999999993</v>
      </c>
      <c r="M52" s="706">
        <v>308</v>
      </c>
      <c r="N52" s="707"/>
      <c r="O52" s="695" t="str">
        <f t="shared" si="39"/>
        <v>Hero Baby 2 NS Comfort</v>
      </c>
      <c r="P52" s="694">
        <f t="shared" si="27"/>
        <v>5.03</v>
      </c>
      <c r="Q52" s="694">
        <f t="shared" si="28"/>
        <v>0.11</v>
      </c>
      <c r="R52" s="694">
        <f t="shared" si="29"/>
        <v>0.52</v>
      </c>
      <c r="S52" s="694">
        <f t="shared" si="30"/>
        <v>0.27</v>
      </c>
      <c r="T52" s="694">
        <f t="shared" si="31"/>
        <v>5.2173600000000001E-2</v>
      </c>
      <c r="U52" s="694">
        <f t="shared" si="32"/>
        <v>0.11846142</v>
      </c>
      <c r="V52" s="694">
        <f t="shared" si="33"/>
        <v>8.4162000000000001E-2</v>
      </c>
      <c r="W52" s="694">
        <f t="shared" si="34"/>
        <v>6.4577999999999997E-2</v>
      </c>
      <c r="X52" s="694">
        <f t="shared" si="35"/>
        <v>1.2671428E-2</v>
      </c>
      <c r="Y52" s="694">
        <f t="shared" si="36"/>
        <v>1.5215000000000001E-3</v>
      </c>
      <c r="Z52" s="694">
        <f t="shared" si="37"/>
        <v>3.68</v>
      </c>
      <c r="AA52" s="694">
        <f t="shared" si="38"/>
        <v>8.6874480000000004E-2</v>
      </c>
    </row>
    <row r="53" spans="1:27" x14ac:dyDescent="0.2">
      <c r="A53" s="456" t="s">
        <v>865</v>
      </c>
      <c r="B53" s="456">
        <v>493</v>
      </c>
      <c r="C53" s="456">
        <v>13</v>
      </c>
      <c r="D53" s="697">
        <v>53</v>
      </c>
      <c r="E53" s="697">
        <v>26</v>
      </c>
      <c r="F53" s="456">
        <v>204</v>
      </c>
      <c r="G53" s="456">
        <v>550</v>
      </c>
      <c r="H53" s="456">
        <v>400</v>
      </c>
      <c r="I53" s="456">
        <v>230</v>
      </c>
      <c r="J53" s="456">
        <v>50</v>
      </c>
      <c r="K53" s="705">
        <v>3.5</v>
      </c>
      <c r="L53" s="706">
        <v>7.8</v>
      </c>
      <c r="M53" s="706">
        <v>315</v>
      </c>
      <c r="N53" s="707"/>
      <c r="O53" s="695" t="str">
        <f t="shared" si="39"/>
        <v>Hero Baby 1 NS Pep</v>
      </c>
      <c r="P53" s="694">
        <f t="shared" si="27"/>
        <v>4.93</v>
      </c>
      <c r="Q53" s="694">
        <f t="shared" si="28"/>
        <v>0.13</v>
      </c>
      <c r="R53" s="694">
        <f t="shared" si="29"/>
        <v>0.53</v>
      </c>
      <c r="S53" s="694">
        <f t="shared" si="30"/>
        <v>0.26</v>
      </c>
      <c r="T53" s="694">
        <f t="shared" si="31"/>
        <v>8.8695120000000002E-2</v>
      </c>
      <c r="U53" s="694">
        <f t="shared" si="32"/>
        <v>0.1410255</v>
      </c>
      <c r="V53" s="694">
        <f t="shared" si="33"/>
        <v>9.9599999999999994E-2</v>
      </c>
      <c r="W53" s="694">
        <f t="shared" si="34"/>
        <v>7.4264699999999989E-2</v>
      </c>
      <c r="X53" s="694">
        <f t="shared" si="35"/>
        <v>2.0570499999999999E-2</v>
      </c>
      <c r="Y53" s="694">
        <f t="shared" si="36"/>
        <v>6.265E-4</v>
      </c>
      <c r="Z53" s="694">
        <f t="shared" si="37"/>
        <v>3.12</v>
      </c>
      <c r="AA53" s="694">
        <f t="shared" si="38"/>
        <v>8.8848899999999981E-2</v>
      </c>
    </row>
    <row r="54" spans="1:27" x14ac:dyDescent="0.2">
      <c r="A54" s="456" t="s">
        <v>866</v>
      </c>
      <c r="B54" s="456">
        <v>493</v>
      </c>
      <c r="C54" s="456">
        <v>13</v>
      </c>
      <c r="D54" s="697">
        <v>53</v>
      </c>
      <c r="E54" s="697">
        <v>26</v>
      </c>
      <c r="F54" s="456">
        <v>204</v>
      </c>
      <c r="G54" s="456">
        <v>550</v>
      </c>
      <c r="H54" s="456">
        <v>400</v>
      </c>
      <c r="I54" s="456">
        <v>230</v>
      </c>
      <c r="J54" s="456">
        <v>50</v>
      </c>
      <c r="K54" s="705">
        <v>7.1</v>
      </c>
      <c r="L54" s="706">
        <v>7.8</v>
      </c>
      <c r="M54" s="706">
        <v>315</v>
      </c>
      <c r="N54" s="707"/>
      <c r="O54" s="695" t="str">
        <f t="shared" si="39"/>
        <v>Hero Baby 2 NS Pep</v>
      </c>
      <c r="P54" s="694">
        <f t="shared" si="27"/>
        <v>4.93</v>
      </c>
      <c r="Q54" s="694">
        <f t="shared" si="28"/>
        <v>0.13</v>
      </c>
      <c r="R54" s="694">
        <f t="shared" si="29"/>
        <v>0.53</v>
      </c>
      <c r="S54" s="694">
        <f t="shared" si="30"/>
        <v>0.26</v>
      </c>
      <c r="T54" s="694">
        <f t="shared" si="31"/>
        <v>8.8695120000000002E-2</v>
      </c>
      <c r="U54" s="694">
        <f t="shared" si="32"/>
        <v>0.1410255</v>
      </c>
      <c r="V54" s="694">
        <f t="shared" si="33"/>
        <v>9.9599999999999994E-2</v>
      </c>
      <c r="W54" s="694">
        <f t="shared" si="34"/>
        <v>7.4264699999999989E-2</v>
      </c>
      <c r="X54" s="694">
        <f t="shared" si="35"/>
        <v>2.0570499999999999E-2</v>
      </c>
      <c r="Y54" s="694">
        <f t="shared" si="36"/>
        <v>1.2708999999999997E-3</v>
      </c>
      <c r="Z54" s="694">
        <f t="shared" si="37"/>
        <v>3.12</v>
      </c>
      <c r="AA54" s="694">
        <f t="shared" si="38"/>
        <v>8.8848899999999981E-2</v>
      </c>
    </row>
    <row r="55" spans="1:27" x14ac:dyDescent="0.2">
      <c r="A55" s="456" t="s">
        <v>867</v>
      </c>
      <c r="B55" s="456">
        <v>500</v>
      </c>
      <c r="C55" s="456">
        <v>14</v>
      </c>
      <c r="D55" s="697">
        <v>55</v>
      </c>
      <c r="E55" s="697">
        <v>25</v>
      </c>
      <c r="F55" s="456">
        <v>240</v>
      </c>
      <c r="G55" s="456">
        <v>610</v>
      </c>
      <c r="H55" s="456">
        <v>565</v>
      </c>
      <c r="I55" s="456">
        <v>390</v>
      </c>
      <c r="J55" s="456">
        <v>50</v>
      </c>
      <c r="K55" s="699">
        <v>9</v>
      </c>
      <c r="L55" s="698">
        <v>7.5</v>
      </c>
      <c r="M55" s="698">
        <v>480</v>
      </c>
      <c r="N55" s="703"/>
      <c r="O55" s="695" t="str">
        <f t="shared" si="39"/>
        <v>Nutramigen 1 LGG pdr</v>
      </c>
      <c r="P55" s="694">
        <f t="shared" si="27"/>
        <v>5</v>
      </c>
      <c r="Q55" s="694">
        <f t="shared" si="28"/>
        <v>0.14000000000000001</v>
      </c>
      <c r="R55" s="694">
        <f t="shared" si="29"/>
        <v>0.55000000000000004</v>
      </c>
      <c r="S55" s="694">
        <f t="shared" si="30"/>
        <v>0.25</v>
      </c>
      <c r="T55" s="694">
        <f t="shared" si="31"/>
        <v>0.1043472</v>
      </c>
      <c r="U55" s="694">
        <f t="shared" si="32"/>
        <v>0.1564101</v>
      </c>
      <c r="V55" s="694">
        <f t="shared" si="33"/>
        <v>0.14068499999999998</v>
      </c>
      <c r="W55" s="694">
        <f t="shared" si="34"/>
        <v>0.12592709999999999</v>
      </c>
      <c r="X55" s="694">
        <f t="shared" si="35"/>
        <v>2.0570499999999999E-2</v>
      </c>
      <c r="Y55" s="694">
        <f t="shared" si="36"/>
        <v>1.611E-3</v>
      </c>
      <c r="Z55" s="694">
        <f t="shared" si="37"/>
        <v>3</v>
      </c>
      <c r="AA55" s="694">
        <f t="shared" si="38"/>
        <v>0.13538879999999998</v>
      </c>
    </row>
    <row r="56" spans="1:27" x14ac:dyDescent="0.2">
      <c r="A56" s="456" t="s">
        <v>37</v>
      </c>
      <c r="B56" s="456">
        <v>466</v>
      </c>
      <c r="C56" s="456">
        <v>11.6</v>
      </c>
      <c r="D56" s="697">
        <v>59</v>
      </c>
      <c r="E56" s="697">
        <v>20</v>
      </c>
      <c r="F56" s="456">
        <v>172</v>
      </c>
      <c r="G56" s="456">
        <v>568</v>
      </c>
      <c r="H56" s="456">
        <v>638</v>
      </c>
      <c r="I56" s="456">
        <v>336</v>
      </c>
      <c r="J56" s="456">
        <v>47</v>
      </c>
      <c r="K56" s="699">
        <v>8.1999999999999993</v>
      </c>
      <c r="L56" s="698">
        <v>7.3</v>
      </c>
      <c r="M56" s="698">
        <v>373</v>
      </c>
      <c r="N56" s="703"/>
      <c r="O56" s="695" t="str">
        <f t="shared" si="39"/>
        <v>Nutramigen 2 LGG pdr</v>
      </c>
      <c r="P56" s="694">
        <f t="shared" si="27"/>
        <v>4.66</v>
      </c>
      <c r="Q56" s="694">
        <f t="shared" si="28"/>
        <v>0.11599999999999999</v>
      </c>
      <c r="R56" s="694">
        <f t="shared" si="29"/>
        <v>0.59</v>
      </c>
      <c r="S56" s="694">
        <f t="shared" si="30"/>
        <v>0.2</v>
      </c>
      <c r="T56" s="694">
        <f t="shared" si="31"/>
        <v>7.478216E-2</v>
      </c>
      <c r="U56" s="694">
        <f t="shared" si="32"/>
        <v>0.14564088</v>
      </c>
      <c r="V56" s="694">
        <f t="shared" si="33"/>
        <v>0.15886199999999998</v>
      </c>
      <c r="W56" s="694">
        <f t="shared" si="34"/>
        <v>0.10849103999999998</v>
      </c>
      <c r="X56" s="694">
        <f t="shared" si="35"/>
        <v>1.9336269999999999E-2</v>
      </c>
      <c r="Y56" s="694">
        <f t="shared" si="36"/>
        <v>1.4678E-3</v>
      </c>
      <c r="Z56" s="694">
        <f t="shared" si="37"/>
        <v>2.92</v>
      </c>
      <c r="AA56" s="694">
        <f t="shared" si="38"/>
        <v>0.10520837999999999</v>
      </c>
    </row>
    <row r="57" spans="1:27" x14ac:dyDescent="0.2">
      <c r="A57" s="456" t="s">
        <v>868</v>
      </c>
      <c r="B57" s="456">
        <v>402</v>
      </c>
      <c r="C57" s="456">
        <v>14.7</v>
      </c>
      <c r="D57" s="697">
        <v>71</v>
      </c>
      <c r="E57" s="697">
        <v>6.7</v>
      </c>
      <c r="F57" s="456">
        <v>402</v>
      </c>
      <c r="G57" s="456">
        <v>603</v>
      </c>
      <c r="H57" s="456">
        <v>322</v>
      </c>
      <c r="I57" s="456">
        <v>267</v>
      </c>
      <c r="J57" s="456">
        <v>84</v>
      </c>
      <c r="K57" s="699">
        <v>6.4</v>
      </c>
      <c r="L57" s="698">
        <v>2.8</v>
      </c>
      <c r="M57" s="698">
        <v>503</v>
      </c>
      <c r="N57" s="703"/>
      <c r="O57" s="695" t="str">
        <f t="shared" si="39"/>
        <v>Nutrison Advanced Peptisorb Powder</v>
      </c>
      <c r="P57" s="694">
        <f t="shared" si="27"/>
        <v>4.0199999999999996</v>
      </c>
      <c r="Q57" s="694">
        <f t="shared" si="28"/>
        <v>0.14699999999999999</v>
      </c>
      <c r="R57" s="694">
        <f t="shared" si="29"/>
        <v>0.71</v>
      </c>
      <c r="S57" s="694">
        <f t="shared" si="30"/>
        <v>6.7000000000000004E-2</v>
      </c>
      <c r="T57" s="694">
        <f t="shared" si="31"/>
        <v>0.17478156000000003</v>
      </c>
      <c r="U57" s="694">
        <f t="shared" si="32"/>
        <v>0.15461522999999999</v>
      </c>
      <c r="V57" s="694">
        <f t="shared" si="33"/>
        <v>8.0177999999999999E-2</v>
      </c>
      <c r="W57" s="694">
        <f t="shared" si="34"/>
        <v>8.6211629999999997E-2</v>
      </c>
      <c r="X57" s="694">
        <f t="shared" si="35"/>
        <v>3.4558439999999996E-2</v>
      </c>
      <c r="Y57" s="694">
        <f t="shared" si="36"/>
        <v>1.1455999999999999E-3</v>
      </c>
      <c r="Z57" s="694">
        <f t="shared" si="37"/>
        <v>1.1200000000000001</v>
      </c>
      <c r="AA57" s="694">
        <f t="shared" si="38"/>
        <v>0.14187617999999999</v>
      </c>
    </row>
    <row r="58" spans="1:27" x14ac:dyDescent="0.2">
      <c r="A58" s="456" t="s">
        <v>869</v>
      </c>
      <c r="B58" s="456">
        <v>515</v>
      </c>
      <c r="C58" s="456">
        <v>14</v>
      </c>
      <c r="D58" s="697">
        <v>53.4</v>
      </c>
      <c r="E58" s="697">
        <v>27.3</v>
      </c>
      <c r="F58" s="456">
        <v>140</v>
      </c>
      <c r="G58" s="456">
        <v>507</v>
      </c>
      <c r="H58" s="456">
        <v>390</v>
      </c>
      <c r="I58" s="456">
        <v>218</v>
      </c>
      <c r="J58" s="456">
        <v>40</v>
      </c>
      <c r="K58" s="699">
        <v>6</v>
      </c>
      <c r="L58" s="698">
        <v>9.8000000000000007</v>
      </c>
      <c r="M58" s="698">
        <v>310</v>
      </c>
      <c r="N58" s="703"/>
      <c r="O58" s="695" t="str">
        <f t="shared" si="39"/>
        <v>Nutrilon Pepti Junior pdr</v>
      </c>
      <c r="P58" s="694">
        <f t="shared" si="27"/>
        <v>5.15</v>
      </c>
      <c r="Q58" s="694">
        <f t="shared" si="28"/>
        <v>0.14000000000000001</v>
      </c>
      <c r="R58" s="694">
        <f t="shared" si="29"/>
        <v>0.53400000000000003</v>
      </c>
      <c r="S58" s="694">
        <f t="shared" si="30"/>
        <v>0.27300000000000002</v>
      </c>
      <c r="T58" s="694">
        <f t="shared" si="31"/>
        <v>6.0869199999999998E-2</v>
      </c>
      <c r="U58" s="694">
        <f t="shared" si="32"/>
        <v>0.12999987000000002</v>
      </c>
      <c r="V58" s="694">
        <f t="shared" si="33"/>
        <v>9.7110000000000002E-2</v>
      </c>
      <c r="W58" s="694">
        <f t="shared" si="34"/>
        <v>7.0390019999999998E-2</v>
      </c>
      <c r="X58" s="694">
        <f t="shared" si="35"/>
        <v>1.6456399999999996E-2</v>
      </c>
      <c r="Y58" s="694">
        <f t="shared" si="36"/>
        <v>1.0739999999999999E-3</v>
      </c>
      <c r="Z58" s="694">
        <f t="shared" si="37"/>
        <v>3.92</v>
      </c>
      <c r="AA58" s="694">
        <f t="shared" si="38"/>
        <v>8.7438599999999991E-2</v>
      </c>
    </row>
    <row r="59" spans="1:27" x14ac:dyDescent="0.2">
      <c r="A59" s="456" t="s">
        <v>870</v>
      </c>
      <c r="B59" s="456">
        <v>474</v>
      </c>
      <c r="C59" s="456">
        <v>15.6</v>
      </c>
      <c r="D59" s="697">
        <v>22.9</v>
      </c>
      <c r="E59" s="697">
        <v>49.8</v>
      </c>
      <c r="F59" s="456">
        <v>415</v>
      </c>
      <c r="G59" s="456">
        <v>474</v>
      </c>
      <c r="H59" s="456">
        <v>593</v>
      </c>
      <c r="I59" s="456">
        <v>332</v>
      </c>
      <c r="J59" s="698">
        <v>47</v>
      </c>
      <c r="K59" s="697">
        <v>9.5</v>
      </c>
      <c r="L59" s="456">
        <v>18</v>
      </c>
      <c r="M59" s="456">
        <v>504</v>
      </c>
      <c r="N59" s="695"/>
      <c r="O59" s="695" t="str">
        <f t="shared" si="39"/>
        <v>Nutrilon Nenatal Start pdr</v>
      </c>
      <c r="P59" s="694">
        <f t="shared" si="27"/>
        <v>4.74</v>
      </c>
      <c r="Q59" s="694">
        <f t="shared" si="28"/>
        <v>0.156</v>
      </c>
      <c r="R59" s="694">
        <f t="shared" si="29"/>
        <v>0.22899999999999998</v>
      </c>
      <c r="S59" s="694">
        <f t="shared" si="30"/>
        <v>0.498</v>
      </c>
      <c r="T59" s="694">
        <f t="shared" si="31"/>
        <v>0.1804337</v>
      </c>
      <c r="U59" s="694">
        <f t="shared" si="32"/>
        <v>0.12153833999999999</v>
      </c>
      <c r="V59" s="694">
        <f t="shared" si="33"/>
        <v>0.14765699999999998</v>
      </c>
      <c r="W59" s="694">
        <f t="shared" si="34"/>
        <v>0.10719947999999999</v>
      </c>
      <c r="X59" s="694">
        <f t="shared" si="35"/>
        <v>1.9336269999999999E-2</v>
      </c>
      <c r="Y59" s="694">
        <f t="shared" si="36"/>
        <v>1.7004999999999998E-3</v>
      </c>
      <c r="Z59" s="694">
        <f t="shared" si="37"/>
        <v>7.2</v>
      </c>
      <c r="AA59" s="694">
        <f t="shared" si="38"/>
        <v>0.14215823999999999</v>
      </c>
    </row>
    <row r="60" spans="1:27" x14ac:dyDescent="0.2">
      <c r="A60" s="456" t="s">
        <v>857</v>
      </c>
      <c r="B60" s="456">
        <v>491</v>
      </c>
      <c r="C60" s="456">
        <v>13.4</v>
      </c>
      <c r="D60" s="697">
        <v>49.1</v>
      </c>
      <c r="E60" s="697">
        <v>26</v>
      </c>
      <c r="F60" s="456">
        <v>183</v>
      </c>
      <c r="G60" s="456">
        <v>504</v>
      </c>
      <c r="H60" s="456">
        <v>569</v>
      </c>
      <c r="I60" s="456">
        <v>308</v>
      </c>
      <c r="J60" s="698">
        <v>46</v>
      </c>
      <c r="K60" s="697">
        <v>7.9</v>
      </c>
      <c r="L60" s="456">
        <v>11</v>
      </c>
      <c r="M60" s="456">
        <v>360</v>
      </c>
      <c r="N60" s="695"/>
      <c r="O60" s="695" t="str">
        <f t="shared" si="39"/>
        <v>Nutrilon Nenatal 1</v>
      </c>
      <c r="P60" s="694">
        <f t="shared" si="27"/>
        <v>4.91</v>
      </c>
      <c r="Q60" s="694">
        <f t="shared" si="28"/>
        <v>0.13400000000000001</v>
      </c>
      <c r="R60" s="694">
        <f t="shared" si="29"/>
        <v>0.49099999999999999</v>
      </c>
      <c r="S60" s="694">
        <f t="shared" si="30"/>
        <v>0.26</v>
      </c>
      <c r="T60" s="694">
        <f t="shared" si="31"/>
        <v>7.9564740000000009E-2</v>
      </c>
      <c r="U60" s="694">
        <f t="shared" si="32"/>
        <v>0.12923064000000001</v>
      </c>
      <c r="V60" s="694">
        <f t="shared" si="33"/>
        <v>0.141681</v>
      </c>
      <c r="W60" s="694">
        <f t="shared" si="34"/>
        <v>9.9450120000000003E-2</v>
      </c>
      <c r="X60" s="694">
        <f t="shared" si="35"/>
        <v>1.8924859999999998E-2</v>
      </c>
      <c r="Y60" s="694">
        <f t="shared" si="36"/>
        <v>1.4141000000000002E-3</v>
      </c>
      <c r="Z60" s="694">
        <f t="shared" si="37"/>
        <v>4.4000000000000004</v>
      </c>
      <c r="AA60" s="694">
        <f t="shared" si="38"/>
        <v>0.1015416</v>
      </c>
    </row>
    <row r="61" spans="1:27" x14ac:dyDescent="0.2">
      <c r="A61" s="698" t="s">
        <v>871</v>
      </c>
      <c r="B61" s="456">
        <v>338</v>
      </c>
      <c r="C61" s="456">
        <v>82.1</v>
      </c>
      <c r="D61" s="697">
        <v>2.2000000000000002</v>
      </c>
      <c r="E61" s="697">
        <v>0.1</v>
      </c>
      <c r="F61" s="456">
        <v>776</v>
      </c>
      <c r="G61" s="456">
        <v>1226</v>
      </c>
      <c r="H61" s="456">
        <v>524</v>
      </c>
      <c r="I61" s="456">
        <v>516</v>
      </c>
      <c r="J61" s="456">
        <v>46</v>
      </c>
      <c r="K61" s="697">
        <v>0</v>
      </c>
      <c r="L61" s="456">
        <v>0</v>
      </c>
      <c r="M61" s="456">
        <v>66</v>
      </c>
      <c r="N61" s="695"/>
      <c r="O61" s="695" t="str">
        <f t="shared" si="39"/>
        <v>Nutrilon Nenatal Protein Fortifier</v>
      </c>
      <c r="P61" s="694">
        <f t="shared" si="27"/>
        <v>3.38</v>
      </c>
      <c r="Q61" s="694">
        <f t="shared" si="28"/>
        <v>0.82099999999999995</v>
      </c>
      <c r="R61" s="694">
        <f t="shared" si="29"/>
        <v>2.2000000000000002E-2</v>
      </c>
      <c r="S61" s="694">
        <f t="shared" si="30"/>
        <v>1E-3</v>
      </c>
      <c r="T61" s="694">
        <f t="shared" si="31"/>
        <v>0.33738928000000001</v>
      </c>
      <c r="U61" s="694">
        <f t="shared" si="32"/>
        <v>0.31435866000000001</v>
      </c>
      <c r="V61" s="694">
        <f t="shared" si="33"/>
        <v>0.13047599999999998</v>
      </c>
      <c r="W61" s="694">
        <f t="shared" si="34"/>
        <v>0.16661123999999997</v>
      </c>
      <c r="X61" s="694">
        <f t="shared" si="35"/>
        <v>1.8924859999999998E-2</v>
      </c>
      <c r="Y61" s="694">
        <f t="shared" si="36"/>
        <v>0</v>
      </c>
      <c r="Z61" s="694">
        <f t="shared" si="37"/>
        <v>0</v>
      </c>
      <c r="AA61" s="694">
        <f t="shared" si="38"/>
        <v>1.8615959999999997E-2</v>
      </c>
    </row>
    <row r="62" spans="1:27" x14ac:dyDescent="0.2">
      <c r="A62" s="698" t="s">
        <v>872</v>
      </c>
      <c r="B62" s="698">
        <v>450</v>
      </c>
      <c r="C62" s="698">
        <v>0</v>
      </c>
      <c r="D62" s="699">
        <v>0</v>
      </c>
      <c r="E62" s="699">
        <v>50</v>
      </c>
      <c r="F62" s="698">
        <v>7</v>
      </c>
      <c r="G62" s="698">
        <v>0</v>
      </c>
      <c r="H62" s="698">
        <v>0</v>
      </c>
      <c r="I62" s="698">
        <v>0</v>
      </c>
      <c r="J62" s="698">
        <v>0</v>
      </c>
      <c r="K62" s="699">
        <v>0</v>
      </c>
      <c r="L62" s="698">
        <v>0</v>
      </c>
      <c r="M62" s="698">
        <v>0.1</v>
      </c>
      <c r="N62" s="703"/>
      <c r="O62" s="695" t="str">
        <f t="shared" si="39"/>
        <v>Calogen neutraal</v>
      </c>
      <c r="P62" s="694">
        <f t="shared" si="27"/>
        <v>4.5</v>
      </c>
      <c r="Q62" s="694">
        <f t="shared" si="28"/>
        <v>0</v>
      </c>
      <c r="R62" s="694">
        <f t="shared" si="29"/>
        <v>0</v>
      </c>
      <c r="S62" s="694">
        <f t="shared" si="30"/>
        <v>0.5</v>
      </c>
      <c r="T62" s="694">
        <f t="shared" si="31"/>
        <v>3.04346E-3</v>
      </c>
      <c r="U62" s="694">
        <f t="shared" si="32"/>
        <v>0</v>
      </c>
      <c r="V62" s="694">
        <f t="shared" si="33"/>
        <v>0</v>
      </c>
      <c r="W62" s="694">
        <f t="shared" si="34"/>
        <v>0</v>
      </c>
      <c r="X62" s="694">
        <f t="shared" si="35"/>
        <v>0</v>
      </c>
      <c r="Y62" s="694">
        <f t="shared" si="36"/>
        <v>0</v>
      </c>
      <c r="Z62" s="694">
        <f t="shared" si="37"/>
        <v>0</v>
      </c>
      <c r="AA62" s="694">
        <f t="shared" si="38"/>
        <v>2.8206000000000001E-5</v>
      </c>
    </row>
    <row r="63" spans="1:27" x14ac:dyDescent="0.2">
      <c r="A63" s="698" t="s">
        <v>873</v>
      </c>
      <c r="B63" s="698">
        <v>450</v>
      </c>
      <c r="C63" s="698">
        <v>0</v>
      </c>
      <c r="D63" s="699">
        <v>0</v>
      </c>
      <c r="E63" s="699">
        <v>50</v>
      </c>
      <c r="F63" s="698">
        <v>5</v>
      </c>
      <c r="G63" s="698">
        <v>0.1</v>
      </c>
      <c r="H63" s="698">
        <v>0.3</v>
      </c>
      <c r="I63" s="698">
        <v>0</v>
      </c>
      <c r="J63" s="698">
        <v>0</v>
      </c>
      <c r="K63" s="699">
        <v>0</v>
      </c>
      <c r="L63" s="698">
        <v>0</v>
      </c>
      <c r="M63" s="698">
        <v>0.01</v>
      </c>
      <c r="N63" s="703"/>
      <c r="O63" s="695" t="str">
        <f t="shared" si="39"/>
        <v>Liquigen</v>
      </c>
      <c r="P63" s="694">
        <f t="shared" si="27"/>
        <v>4.5</v>
      </c>
      <c r="Q63" s="694">
        <f t="shared" si="28"/>
        <v>0</v>
      </c>
      <c r="R63" s="694">
        <f t="shared" si="29"/>
        <v>0</v>
      </c>
      <c r="S63" s="694">
        <f t="shared" si="30"/>
        <v>0.5</v>
      </c>
      <c r="T63" s="694">
        <f t="shared" si="31"/>
        <v>2.1739000000000003E-3</v>
      </c>
      <c r="U63" s="694">
        <f t="shared" si="32"/>
        <v>2.5641000000000001E-5</v>
      </c>
      <c r="V63" s="694">
        <f t="shared" si="33"/>
        <v>7.4699999999999986E-5</v>
      </c>
      <c r="W63" s="694">
        <f t="shared" si="34"/>
        <v>0</v>
      </c>
      <c r="X63" s="694">
        <f t="shared" si="35"/>
        <v>0</v>
      </c>
      <c r="Y63" s="694">
        <f t="shared" si="36"/>
        <v>0</v>
      </c>
      <c r="Z63" s="694">
        <f t="shared" si="37"/>
        <v>0</v>
      </c>
      <c r="AA63" s="694">
        <f t="shared" si="38"/>
        <v>2.8205999999999997E-6</v>
      </c>
    </row>
    <row r="64" spans="1:27" x14ac:dyDescent="0.2">
      <c r="A64" s="698" t="s">
        <v>524</v>
      </c>
      <c r="B64" s="698">
        <v>384</v>
      </c>
      <c r="C64" s="698">
        <v>0</v>
      </c>
      <c r="D64" s="699">
        <v>96</v>
      </c>
      <c r="E64" s="699">
        <v>0</v>
      </c>
      <c r="F64" s="698">
        <v>2</v>
      </c>
      <c r="G64" s="698">
        <v>0</v>
      </c>
      <c r="H64" s="698">
        <v>0</v>
      </c>
      <c r="I64" s="698">
        <v>0</v>
      </c>
      <c r="J64" s="698">
        <v>0</v>
      </c>
      <c r="K64" s="699">
        <v>0</v>
      </c>
      <c r="L64" s="698">
        <v>0</v>
      </c>
      <c r="M64" s="698">
        <v>0</v>
      </c>
      <c r="N64" s="703"/>
      <c r="O64" s="695" t="str">
        <f t="shared" si="39"/>
        <v>Fantomalt</v>
      </c>
      <c r="P64" s="694">
        <f t="shared" si="27"/>
        <v>3.84</v>
      </c>
      <c r="Q64" s="694">
        <f t="shared" si="28"/>
        <v>0</v>
      </c>
      <c r="R64" s="694">
        <f t="shared" si="29"/>
        <v>0.96</v>
      </c>
      <c r="S64" s="694">
        <f t="shared" si="30"/>
        <v>0</v>
      </c>
      <c r="T64" s="694">
        <f t="shared" si="31"/>
        <v>8.6956000000000002E-4</v>
      </c>
      <c r="U64" s="694">
        <f t="shared" si="32"/>
        <v>0</v>
      </c>
      <c r="V64" s="694">
        <f t="shared" si="33"/>
        <v>0</v>
      </c>
      <c r="W64" s="694">
        <f t="shared" si="34"/>
        <v>0</v>
      </c>
      <c r="X64" s="694">
        <f t="shared" si="35"/>
        <v>0</v>
      </c>
      <c r="Y64" s="694">
        <f t="shared" si="36"/>
        <v>0</v>
      </c>
      <c r="Z64" s="694">
        <f t="shared" si="37"/>
        <v>0</v>
      </c>
      <c r="AA64" s="694">
        <f t="shared" si="38"/>
        <v>0</v>
      </c>
    </row>
    <row r="65" spans="1:27" x14ac:dyDescent="0.2">
      <c r="A65" s="698" t="s">
        <v>874</v>
      </c>
      <c r="B65" s="698">
        <v>493</v>
      </c>
      <c r="C65" s="698">
        <v>11.6</v>
      </c>
      <c r="D65" s="699">
        <v>51.8</v>
      </c>
      <c r="E65" s="705">
        <v>25.7</v>
      </c>
      <c r="F65" s="698">
        <v>150</v>
      </c>
      <c r="G65" s="698">
        <v>598</v>
      </c>
      <c r="H65" s="698">
        <v>346</v>
      </c>
      <c r="I65" s="698">
        <v>191</v>
      </c>
      <c r="J65" s="698">
        <v>39</v>
      </c>
      <c r="K65" s="699">
        <v>3.9</v>
      </c>
      <c r="L65" s="706">
        <v>9.4</v>
      </c>
      <c r="M65" s="706">
        <v>290</v>
      </c>
      <c r="N65" s="707"/>
      <c r="O65" s="695" t="str">
        <f t="shared" si="39"/>
        <v>Nutrilon Pepti 1 pdr</v>
      </c>
      <c r="P65" s="694">
        <f t="shared" si="27"/>
        <v>4.93</v>
      </c>
      <c r="Q65" s="694">
        <f t="shared" si="28"/>
        <v>0.11599999999999999</v>
      </c>
      <c r="R65" s="694">
        <f t="shared" si="29"/>
        <v>0.51800000000000002</v>
      </c>
      <c r="S65" s="694">
        <f t="shared" si="30"/>
        <v>0.25700000000000001</v>
      </c>
      <c r="T65" s="694">
        <f t="shared" si="31"/>
        <v>6.5216999999999997E-2</v>
      </c>
      <c r="U65" s="694">
        <f t="shared" si="32"/>
        <v>0.15333318000000001</v>
      </c>
      <c r="V65" s="694">
        <f t="shared" si="33"/>
        <v>8.6153999999999994E-2</v>
      </c>
      <c r="W65" s="694">
        <f t="shared" si="34"/>
        <v>6.1671990000000003E-2</v>
      </c>
      <c r="X65" s="694">
        <f t="shared" si="35"/>
        <v>1.6044989999999999E-2</v>
      </c>
      <c r="Y65" s="694">
        <f t="shared" si="36"/>
        <v>6.981E-4</v>
      </c>
      <c r="Z65" s="694">
        <f t="shared" si="37"/>
        <v>3.76</v>
      </c>
      <c r="AA65" s="694">
        <f t="shared" si="38"/>
        <v>8.1797399999999992E-2</v>
      </c>
    </row>
    <row r="66" spans="1:27" x14ac:dyDescent="0.2">
      <c r="A66" s="698" t="s">
        <v>875</v>
      </c>
      <c r="B66" s="698">
        <v>483</v>
      </c>
      <c r="C66" s="698">
        <v>11</v>
      </c>
      <c r="D66" s="699">
        <v>52.5</v>
      </c>
      <c r="E66" s="699">
        <v>24.6</v>
      </c>
      <c r="F66" s="698">
        <v>181</v>
      </c>
      <c r="G66" s="698">
        <v>530</v>
      </c>
      <c r="H66" s="698">
        <v>339</v>
      </c>
      <c r="I66" s="698">
        <v>190</v>
      </c>
      <c r="J66" s="698">
        <v>37</v>
      </c>
      <c r="K66" s="699">
        <v>3.9</v>
      </c>
      <c r="L66" s="706">
        <v>8.8000000000000007</v>
      </c>
      <c r="M66" s="706">
        <v>302</v>
      </c>
      <c r="N66" s="707"/>
      <c r="O66" s="695" t="str">
        <f t="shared" si="39"/>
        <v>Nutrilon Hypoallergeen 1 pdr</v>
      </c>
      <c r="P66" s="694">
        <f t="shared" si="27"/>
        <v>4.83</v>
      </c>
      <c r="Q66" s="694">
        <f t="shared" si="28"/>
        <v>0.11</v>
      </c>
      <c r="R66" s="694">
        <f t="shared" si="29"/>
        <v>0.52500000000000002</v>
      </c>
      <c r="S66" s="694">
        <f t="shared" si="30"/>
        <v>0.24600000000000002</v>
      </c>
      <c r="T66" s="694">
        <f t="shared" si="31"/>
        <v>7.8695180000000003E-2</v>
      </c>
      <c r="U66" s="694">
        <f t="shared" si="32"/>
        <v>0.1358973</v>
      </c>
      <c r="V66" s="694">
        <f t="shared" si="33"/>
        <v>8.4410999999999986E-2</v>
      </c>
      <c r="W66" s="694">
        <f t="shared" si="34"/>
        <v>6.1349099999999997E-2</v>
      </c>
      <c r="X66" s="694">
        <f t="shared" si="35"/>
        <v>1.522217E-2</v>
      </c>
      <c r="Y66" s="694">
        <f t="shared" si="36"/>
        <v>6.981E-4</v>
      </c>
      <c r="Z66" s="694">
        <f t="shared" si="37"/>
        <v>3.52</v>
      </c>
      <c r="AA66" s="694">
        <f t="shared" si="38"/>
        <v>8.518212E-2</v>
      </c>
    </row>
    <row r="67" spans="1:27" x14ac:dyDescent="0.2">
      <c r="A67" s="698" t="s">
        <v>876</v>
      </c>
      <c r="B67" s="698">
        <v>483</v>
      </c>
      <c r="C67" s="698">
        <v>13</v>
      </c>
      <c r="D67" s="699">
        <v>52.5</v>
      </c>
      <c r="E67" s="699">
        <v>24.5</v>
      </c>
      <c r="F67" s="698">
        <v>189</v>
      </c>
      <c r="G67" s="698">
        <v>525</v>
      </c>
      <c r="H67" s="698">
        <v>475</v>
      </c>
      <c r="I67" s="698">
        <v>341</v>
      </c>
      <c r="J67" s="698">
        <v>51</v>
      </c>
      <c r="K67" s="699">
        <v>7.25</v>
      </c>
      <c r="L67" s="706">
        <v>8.8000000000000007</v>
      </c>
      <c r="M67" s="706">
        <v>386</v>
      </c>
      <c r="N67" s="707"/>
      <c r="O67" s="695" t="str">
        <f t="shared" si="39"/>
        <v>Neocate LCP</v>
      </c>
      <c r="P67" s="694">
        <f t="shared" si="27"/>
        <v>4.83</v>
      </c>
      <c r="Q67" s="694">
        <f t="shared" si="28"/>
        <v>0.13</v>
      </c>
      <c r="R67" s="694">
        <f t="shared" si="29"/>
        <v>0.52500000000000002</v>
      </c>
      <c r="S67" s="694">
        <f t="shared" si="30"/>
        <v>0.245</v>
      </c>
      <c r="T67" s="694">
        <f t="shared" si="31"/>
        <v>8.2173419999999997E-2</v>
      </c>
      <c r="U67" s="694">
        <f t="shared" si="32"/>
        <v>0.13461524999999999</v>
      </c>
      <c r="V67" s="694">
        <f t="shared" si="33"/>
        <v>0.11827499999999999</v>
      </c>
      <c r="W67" s="694">
        <f t="shared" si="34"/>
        <v>0.11010548999999999</v>
      </c>
      <c r="X67" s="694">
        <f t="shared" si="35"/>
        <v>2.0981909999999999E-2</v>
      </c>
      <c r="Y67" s="694">
        <f t="shared" si="36"/>
        <v>1.2977500000000001E-3</v>
      </c>
      <c r="Z67" s="694">
        <f t="shared" si="37"/>
        <v>3.52</v>
      </c>
      <c r="AA67" s="694">
        <f t="shared" si="38"/>
        <v>0.10887516</v>
      </c>
    </row>
    <row r="68" spans="1:27" x14ac:dyDescent="0.2">
      <c r="A68" s="698" t="s">
        <v>877</v>
      </c>
      <c r="B68" s="698">
        <v>475</v>
      </c>
      <c r="C68" s="698">
        <v>13.3</v>
      </c>
      <c r="D68" s="699">
        <v>56</v>
      </c>
      <c r="E68" s="699">
        <v>22</v>
      </c>
      <c r="F68" s="698">
        <v>285</v>
      </c>
      <c r="G68" s="698">
        <v>546</v>
      </c>
      <c r="H68" s="698">
        <v>428</v>
      </c>
      <c r="I68" s="698">
        <v>309</v>
      </c>
      <c r="J68" s="698">
        <v>66.5</v>
      </c>
      <c r="K68" s="699">
        <v>5.7</v>
      </c>
      <c r="L68" s="698">
        <v>6.2</v>
      </c>
      <c r="M68" s="698">
        <v>437</v>
      </c>
      <c r="N68" s="703"/>
      <c r="O68" s="695" t="str">
        <f t="shared" si="39"/>
        <v>Neocate Junior</v>
      </c>
      <c r="P68" s="694">
        <f t="shared" si="27"/>
        <v>4.75</v>
      </c>
      <c r="Q68" s="694">
        <f t="shared" si="28"/>
        <v>0.13300000000000001</v>
      </c>
      <c r="R68" s="694">
        <f t="shared" si="29"/>
        <v>0.56000000000000005</v>
      </c>
      <c r="S68" s="694">
        <f t="shared" si="30"/>
        <v>0.22</v>
      </c>
      <c r="T68" s="694">
        <f t="shared" si="31"/>
        <v>0.1239123</v>
      </c>
      <c r="U68" s="694">
        <f t="shared" si="32"/>
        <v>0.13999986</v>
      </c>
      <c r="V68" s="694">
        <f t="shared" si="33"/>
        <v>0.106572</v>
      </c>
      <c r="W68" s="694">
        <f t="shared" si="34"/>
        <v>9.9773009999999995E-2</v>
      </c>
      <c r="X68" s="694">
        <f t="shared" si="35"/>
        <v>2.7358764999999997E-2</v>
      </c>
      <c r="Y68" s="694">
        <f t="shared" si="36"/>
        <v>1.0203E-3</v>
      </c>
      <c r="Z68" s="694">
        <f t="shared" si="37"/>
        <v>2.48</v>
      </c>
      <c r="AA68" s="694">
        <f t="shared" si="38"/>
        <v>0.12326022</v>
      </c>
    </row>
    <row r="69" spans="1:27" x14ac:dyDescent="0.2">
      <c r="A69" s="698" t="s">
        <v>952</v>
      </c>
      <c r="B69" s="702">
        <v>484</v>
      </c>
      <c r="C69" s="702">
        <v>9.6999999999999993</v>
      </c>
      <c r="D69" s="702">
        <v>53.8</v>
      </c>
      <c r="E69" s="702">
        <v>24.7</v>
      </c>
      <c r="F69" s="702">
        <v>125</v>
      </c>
      <c r="G69" s="702">
        <v>501</v>
      </c>
      <c r="H69" s="702">
        <v>418</v>
      </c>
      <c r="I69" s="702">
        <v>237</v>
      </c>
      <c r="J69" s="702">
        <v>37</v>
      </c>
      <c r="K69" s="702">
        <v>3.9</v>
      </c>
      <c r="L69" s="702">
        <v>8.6999999999999993</v>
      </c>
      <c r="M69" s="702">
        <v>304</v>
      </c>
      <c r="O69" s="695" t="str">
        <f t="shared" si="39"/>
        <v>Nutrilon 1</v>
      </c>
      <c r="P69" s="694">
        <f t="shared" si="27"/>
        <v>4.84</v>
      </c>
      <c r="Q69" s="694">
        <f t="shared" si="28"/>
        <v>9.6999999999999989E-2</v>
      </c>
      <c r="R69" s="694">
        <f t="shared" si="29"/>
        <v>0.53799999999999992</v>
      </c>
      <c r="S69" s="694">
        <f t="shared" si="30"/>
        <v>0.247</v>
      </c>
      <c r="T69" s="694">
        <f t="shared" si="31"/>
        <v>5.43475E-2</v>
      </c>
      <c r="U69" s="694">
        <f t="shared" si="32"/>
        <v>0.12846141</v>
      </c>
      <c r="V69" s="694">
        <f t="shared" si="33"/>
        <v>0.10408199999999999</v>
      </c>
      <c r="W69" s="694">
        <f t="shared" si="34"/>
        <v>7.6524929999999991E-2</v>
      </c>
      <c r="X69" s="694">
        <f t="shared" si="35"/>
        <v>1.522217E-2</v>
      </c>
      <c r="Y69" s="694">
        <f t="shared" si="36"/>
        <v>6.981E-4</v>
      </c>
      <c r="Z69" s="694">
        <f t="shared" si="37"/>
        <v>3.48</v>
      </c>
      <c r="AA69" s="694">
        <f t="shared" si="38"/>
        <v>8.5746240000000001E-2</v>
      </c>
    </row>
    <row r="70" spans="1:27" x14ac:dyDescent="0.2">
      <c r="A70" s="698" t="s">
        <v>929</v>
      </c>
      <c r="B70" s="702">
        <v>318</v>
      </c>
      <c r="C70" s="702">
        <v>0</v>
      </c>
      <c r="D70" s="702">
        <v>66.2</v>
      </c>
      <c r="E70" s="702">
        <v>0.3</v>
      </c>
      <c r="F70" s="702">
        <v>6</v>
      </c>
      <c r="G70" s="702">
        <v>91</v>
      </c>
      <c r="H70" s="702">
        <v>335</v>
      </c>
      <c r="I70" s="702">
        <v>12</v>
      </c>
      <c r="J70" s="702">
        <v>9.1</v>
      </c>
      <c r="K70" s="702">
        <v>8.8000000000000007</v>
      </c>
      <c r="L70" s="702">
        <v>0</v>
      </c>
      <c r="M70" s="702">
        <v>109</v>
      </c>
      <c r="O70" s="695" t="str">
        <f t="shared" si="39"/>
        <v>Nutriton</v>
      </c>
      <c r="P70" s="694">
        <f t="shared" si="27"/>
        <v>3.18</v>
      </c>
      <c r="Q70" s="694">
        <f t="shared" si="28"/>
        <v>0</v>
      </c>
      <c r="R70" s="694">
        <f t="shared" si="29"/>
        <v>0.66200000000000003</v>
      </c>
      <c r="S70" s="694">
        <f t="shared" si="30"/>
        <v>3.0000000000000001E-3</v>
      </c>
      <c r="T70" s="694">
        <f t="shared" si="31"/>
        <v>2.6086799999999999E-3</v>
      </c>
      <c r="U70" s="694">
        <f t="shared" si="32"/>
        <v>2.3333310000000003E-2</v>
      </c>
      <c r="V70" s="694">
        <f t="shared" si="33"/>
        <v>8.3415000000000003E-2</v>
      </c>
      <c r="W70" s="694">
        <f t="shared" si="34"/>
        <v>3.8746799999999997E-3</v>
      </c>
      <c r="X70" s="694">
        <f t="shared" si="35"/>
        <v>3.7438309999999995E-3</v>
      </c>
      <c r="Y70" s="694">
        <f t="shared" si="36"/>
        <v>1.5751999999999999E-3</v>
      </c>
      <c r="Z70" s="694">
        <f t="shared" si="37"/>
        <v>0</v>
      </c>
      <c r="AA70" s="694">
        <f t="shared" si="38"/>
        <v>3.0744539999999997E-2</v>
      </c>
    </row>
    <row r="71" spans="1:27" x14ac:dyDescent="0.2">
      <c r="A71" s="703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51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51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341</v>
      </c>
      <c r="E17" t="s">
        <v>342</v>
      </c>
      <c r="F17" s="15">
        <f ca="1">TODAY()-__4_GebDatum+1</f>
        <v>41294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343</v>
      </c>
      <c r="F18">
        <f>_Pat_Gewicht/10</f>
        <v>1</v>
      </c>
    </row>
    <row r="20" spans="1:6" x14ac:dyDescent="0.2">
      <c r="A20" t="s">
        <v>110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C1" sqref="C1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51" t="s">
        <v>289</v>
      </c>
      <c r="B1" s="129" t="s">
        <v>425</v>
      </c>
      <c r="C1" s="128" t="str">
        <f>PedPrtAfspr!F2&amp;" geb: "&amp;TEXT(PedPrtAfspr!F3,"dd-mmm-jj")&amp;". Gewicht: "&amp;ROUND(_Pat_Gewicht/10,1)&amp;" kg"</f>
        <v>,  geb: 01-jan-04. Gewicht: 1 kg</v>
      </c>
    </row>
    <row r="2" spans="1:3 4305:4305" x14ac:dyDescent="0.2">
      <c r="A2" t="s">
        <v>289</v>
      </c>
      <c r="B2" s="130" t="s">
        <v>426</v>
      </c>
      <c r="C2" s="128">
        <f>__2_AchterNaam</f>
        <v>0</v>
      </c>
      <c r="FIO2">
        <v>30</v>
      </c>
    </row>
    <row r="3" spans="1:3 4305:4305" x14ac:dyDescent="0.2">
      <c r="A3" t="s">
        <v>289</v>
      </c>
      <c r="B3" s="130" t="s">
        <v>427</v>
      </c>
      <c r="C3" s="128">
        <f>__3_VoorNaam</f>
        <v>0</v>
      </c>
    </row>
    <row r="4" spans="1:3 4305:4305" x14ac:dyDescent="0.2">
      <c r="A4" t="s">
        <v>289</v>
      </c>
      <c r="B4" s="130" t="s">
        <v>428</v>
      </c>
      <c r="C4" s="128" t="str">
        <f>TEXT(PedPrtAfspr!F3,"dd-mmm-jj")</f>
        <v>01-jan-04</v>
      </c>
    </row>
    <row r="5" spans="1:3 4305:4305" x14ac:dyDescent="0.2">
      <c r="A5" t="s">
        <v>289</v>
      </c>
      <c r="B5" s="130" t="s">
        <v>429</v>
      </c>
      <c r="C5" s="17">
        <f>__0_PatNum</f>
        <v>0</v>
      </c>
    </row>
    <row r="6" spans="1:3 4305:4305" x14ac:dyDescent="0.2">
      <c r="A6" s="351" t="s">
        <v>444</v>
      </c>
      <c r="B6" s="130" t="s">
        <v>425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5 50 mg in 50 ml  0,8 ml/uur (=10,6664 microg/kg/min), totaal 19,2 ml </v>
      </c>
    </row>
    <row r="7" spans="1:3 4305:4305" x14ac:dyDescent="0.2">
      <c r="A7" t="s">
        <v>444</v>
      </c>
      <c r="B7" s="130" t="s">
        <v>426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444</v>
      </c>
      <c r="B8" s="130" t="s">
        <v>427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444</v>
      </c>
      <c r="B9" s="129" t="s">
        <v>428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444</v>
      </c>
      <c r="B10" s="129" t="s">
        <v>429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444</v>
      </c>
      <c r="B11" s="129" t="s">
        <v>430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444</v>
      </c>
      <c r="B12" s="129" t="s">
        <v>431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6 0,15 mg in 50 ml  0,3 ml/uur (=0,27 microg/kg/uur), totaal 7,2 ml </v>
      </c>
    </row>
    <row r="13" spans="1:3 4305:4305" x14ac:dyDescent="0.2">
      <c r="A13" t="s">
        <v>444</v>
      </c>
      <c r="B13" s="129" t="s">
        <v>432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444</v>
      </c>
      <c r="B14" s="129" t="s">
        <v>433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444</v>
      </c>
      <c r="B15" s="129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444</v>
      </c>
      <c r="B16" s="129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444</v>
      </c>
      <c r="B17" s="129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444</v>
      </c>
      <c r="B18" s="129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444</v>
      </c>
      <c r="B19" s="129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444</v>
      </c>
      <c r="B20" s="129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444</v>
      </c>
      <c r="B21" s="129">
        <v>16</v>
      </c>
      <c r="C21" t="e">
        <f>IF(GlobBerOpm!#REF!&lt;&gt;0,PedPrtAfspr!C67&amp;" "&amp;GlobBerOpm!#REF!,"")</f>
        <v>#REF!</v>
      </c>
    </row>
    <row r="22" spans="1:6" x14ac:dyDescent="0.2">
      <c r="A22" t="s">
        <v>445</v>
      </c>
      <c r="B22" s="129" t="s">
        <v>425</v>
      </c>
      <c r="C22" t="str">
        <f>GlobBerMedDisc!AC2</f>
        <v/>
      </c>
    </row>
    <row r="23" spans="1:6" x14ac:dyDescent="0.2">
      <c r="A23" t="s">
        <v>445</v>
      </c>
      <c r="B23" s="129" t="s">
        <v>426</v>
      </c>
      <c r="C23" t="str">
        <f>GlobBerMedDisc!AC3</f>
        <v/>
      </c>
    </row>
    <row r="24" spans="1:6" x14ac:dyDescent="0.2">
      <c r="A24" t="s">
        <v>445</v>
      </c>
      <c r="B24" s="129" t="s">
        <v>427</v>
      </c>
      <c r="C24" t="str">
        <f>GlobBerMedDisc!AC4</f>
        <v/>
      </c>
    </row>
    <row r="25" spans="1:6" x14ac:dyDescent="0.2">
      <c r="A25" t="s">
        <v>445</v>
      </c>
      <c r="B25" s="129" t="s">
        <v>428</v>
      </c>
      <c r="C25" t="str">
        <f>GlobBerMedDisc!AC5</f>
        <v/>
      </c>
    </row>
    <row r="26" spans="1:6" x14ac:dyDescent="0.2">
      <c r="A26" t="s">
        <v>445</v>
      </c>
      <c r="B26" s="129" t="s">
        <v>429</v>
      </c>
      <c r="C26" t="str">
        <f>GlobBerMedDisc!AC6</f>
        <v/>
      </c>
    </row>
    <row r="27" spans="1:6" x14ac:dyDescent="0.2">
      <c r="A27" t="s">
        <v>445</v>
      </c>
      <c r="B27" s="129" t="s">
        <v>430</v>
      </c>
      <c r="C27" t="str">
        <f>GlobBerMedDisc!AC7</f>
        <v/>
      </c>
    </row>
    <row r="28" spans="1:6" x14ac:dyDescent="0.2">
      <c r="A28" t="s">
        <v>445</v>
      </c>
      <c r="B28" s="129" t="s">
        <v>431</v>
      </c>
      <c r="C28" t="str">
        <f>GlobBerMedDisc!AC8</f>
        <v/>
      </c>
    </row>
    <row r="29" spans="1:6" x14ac:dyDescent="0.2">
      <c r="A29" t="s">
        <v>445</v>
      </c>
      <c r="B29" s="129" t="s">
        <v>432</v>
      </c>
      <c r="C29" t="str">
        <f>GlobBerMedDisc!AC9</f>
        <v/>
      </c>
      <c r="E29" s="310"/>
      <c r="F29" s="313"/>
    </row>
    <row r="30" spans="1:6" x14ac:dyDescent="0.2">
      <c r="A30" t="s">
        <v>445</v>
      </c>
      <c r="B30" s="129" t="s">
        <v>433</v>
      </c>
      <c r="C30" t="str">
        <f>GlobBerMedDisc!AC10</f>
        <v/>
      </c>
    </row>
    <row r="31" spans="1:6" x14ac:dyDescent="0.2">
      <c r="A31" t="s">
        <v>445</v>
      </c>
      <c r="B31" s="129">
        <v>10</v>
      </c>
      <c r="C31" t="str">
        <f>GlobBerMedDisc!AC11</f>
        <v/>
      </c>
    </row>
    <row r="32" spans="1:6" x14ac:dyDescent="0.2">
      <c r="A32" t="s">
        <v>445</v>
      </c>
      <c r="B32" s="129">
        <v>11</v>
      </c>
      <c r="C32" t="str">
        <f>GlobBerMedDisc!AC12</f>
        <v/>
      </c>
    </row>
    <row r="33" spans="1:7" x14ac:dyDescent="0.2">
      <c r="A33" t="s">
        <v>445</v>
      </c>
      <c r="B33" s="129">
        <v>12</v>
      </c>
      <c r="C33" t="str">
        <f>GlobBerMedDisc!AC13</f>
        <v/>
      </c>
    </row>
    <row r="34" spans="1:7" x14ac:dyDescent="0.2">
      <c r="A34" t="s">
        <v>445</v>
      </c>
      <c r="B34" s="129">
        <v>13</v>
      </c>
      <c r="C34" t="str">
        <f>GlobBerMedDisc!AC14</f>
        <v/>
      </c>
    </row>
    <row r="35" spans="1:7" x14ac:dyDescent="0.2">
      <c r="A35" t="s">
        <v>445</v>
      </c>
      <c r="B35" s="129">
        <v>14</v>
      </c>
      <c r="C35" t="str">
        <f>GlobBerMedDisc!AC15</f>
        <v/>
      </c>
    </row>
    <row r="36" spans="1:7" x14ac:dyDescent="0.2">
      <c r="A36" t="s">
        <v>445</v>
      </c>
      <c r="B36" s="129">
        <v>15</v>
      </c>
      <c r="C36" t="str">
        <f>GlobBerMedDisc!AC16</f>
        <v/>
      </c>
    </row>
    <row r="37" spans="1:7" x14ac:dyDescent="0.2">
      <c r="A37" t="s">
        <v>445</v>
      </c>
      <c r="B37" s="129">
        <v>16</v>
      </c>
      <c r="C37" t="str">
        <f>GlobBerMedDisc!AC17</f>
        <v/>
      </c>
    </row>
    <row r="38" spans="1:7" x14ac:dyDescent="0.2">
      <c r="A38" t="s">
        <v>445</v>
      </c>
      <c r="B38" s="129">
        <v>17</v>
      </c>
      <c r="C38" t="str">
        <f>GlobBerMedDisc!AC18</f>
        <v/>
      </c>
    </row>
    <row r="39" spans="1:7" x14ac:dyDescent="0.2">
      <c r="A39" t="s">
        <v>445</v>
      </c>
      <c r="B39" s="129">
        <v>18</v>
      </c>
      <c r="C39" t="str">
        <f>GlobBerMedDisc!AC19</f>
        <v/>
      </c>
    </row>
    <row r="40" spans="1:7" x14ac:dyDescent="0.2">
      <c r="A40" t="s">
        <v>445</v>
      </c>
      <c r="B40" s="129">
        <v>19</v>
      </c>
      <c r="C40" t="str">
        <f>GlobBerMedDisc!AC20</f>
        <v/>
      </c>
    </row>
    <row r="41" spans="1:7" x14ac:dyDescent="0.2">
      <c r="A41" t="s">
        <v>445</v>
      </c>
      <c r="B41" s="129">
        <v>20</v>
      </c>
      <c r="C41" t="str">
        <f>GlobBerMedDisc!AC21</f>
        <v/>
      </c>
    </row>
    <row r="42" spans="1:7" x14ac:dyDescent="0.2">
      <c r="A42" s="310" t="s">
        <v>445</v>
      </c>
      <c r="B42" s="313">
        <v>21</v>
      </c>
      <c r="C42" s="310" t="str">
        <f>GlobBerMedDisc!AC22</f>
        <v/>
      </c>
      <c r="F42" s="310"/>
      <c r="G42" s="310"/>
    </row>
    <row r="43" spans="1:7" x14ac:dyDescent="0.2">
      <c r="A43" s="310" t="s">
        <v>445</v>
      </c>
      <c r="B43" s="313">
        <v>22</v>
      </c>
      <c r="C43" s="310" t="str">
        <f>GlobBerMedDisc!AC23</f>
        <v/>
      </c>
      <c r="F43" s="310"/>
      <c r="G43" s="310"/>
    </row>
    <row r="44" spans="1:7" s="310" customFormat="1" x14ac:dyDescent="0.2">
      <c r="A44" s="310" t="s">
        <v>445</v>
      </c>
      <c r="B44" s="313">
        <v>23</v>
      </c>
      <c r="C44" s="310" t="str">
        <f>GlobBerMedDisc!AC24</f>
        <v/>
      </c>
      <c r="D44"/>
      <c r="E44"/>
    </row>
    <row r="45" spans="1:7" x14ac:dyDescent="0.2">
      <c r="A45" s="310" t="s">
        <v>445</v>
      </c>
      <c r="B45" s="313">
        <v>24</v>
      </c>
      <c r="C45" s="310" t="str">
        <f>GlobBerMedDisc!AC25</f>
        <v/>
      </c>
      <c r="F45" s="310"/>
      <c r="G45" s="310"/>
    </row>
    <row r="46" spans="1:7" x14ac:dyDescent="0.2">
      <c r="A46" s="310" t="s">
        <v>445</v>
      </c>
      <c r="B46" s="313">
        <v>25</v>
      </c>
      <c r="C46" s="310" t="str">
        <f>GlobBerMedDisc!AC26</f>
        <v/>
      </c>
    </row>
    <row r="47" spans="1:7" x14ac:dyDescent="0.2">
      <c r="A47" s="310" t="s">
        <v>445</v>
      </c>
      <c r="B47" s="313">
        <v>26</v>
      </c>
      <c r="C47" s="310" t="str">
        <f>GlobBerMedDisc!AC27</f>
        <v/>
      </c>
    </row>
    <row r="48" spans="1:7" x14ac:dyDescent="0.2">
      <c r="A48" s="310" t="s">
        <v>445</v>
      </c>
      <c r="B48" s="313">
        <v>27</v>
      </c>
      <c r="C48" s="310" t="str">
        <f>GlobBerMedDisc!AC28</f>
        <v/>
      </c>
    </row>
    <row r="49" spans="1:5" x14ac:dyDescent="0.2">
      <c r="A49" s="310" t="s">
        <v>445</v>
      </c>
      <c r="B49" s="313">
        <v>28</v>
      </c>
      <c r="C49" s="310" t="str">
        <f>GlobBerMedDisc!AC29</f>
        <v/>
      </c>
    </row>
    <row r="50" spans="1:5" x14ac:dyDescent="0.2">
      <c r="A50" s="310" t="s">
        <v>445</v>
      </c>
      <c r="B50" s="313">
        <v>29</v>
      </c>
      <c r="C50" s="310" t="str">
        <f>GlobBerMedDisc!AC30</f>
        <v/>
      </c>
    </row>
    <row r="51" spans="1:5" x14ac:dyDescent="0.2">
      <c r="A51" s="310" t="s">
        <v>445</v>
      </c>
      <c r="B51" s="313">
        <v>30</v>
      </c>
      <c r="C51" s="310" t="str">
        <f>GlobBerMedDisc!AC31</f>
        <v/>
      </c>
    </row>
    <row r="52" spans="1:5" x14ac:dyDescent="0.2">
      <c r="A52" s="311" t="s">
        <v>836</v>
      </c>
      <c r="B52" s="313" t="s">
        <v>425</v>
      </c>
      <c r="C52" s="310" t="str">
        <f>IF(PedGuiAfspr!C38="","",CONCATENATE(PedGuiAfspr!B38,": ",PedGuiAfspr!C38))</f>
        <v/>
      </c>
      <c r="D52" s="310"/>
      <c r="E52" s="311"/>
    </row>
    <row r="53" spans="1:5" x14ac:dyDescent="0.2">
      <c r="A53" s="311" t="s">
        <v>836</v>
      </c>
      <c r="B53" s="313" t="s">
        <v>426</v>
      </c>
      <c r="C53" s="310" t="str">
        <f>IF(PedGuiAfspr!C39="","",CONCATENATE(PedGuiAfspr!B39,": ",PedGuiAfspr!C39))</f>
        <v/>
      </c>
      <c r="D53" s="310"/>
      <c r="E53" s="311"/>
    </row>
    <row r="54" spans="1:5" x14ac:dyDescent="0.2">
      <c r="A54" s="311" t="s">
        <v>836</v>
      </c>
      <c r="B54" s="313" t="s">
        <v>427</v>
      </c>
      <c r="C54" s="310" t="str">
        <f>IF(PedGuiAfspr!C40="","",CONCATENATE(PedGuiAfspr!B40,": ",PedGuiAfspr!C40))</f>
        <v/>
      </c>
      <c r="D54" s="310"/>
      <c r="E54" s="311"/>
    </row>
    <row r="55" spans="1:5" x14ac:dyDescent="0.2">
      <c r="A55" s="311" t="s">
        <v>836</v>
      </c>
      <c r="B55" s="313" t="s">
        <v>428</v>
      </c>
      <c r="C55" s="310" t="str">
        <f>IF(PedGuiAfspr!C41="","",CONCATENATE(PedGuiAfspr!B41,": ",PedGuiAfspr!C41))</f>
        <v/>
      </c>
      <c r="D55" s="310"/>
      <c r="E55" s="311"/>
    </row>
    <row r="56" spans="1:5" x14ac:dyDescent="0.2">
      <c r="A56" t="s">
        <v>446</v>
      </c>
      <c r="B56" s="129" t="s">
        <v>425</v>
      </c>
      <c r="C56" t="str">
        <f>IF(PedPrtAfspr!C39&lt;&gt;0,PedPrtAfspr!C39,"")</f>
        <v/>
      </c>
    </row>
    <row r="57" spans="1:5" x14ac:dyDescent="0.2">
      <c r="A57" t="s">
        <v>446</v>
      </c>
      <c r="B57" s="129" t="s">
        <v>426</v>
      </c>
      <c r="C57" t="str">
        <f>IF(PedPrtAfspr!C40&lt;&gt;0,PedPrtAfspr!C40,"")</f>
        <v/>
      </c>
    </row>
    <row r="58" spans="1:5" x14ac:dyDescent="0.2">
      <c r="A58" t="s">
        <v>446</v>
      </c>
      <c r="B58" s="129" t="s">
        <v>427</v>
      </c>
      <c r="C58" t="str">
        <f>IF(PedPrtAfspr!C41&lt;&gt;0,PedPrtAfspr!C41,"")</f>
        <v/>
      </c>
    </row>
    <row r="59" spans="1:5" x14ac:dyDescent="0.2">
      <c r="A59" t="s">
        <v>446</v>
      </c>
      <c r="B59" s="129" t="s">
        <v>428</v>
      </c>
      <c r="C59" t="str">
        <f>IF(PedPrtAfspr!C42&lt;&gt;0,PedPrtAfspr!C42,"")</f>
        <v/>
      </c>
    </row>
    <row r="60" spans="1:5" x14ac:dyDescent="0.2">
      <c r="A60" t="s">
        <v>446</v>
      </c>
      <c r="B60" s="129" t="s">
        <v>429</v>
      </c>
      <c r="C60" t="str">
        <f>IF(PedPrtAfspr!C43&lt;&gt;0,PedPrtAfspr!C43,"")</f>
        <v/>
      </c>
    </row>
    <row r="61" spans="1:5" x14ac:dyDescent="0.2">
      <c r="A61" t="s">
        <v>446</v>
      </c>
      <c r="B61" s="129" t="s">
        <v>430</v>
      </c>
      <c r="C61" t="str">
        <f>IF(PedPrtAfspr!C44&lt;&gt;0,PedPrtAfspr!C44,"")</f>
        <v/>
      </c>
    </row>
    <row r="62" spans="1:5" x14ac:dyDescent="0.2">
      <c r="A62" t="s">
        <v>446</v>
      </c>
      <c r="B62" s="129" t="s">
        <v>431</v>
      </c>
      <c r="C62" t="e">
        <f>IF(PedPrtAfspr!D67&lt;&gt;0,"Opmerkingen: "&amp;PedPrtAfspr!D67,"")</f>
        <v>#REF!</v>
      </c>
    </row>
    <row r="63" spans="1:5" s="310" customFormat="1" x14ac:dyDescent="0.2">
      <c r="A63" s="311" t="s">
        <v>20</v>
      </c>
      <c r="B63" s="314" t="s">
        <v>425</v>
      </c>
      <c r="C63" s="31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447</v>
      </c>
      <c r="B64" s="129" t="s">
        <v>425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2">
      <c r="A65" t="s">
        <v>447</v>
      </c>
      <c r="B65" s="129" t="s">
        <v>426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447</v>
      </c>
      <c r="B66" s="129" t="s">
        <v>427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447</v>
      </c>
      <c r="B67" s="129" t="s">
        <v>428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447</v>
      </c>
      <c r="B68" s="129" t="s">
        <v>429</v>
      </c>
      <c r="C68" t="str">
        <f>IF(PedPrtAfspr!E85&lt;&gt;" ",PedPrtAfspr!D85&amp;": "&amp;PedPrtAfspr!E85,"")</f>
        <v/>
      </c>
    </row>
    <row r="69" spans="1:3" x14ac:dyDescent="0.2">
      <c r="A69" t="s">
        <v>447</v>
      </c>
      <c r="B69" s="129" t="s">
        <v>430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447</v>
      </c>
      <c r="B70" s="129" t="s">
        <v>431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447</v>
      </c>
      <c r="B71" s="130" t="s">
        <v>432</v>
      </c>
      <c r="C71" t="str">
        <f>IF(PedGuiEntTPN!E39&lt;&gt;0,"Opmerkingen: "&amp;PedGuiEntTPN!E39,"")</f>
        <v/>
      </c>
    </row>
    <row r="72" spans="1:3" x14ac:dyDescent="0.2">
      <c r="A72" t="s">
        <v>145</v>
      </c>
      <c r="B72" s="129" t="s">
        <v>425</v>
      </c>
      <c r="C72" t="str">
        <f>IF(PedPrtAfspr!D15&lt;&gt;"",PedPrtAfspr!C15&amp;": "&amp;PedPrtAfspr!D15,"")</f>
        <v/>
      </c>
    </row>
    <row r="73" spans="1:3" x14ac:dyDescent="0.2">
      <c r="A73" t="s">
        <v>145</v>
      </c>
      <c r="B73" s="129" t="s">
        <v>426</v>
      </c>
      <c r="C73" t="str">
        <f>IF(PedPrtAfspr!D16&lt;&gt;"",PedPrtAfspr!C16&amp;": "&amp;PedPrtAfspr!D16,"")</f>
        <v/>
      </c>
    </row>
    <row r="74" spans="1:3" x14ac:dyDescent="0.2">
      <c r="A74" t="s">
        <v>145</v>
      </c>
      <c r="B74" s="129" t="s">
        <v>427</v>
      </c>
      <c r="C74" t="str">
        <f>IF(PedPrtAfspr!D17&lt;&gt;"",PedPrtAfspr!C17&amp;": "&amp;PedPrtAfspr!D17,"")</f>
        <v/>
      </c>
    </row>
    <row r="75" spans="1:3" x14ac:dyDescent="0.2">
      <c r="A75" t="s">
        <v>145</v>
      </c>
      <c r="B75" s="129" t="s">
        <v>428</v>
      </c>
      <c r="C75" t="str">
        <f>IF(PedPrtAfspr!D18&lt;&gt;"",PedPrtAfspr!C18&amp;": "&amp;PedPrtAfspr!D18,"")</f>
        <v/>
      </c>
    </row>
    <row r="76" spans="1:3" x14ac:dyDescent="0.2">
      <c r="A76" t="s">
        <v>145</v>
      </c>
      <c r="B76" s="129" t="s">
        <v>429</v>
      </c>
      <c r="C76" t="str">
        <f>IF(PedPrtAfspr!D19&lt;&gt;"",PedPrtAfspr!C19&amp;": "&amp;PedPrtAfspr!D19,"")</f>
        <v/>
      </c>
    </row>
    <row r="77" spans="1:3" x14ac:dyDescent="0.2">
      <c r="A77" t="s">
        <v>145</v>
      </c>
      <c r="B77" s="129" t="s">
        <v>430</v>
      </c>
      <c r="C77" t="str">
        <f>IF(PedPrtAfspr!D20&lt;&gt;0,PedPrtAfspr!C20&amp;": "&amp;PedPrtAfspr!D20,"")</f>
        <v/>
      </c>
    </row>
    <row r="78" spans="1:3" x14ac:dyDescent="0.2">
      <c r="A78" t="s">
        <v>348</v>
      </c>
      <c r="B78" s="129" t="s">
        <v>425</v>
      </c>
      <c r="C78" t="str">
        <f>PedPrtAfspr!C96&amp;": "&amp;PedPrtAfspr!D96</f>
        <v>Vocht: 26 ml/kg</v>
      </c>
    </row>
    <row r="79" spans="1:3" x14ac:dyDescent="0.2">
      <c r="A79" t="s">
        <v>348</v>
      </c>
      <c r="B79" s="129" t="s">
        <v>426</v>
      </c>
      <c r="C79" t="str">
        <f>PedPrtAfspr!C97&amp;": "&amp;PedPrtAfspr!D97</f>
        <v>Eiwit: 0  gram/kg</v>
      </c>
    </row>
    <row r="80" spans="1:3" x14ac:dyDescent="0.2">
      <c r="A80" t="s">
        <v>348</v>
      </c>
      <c r="B80" s="129" t="s">
        <v>427</v>
      </c>
      <c r="C80" t="str">
        <f>PedPrtAfspr!C98&amp;": "&amp;PedPrtAfspr!D98</f>
        <v>Glucose/KH: 0 g/kg</v>
      </c>
    </row>
    <row r="81" spans="1:3" x14ac:dyDescent="0.2">
      <c r="A81" t="s">
        <v>348</v>
      </c>
      <c r="B81" s="129" t="s">
        <v>428</v>
      </c>
      <c r="C81" t="str">
        <f>PedPrtAfspr!E96&amp;": "&amp;PedPrtAfspr!F96</f>
        <v>Calorieen: 0 kCal/kg</v>
      </c>
    </row>
    <row r="82" spans="1:3" x14ac:dyDescent="0.2">
      <c r="A82" t="s">
        <v>348</v>
      </c>
      <c r="B82" s="129" t="s">
        <v>429</v>
      </c>
      <c r="C82" t="str">
        <f>PedPrtAfspr!E97&amp;": "&amp;PedPrtAfspr!F97</f>
        <v>Vet: 0 gram/kg</v>
      </c>
    </row>
    <row r="83" spans="1:3" x14ac:dyDescent="0.2">
      <c r="A83" t="s">
        <v>348</v>
      </c>
      <c r="B83" s="129" t="s">
        <v>430</v>
      </c>
      <c r="C83" t="str">
        <f>PedPrtAfspr!G96&amp;": "&amp;PedPrtAfspr!H96</f>
        <v>Kalium: 0 mmol/kg</v>
      </c>
    </row>
    <row r="84" spans="1:3" x14ac:dyDescent="0.2">
      <c r="A84" t="s">
        <v>348</v>
      </c>
      <c r="B84" s="129" t="s">
        <v>431</v>
      </c>
      <c r="C84" t="str">
        <f>PedPrtAfspr!G97&amp;": "&amp;PedPrtAfspr!H97</f>
        <v>Calcium: 0 mmol/kg</v>
      </c>
    </row>
    <row r="85" spans="1:3" x14ac:dyDescent="0.2">
      <c r="A85" t="s">
        <v>348</v>
      </c>
      <c r="B85" s="129" t="s">
        <v>432</v>
      </c>
      <c r="C85" t="str">
        <f>PedPrtAfspr!G98&amp;": "&amp;PedPrtAfspr!H98</f>
        <v>Magnesium: 0 mmol/kg</v>
      </c>
    </row>
    <row r="86" spans="1:3" x14ac:dyDescent="0.2">
      <c r="A86" t="s">
        <v>348</v>
      </c>
      <c r="B86" s="129" t="s">
        <v>433</v>
      </c>
      <c r="C86" t="str">
        <f>PedPrtAfspr!I96&amp;": "&amp;PedPrtAfspr!J96</f>
        <v>Natrium : 1,1 mmol/kg</v>
      </c>
    </row>
    <row r="87" spans="1:3" x14ac:dyDescent="0.2">
      <c r="A87" t="s">
        <v>348</v>
      </c>
      <c r="B87" s="129">
        <v>10</v>
      </c>
      <c r="C87" t="str">
        <f>PedPrtAfspr!I97&amp;": "&amp;PedPrtAfspr!J97</f>
        <v>Fosfaat: 0 mmol/kg</v>
      </c>
    </row>
    <row r="88" spans="1:3" x14ac:dyDescent="0.2">
      <c r="A88" s="311" t="s">
        <v>602</v>
      </c>
      <c r="B88" s="310">
        <v>6</v>
      </c>
      <c r="C88" s="312" t="str">
        <f ca="1">NeoGuiInfB!O9</f>
        <v/>
      </c>
    </row>
    <row r="89" spans="1:3" x14ac:dyDescent="0.2">
      <c r="A89" s="311" t="s">
        <v>980</v>
      </c>
      <c r="B89" s="313" t="s">
        <v>425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>clonidine 0,01 mg 12 ml NaCl 0,9% 1,6 ml/uur (=1,33 microg/kg/uur), inlooptijd: 8 uren</v>
      </c>
    </row>
    <row r="90" spans="1:3" x14ac:dyDescent="0.2">
      <c r="A90" s="311" t="s">
        <v>980</v>
      </c>
      <c r="B90" s="313" t="s">
        <v>426</v>
      </c>
      <c r="C90" s="310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>Epi bupi 2,5 mg, sufenta 1 mcg /ml 30 ml 12 ml  0,5 ml/uur (=1,25 ml/uur), inlooptijd: 24 uren</v>
      </c>
    </row>
    <row r="91" spans="1:3" x14ac:dyDescent="0.2">
      <c r="A91" s="311" t="s">
        <v>980</v>
      </c>
      <c r="B91" s="313" t="s">
        <v>427</v>
      </c>
      <c r="C91" s="310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311" t="s">
        <v>980</v>
      </c>
      <c r="B92" s="313" t="s">
        <v>428</v>
      </c>
      <c r="C92" s="310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311" t="s">
        <v>980</v>
      </c>
      <c r="B93" s="313" t="s">
        <v>429</v>
      </c>
      <c r="C93" s="310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311" t="s">
        <v>980</v>
      </c>
      <c r="B94" s="313" t="s">
        <v>430</v>
      </c>
      <c r="C94" s="310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311" t="s">
        <v>980</v>
      </c>
      <c r="B95" s="313" t="s">
        <v>431</v>
      </c>
      <c r="C95" s="310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311" t="s">
        <v>980</v>
      </c>
      <c r="B96" s="313" t="s">
        <v>432</v>
      </c>
      <c r="C96" s="310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311" t="s">
        <v>980</v>
      </c>
      <c r="B97" s="313" t="s">
        <v>433</v>
      </c>
      <c r="C97" s="310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311" t="s">
        <v>980</v>
      </c>
      <c r="B98" s="313" t="s">
        <v>605</v>
      </c>
      <c r="C98" s="310" t="str">
        <f>IF(NeoBerInfB!B36="","",NeoBerInfB!B36)</f>
        <v/>
      </c>
    </row>
    <row r="99" spans="1:7" x14ac:dyDescent="0.2">
      <c r="A99" s="311" t="s">
        <v>980</v>
      </c>
      <c r="B99" s="313" t="s">
        <v>606</v>
      </c>
      <c r="C99" s="310" t="str">
        <f>IF(NeoBerInfB!B37="","",NeoBerInfB!B37)</f>
        <v/>
      </c>
    </row>
    <row r="100" spans="1:7" x14ac:dyDescent="0.2">
      <c r="A100" s="311" t="s">
        <v>980</v>
      </c>
      <c r="B100" s="313" t="s">
        <v>607</v>
      </c>
      <c r="C100" s="310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311" t="s">
        <v>980</v>
      </c>
      <c r="B101" s="313" t="s">
        <v>702</v>
      </c>
      <c r="C101" s="310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311" t="s">
        <v>980</v>
      </c>
      <c r="B102" s="313" t="s">
        <v>703</v>
      </c>
      <c r="C102" s="310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311" t="s">
        <v>980</v>
      </c>
      <c r="B103" s="313" t="s">
        <v>953</v>
      </c>
      <c r="C103" s="310" t="str">
        <f>IF(Txt_Neo_Wb_IVAcc_Stand&lt;&gt;"",CONCATENATE(Txt_Neo_Wb_IVAcc_Tekst," ",Txt_Neo_Wb_IVAcc_Stand, " ml/uur"),"")</f>
        <v/>
      </c>
    </row>
    <row r="104" spans="1:7" x14ac:dyDescent="0.2">
      <c r="A104" s="311" t="s">
        <v>980</v>
      </c>
      <c r="B104" s="313" t="s">
        <v>968</v>
      </c>
      <c r="C104" s="310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311" t="s">
        <v>980</v>
      </c>
      <c r="B105" s="313" t="s">
        <v>969</v>
      </c>
      <c r="C105" s="310" t="str">
        <f ca="1">IF(Txt_Neo_Wb_TPN_Stand&lt;&gt;"",CONCATENATE("TPN: ",Txt_Neo_Wb_TPN_Stand, " ml/uur"),"")</f>
        <v/>
      </c>
      <c r="D105" s="310"/>
    </row>
    <row r="106" spans="1:7" x14ac:dyDescent="0.2">
      <c r="A106" s="311" t="s">
        <v>980</v>
      </c>
      <c r="B106" s="313" t="s">
        <v>970</v>
      </c>
      <c r="C106" s="310" t="str">
        <f ca="1">IF(Txt_Neo_Wb_TPN_Stand&lt;&gt;"",CONCATENATE("TPN Totaal: ",Txt_Neo_Wb_TPN_TotaalGeheel,",", Txt_Neo_Wb_TPN_TotaalBreuk, " ml"),"")</f>
        <v/>
      </c>
      <c r="D106" s="310"/>
    </row>
    <row r="107" spans="1:7" s="310" customFormat="1" x14ac:dyDescent="0.2">
      <c r="A107" s="311" t="s">
        <v>980</v>
      </c>
      <c r="B107" s="313" t="s">
        <v>971</v>
      </c>
      <c r="C107" s="310" t="str">
        <f ca="1">IF(OR(Txt_Neo_Wb_TPN_NaClGeheel&lt;&gt;"",Txt_Neo_Wb_TPN_NaClBreuk&lt;&gt;""),CONCATENATE(Txt_Neo_Wb_TPN_NaCLTekst," ",Txt_Neo_Wb_TPN_NaClGeheel,",", Txt_Neo_Wb_TPN_NaClBreuk, " ml"),"")</f>
        <v/>
      </c>
      <c r="E107"/>
    </row>
    <row r="108" spans="1:7" s="310" customFormat="1" x14ac:dyDescent="0.2">
      <c r="A108" s="311" t="s">
        <v>980</v>
      </c>
      <c r="B108" s="313" t="s">
        <v>972</v>
      </c>
      <c r="C108" s="310" t="str">
        <f ca="1"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310" customFormat="1" x14ac:dyDescent="0.2">
      <c r="A109" s="311" t="s">
        <v>980</v>
      </c>
      <c r="B109" s="313" t="s">
        <v>973</v>
      </c>
      <c r="C109" s="310" t="str">
        <f ca="1"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310" customFormat="1" x14ac:dyDescent="0.2">
      <c r="A110" s="311" t="s">
        <v>980</v>
      </c>
      <c r="B110" s="313" t="s">
        <v>974</v>
      </c>
      <c r="C110" s="310" t="str">
        <f ca="1">IF(OR(Txt_Neo_Wb_TPN_MgClGeheel&lt;&gt;"",Txt_Neo_Wb_TPN_MgClBreuk&lt;&gt;""),CONCATENATE(Txt_Neo_Wb_TPN_MgClTekst," ",Txt_Neo_Wb_TPN_MgClGeheel,",", Txt_Neo_Wb_TPN_MgClBreuk, " ml"),"")</f>
        <v/>
      </c>
      <c r="E110"/>
    </row>
    <row r="111" spans="1:7" s="310" customFormat="1" x14ac:dyDescent="0.2">
      <c r="A111" s="311" t="s">
        <v>980</v>
      </c>
      <c r="B111" s="313" t="s">
        <v>975</v>
      </c>
      <c r="C111" s="310" t="str">
        <f ca="1"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310" customFormat="1" x14ac:dyDescent="0.2">
      <c r="A112" s="311" t="s">
        <v>980</v>
      </c>
      <c r="B112" s="313" t="s">
        <v>976</v>
      </c>
      <c r="C112" s="310" t="str">
        <f ca="1"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311" t="s">
        <v>980</v>
      </c>
      <c r="B113" s="313" t="s">
        <v>977</v>
      </c>
      <c r="C113" s="310" t="str">
        <f>IF(OR(Txt_Neo_Wb_TPN_NICUmixGeheel&lt;&gt;"",Txt_Neo_Wb_TPN_NICUmixBreuk&lt;&gt;""),CONCATENATE(Txt_Neo_Wb_TPN_NICUmixTekst," ",Txt_Neo_Wb_TPN_NICUmixGeheel,",", Txt_Neo_Wb_TPN_NICUmixBreuk, " ml"),"")</f>
        <v/>
      </c>
      <c r="D113" s="310"/>
      <c r="F113" s="310"/>
      <c r="G113" s="310"/>
    </row>
    <row r="114" spans="1:7" x14ac:dyDescent="0.2">
      <c r="A114" s="311" t="s">
        <v>980</v>
      </c>
      <c r="B114" s="313" t="s">
        <v>978</v>
      </c>
      <c r="C114" s="310" t="str">
        <f>IF(OR(Txt_Neo_Wb_TPN_SamBGeheel&lt;&gt;"",Txt_Neo_Wb_TPN_SamBBreuk&lt;&gt;""),CONCATENATE(Txt_Neo_Wb_TPN_SamBTekst," ",Txt_Neo_Wb_TPN_SamBGeheel,",", Txt_Neo_Wb_TPN_SamBBreuk, " ml"),"")</f>
        <v/>
      </c>
      <c r="D114" s="310"/>
      <c r="F114" s="310"/>
      <c r="G114" s="310"/>
    </row>
    <row r="115" spans="1:7" x14ac:dyDescent="0.2">
      <c r="A115" s="311" t="s">
        <v>980</v>
      </c>
      <c r="B115" s="313" t="s">
        <v>979</v>
      </c>
      <c r="C115" s="310" t="str">
        <f>IF(OR(Txt_Neo_Wb_TPN_GlucGeheel&lt;&gt;"",Txt_Neo_Wb_TPN_GlucBreuk&lt;&gt;""),CONCATENATE(Txt_Neo_Wb_TPN_GlucTekst," ",Txt_Neo_Wb_TPN_GlucGeheel,",", ROUND(Txt_Neo_Wb_TPN_GlucBreuk,2), " ml"),"")</f>
        <v/>
      </c>
      <c r="D115" s="310"/>
      <c r="F115" s="310"/>
      <c r="G115" s="310"/>
    </row>
    <row r="116" spans="1:7" s="310" customFormat="1" x14ac:dyDescent="0.2">
      <c r="A116" s="311" t="s">
        <v>981</v>
      </c>
      <c r="B116" s="313" t="s">
        <v>425</v>
      </c>
      <c r="C116" s="310" t="str">
        <f>IF(Txt_Neo_InfB_Voeding_02&lt;&gt;"",Txt_Neo_InfB_Voeding_02,"")</f>
        <v/>
      </c>
      <c r="D116"/>
      <c r="E116"/>
    </row>
    <row r="117" spans="1:7" s="310" customFormat="1" x14ac:dyDescent="0.2">
      <c r="A117" s="311" t="s">
        <v>981</v>
      </c>
      <c r="B117" s="313" t="s">
        <v>426</v>
      </c>
      <c r="C117" s="310" t="str">
        <f>IF(Txt_Neo_InfB_Voeding_03&lt;&gt;"",Txt_Neo_InfB_Voeding_03,"")</f>
        <v/>
      </c>
      <c r="D117"/>
      <c r="E117"/>
    </row>
    <row r="118" spans="1:7" x14ac:dyDescent="0.2">
      <c r="A118" s="311" t="s">
        <v>981</v>
      </c>
      <c r="B118" s="313" t="s">
        <v>427</v>
      </c>
      <c r="C118" s="310" t="str">
        <f>IF(Txt_Neo_InfB_Voeding_04&lt;&gt;"",Txt_Neo_InfB_Voeding_04,"")</f>
        <v/>
      </c>
    </row>
    <row r="119" spans="1:7" x14ac:dyDescent="0.2">
      <c r="A119" s="311" t="s">
        <v>981</v>
      </c>
      <c r="B119" s="313" t="s">
        <v>428</v>
      </c>
      <c r="C119" s="310" t="e">
        <f>IF(Txt_Neo_InfB_Voeding&lt;&gt;"",Txt_Neo_InfB_Voeding,"")</f>
        <v>#NAME?</v>
      </c>
    </row>
    <row r="120" spans="1:7" s="310" customFormat="1" x14ac:dyDescent="0.2">
      <c r="A120" s="311" t="s">
        <v>981</v>
      </c>
      <c r="B120" s="313" t="s">
        <v>429</v>
      </c>
      <c r="C120" s="310" t="str">
        <f>IF(Txt_Neo_InfB_Voeding_06&lt;&gt;"",Txt_Neo_InfB_Voeding_06,"")</f>
        <v/>
      </c>
    </row>
    <row r="121" spans="1:7" x14ac:dyDescent="0.2">
      <c r="A121" s="311" t="s">
        <v>981</v>
      </c>
      <c r="B121" s="313" t="s">
        <v>430</v>
      </c>
      <c r="C121" s="310" t="str">
        <f>IF(Txt_Neo_InfB_Voeding_07&lt;&gt;"",Txt_Neo_InfB_Voeding_07,"")</f>
        <v/>
      </c>
      <c r="D121" s="310"/>
      <c r="E121" s="310"/>
    </row>
    <row r="122" spans="1:7" x14ac:dyDescent="0.2">
      <c r="A122" s="311" t="s">
        <v>981</v>
      </c>
      <c r="B122" s="313" t="s">
        <v>431</v>
      </c>
      <c r="C122" s="310" t="str">
        <f>IF(Txt_Neo_InfB_Voeding_08&lt;&gt;"",Txt_Neo_InfB_Voeding_08,"")</f>
        <v/>
      </c>
      <c r="D122" s="310"/>
      <c r="E122" s="310"/>
    </row>
    <row r="123" spans="1:7" x14ac:dyDescent="0.2">
      <c r="A123" s="311" t="s">
        <v>981</v>
      </c>
      <c r="B123" s="313" t="s">
        <v>432</v>
      </c>
      <c r="C123" s="310" t="str">
        <f>IF(Txt_Neo_InfB_Voeding_09&lt;&gt;"",Txt_Neo_InfB_Voeding_09,"")</f>
        <v/>
      </c>
      <c r="D123" s="310"/>
      <c r="E123" s="310"/>
    </row>
    <row r="124" spans="1:7" s="310" customFormat="1" x14ac:dyDescent="0.2">
      <c r="A124" s="311" t="s">
        <v>981</v>
      </c>
      <c r="B124" s="313" t="s">
        <v>433</v>
      </c>
      <c r="C124" s="310" t="str">
        <f>IF(Txt_Neo_InfB_Voeding_10&lt;&gt;"",Txt_Neo_InfB_Voeding_10,"")</f>
        <v/>
      </c>
      <c r="F124"/>
      <c r="G124"/>
    </row>
    <row r="125" spans="1:7" x14ac:dyDescent="0.2">
      <c r="A125" s="311" t="s">
        <v>981</v>
      </c>
      <c r="B125" s="313" t="s">
        <v>605</v>
      </c>
      <c r="C125" s="310" t="e">
        <f>IF(Txt_Neo_InfB_Voeding_11&lt;&gt;"",Txt_Neo_InfB_Voeding_11,"")</f>
        <v>#NAME?</v>
      </c>
      <c r="D125" s="310"/>
      <c r="E125" s="310"/>
    </row>
    <row r="126" spans="1:7" x14ac:dyDescent="0.2">
      <c r="A126" s="311" t="s">
        <v>981</v>
      </c>
      <c r="B126" s="313" t="s">
        <v>606</v>
      </c>
      <c r="C126" s="310" t="e">
        <f>IF(Txt_Neo_InfB_Voeding_12&lt;&gt;"",Txt_Neo_InfB_Voeding_12,"")</f>
        <v>#NAME?</v>
      </c>
      <c r="D126" s="310"/>
      <c r="E126" s="310"/>
    </row>
    <row r="127" spans="1:7" x14ac:dyDescent="0.2">
      <c r="A127" s="311" t="s">
        <v>981</v>
      </c>
      <c r="B127" s="313" t="s">
        <v>607</v>
      </c>
      <c r="C127" s="310" t="e">
        <f>IF(Txt_Neo_InfB_Voeding_13&lt;&gt;"",Txt_Neo_InfB_Voeding_13,"")</f>
        <v>#NAME?</v>
      </c>
      <c r="D127" s="310"/>
      <c r="E127" s="310"/>
      <c r="F127" s="310"/>
      <c r="G127" s="310"/>
    </row>
    <row r="128" spans="1:7" x14ac:dyDescent="0.2">
      <c r="A128" s="311" t="s">
        <v>674</v>
      </c>
      <c r="B128" s="313" t="s">
        <v>425</v>
      </c>
      <c r="C128" t="str">
        <f>IF(NeoGuiAfspr!C45="","",CONCATENATE(NeoGuiAfspr!B45,": ",NeoGuiAfspr!C45))</f>
        <v/>
      </c>
      <c r="E128" s="311"/>
    </row>
    <row r="129" spans="1:5" x14ac:dyDescent="0.2">
      <c r="A129" s="311" t="s">
        <v>674</v>
      </c>
      <c r="B129" s="313" t="s">
        <v>426</v>
      </c>
      <c r="C129" s="310" t="str">
        <f>IF(NeoGuiAfspr!C46="","",CONCATENATE(NeoGuiAfspr!B46,": ",NeoGuiAfspr!C46))</f>
        <v/>
      </c>
      <c r="E129" s="311"/>
    </row>
    <row r="130" spans="1:5" s="310" customFormat="1" x14ac:dyDescent="0.2">
      <c r="A130" s="311" t="s">
        <v>674</v>
      </c>
      <c r="B130" s="313" t="s">
        <v>427</v>
      </c>
      <c r="C130" s="310" t="str">
        <f>IF(NeoGuiAfspr!C47="","",CONCATENATE(NeoGuiAfspr!B47,": ",NeoGuiAfspr!C47))</f>
        <v/>
      </c>
      <c r="E130" s="311"/>
    </row>
    <row r="131" spans="1:5" s="310" customFormat="1" x14ac:dyDescent="0.2">
      <c r="A131" s="311" t="s">
        <v>674</v>
      </c>
      <c r="B131" s="313" t="s">
        <v>428</v>
      </c>
      <c r="C131" s="310" t="str">
        <f>IF(NeoGuiAfspr!C48="","",CONCATENATE(NeoGuiAfspr!B48,": ",NeoGuiAfspr!C48))</f>
        <v/>
      </c>
      <c r="D131"/>
      <c r="E131" s="311"/>
    </row>
    <row r="132" spans="1:5" x14ac:dyDescent="0.2">
      <c r="A132" s="311" t="s">
        <v>674</v>
      </c>
      <c r="B132" s="313" t="s">
        <v>429</v>
      </c>
      <c r="C132" s="310" t="str">
        <f>IF(NeoGuiAfspr!C49="","",CONCATENATE(NeoGuiAfspr!B49,": ",NeoGuiAfspr!C49))</f>
        <v/>
      </c>
      <c r="E132" s="311"/>
    </row>
    <row r="133" spans="1:5" x14ac:dyDescent="0.2">
      <c r="A133" s="310" t="s">
        <v>603</v>
      </c>
      <c r="B133" s="313" t="s">
        <v>425</v>
      </c>
      <c r="C133" s="310" t="str">
        <f>IF(NeoGuiInfB!F62&lt;&gt;"",NeoGuiInfB!E62&amp;": "&amp;NeoGuiInfB!F62,"")</f>
        <v/>
      </c>
    </row>
    <row r="134" spans="1:5" x14ac:dyDescent="0.2">
      <c r="A134" s="310" t="s">
        <v>603</v>
      </c>
      <c r="B134" s="313" t="s">
        <v>426</v>
      </c>
      <c r="C134" s="310" t="str">
        <f>IF(NeoGuiInfB!F63&lt;&gt;"",NeoGuiInfB!E63&amp;": "&amp;NeoGuiInfB!F63,"")</f>
        <v/>
      </c>
    </row>
    <row r="135" spans="1:5" x14ac:dyDescent="0.2">
      <c r="A135" s="310" t="s">
        <v>603</v>
      </c>
      <c r="B135" s="313" t="s">
        <v>427</v>
      </c>
      <c r="C135" s="310" t="str">
        <f>IF(NeoGuiInfB!F64&lt;&gt;"",NeoGuiInfB!E64&amp;": "&amp;NeoGuiInfB!F64,"")</f>
        <v/>
      </c>
    </row>
    <row r="136" spans="1:5" x14ac:dyDescent="0.2">
      <c r="A136" s="310" t="s">
        <v>603</v>
      </c>
      <c r="B136" s="313" t="s">
        <v>428</v>
      </c>
      <c r="C136" s="310" t="str">
        <f>IF(NeoGuiInfB!F65&lt;&gt;"",NeoGuiInfB!E65&amp;": "&amp;NeoGuiInfB!F65,"")</f>
        <v/>
      </c>
    </row>
    <row r="137" spans="1:5" x14ac:dyDescent="0.2">
      <c r="A137" s="310" t="s">
        <v>603</v>
      </c>
      <c r="B137" s="313" t="s">
        <v>429</v>
      </c>
      <c r="C137" s="310" t="str">
        <f>IF(NeoGuiInfB!F66&lt;&gt;"",NeoGuiInfB!E66&amp;": "&amp;NeoGuiInfB!F66,"")</f>
        <v/>
      </c>
      <c r="D137" s="310"/>
      <c r="E137" s="310"/>
    </row>
    <row r="138" spans="1:5" x14ac:dyDescent="0.2">
      <c r="A138" s="310" t="s">
        <v>603</v>
      </c>
      <c r="B138" s="313" t="s">
        <v>430</v>
      </c>
      <c r="C138" s="310" t="str">
        <f>IF(NeoGuiInfB!F67&lt;&gt;"",NeoGuiInfB!E67&amp;": "&amp;NeoGuiInfB!F67,"")</f>
        <v/>
      </c>
    </row>
    <row r="139" spans="1:5" x14ac:dyDescent="0.2">
      <c r="A139" s="310" t="s">
        <v>603</v>
      </c>
      <c r="B139" s="313" t="s">
        <v>431</v>
      </c>
      <c r="C139" s="310" t="str">
        <f>IF(NeoGuiInfB!F68&lt;&gt;"",NeoGuiInfB!E68&amp;" "&amp;NeoGuiInfB!F68,"")</f>
        <v/>
      </c>
    </row>
    <row r="140" spans="1:5" x14ac:dyDescent="0.2">
      <c r="A140" s="310" t="s">
        <v>603</v>
      </c>
      <c r="B140" s="313" t="s">
        <v>432</v>
      </c>
      <c r="C140" s="310" t="str">
        <f>IF(NeoGuiInfB!F69&lt;&gt;"",NeoGuiInfB!E69&amp;" "&amp;NeoGuiInfB!F69,"")</f>
        <v/>
      </c>
      <c r="D140" s="310"/>
      <c r="E140" s="310"/>
    </row>
    <row r="141" spans="1:5" x14ac:dyDescent="0.2">
      <c r="A141" s="310" t="s">
        <v>603</v>
      </c>
      <c r="B141" s="313" t="s">
        <v>433</v>
      </c>
      <c r="C141" s="310" t="str">
        <f>IF(NeoGuiInfB!F70&lt;&gt;"",NeoGuiInfB!E70&amp;" "&amp;NeoGuiInfB!F70,"")</f>
        <v/>
      </c>
      <c r="D141" s="310"/>
      <c r="E141" s="310"/>
    </row>
    <row r="142" spans="1:5" x14ac:dyDescent="0.2">
      <c r="A142" s="310" t="s">
        <v>604</v>
      </c>
      <c r="B142" s="313" t="s">
        <v>425</v>
      </c>
      <c r="C142" s="311" t="str">
        <f ca="1">CONCATENATE(NeoGuiInfB!D3,"        : ",NeoGuiInfB!$E$2," - ",NeoGuiInfB!E3,"; ",NeoGuiInfB!$F$2," - ",NeoGuiInfB!F3,"; ",NeoGuiInfB!$G$2," - ",NeoGuiInfB!G3,";")</f>
        <v>Volume        : Intraveneus - 50 ml/kg; Oraal - 0 ml/kg; Totaal - 50 ml/kg  = 50 ml;</v>
      </c>
    </row>
    <row r="143" spans="1:5" x14ac:dyDescent="0.2">
      <c r="A143" s="310" t="s">
        <v>604</v>
      </c>
      <c r="B143" s="313" t="s">
        <v>426</v>
      </c>
      <c r="C143" s="311" t="str">
        <f ca="1">CONCATENATE(NeoGuiInfB!D4,"            : ",NeoGuiInfB!E2," - ",NeoGuiInfB!E4,"; ",NeoGuiInfB!$F$2," - ",NeoGuiInfB!F4,"; ",NeoGuiInfB!$G$2," - ",NeoGuiInfB!G4,";")</f>
        <v>Eiwit            : Intraveneus - 0 g/kg; Oraal - 0 g/kg; Totaal - 0 g/kg;</v>
      </c>
    </row>
    <row r="144" spans="1:5" x14ac:dyDescent="0.2">
      <c r="A144" s="310" t="s">
        <v>604</v>
      </c>
      <c r="B144" s="313" t="s">
        <v>427</v>
      </c>
      <c r="C144" s="311" t="str">
        <f ca="1">CONCATENATE(NeoGuiInfB!D5,"              : ",NeoGuiInfB!$E$2," - ",NeoGuiInfB!E5,"; ",NeoGuiInfB!$F$2," - ",NeoGuiInfB!F5,"; ",NeoGuiInfB!$G$2," - ",NeoGuiInfB!G5,";")</f>
        <v>Vet              : Intraveneus - 0 g/kg; Oraal - 0 g/kg; Totaal - 0 g/kg;</v>
      </c>
    </row>
    <row r="145" spans="1:3" x14ac:dyDescent="0.2">
      <c r="A145" s="310" t="s">
        <v>604</v>
      </c>
      <c r="B145" s="313" t="s">
        <v>428</v>
      </c>
      <c r="C145" s="311" t="str">
        <f ca="1">CONCATENATE(NeoGuiInfB!D6,"       : ",NeoGuiInfB!$E$2," - ",NeoGuiInfB!E6,"; ",NeoGuiInfB!$F$2," - ",NeoGuiInfB!F6,"; ",NeoGuiInfB!$G$2," - ",NeoGuiInfB!G6,";")</f>
        <v>Glucose       : Intraveneus - 0 mg/kg/min; Oraal - 0 mg/kg/min; Totaal - 0 mg/kg/min;</v>
      </c>
    </row>
    <row r="146" spans="1:3" x14ac:dyDescent="0.2">
      <c r="A146" s="310" t="s">
        <v>604</v>
      </c>
      <c r="B146" s="313" t="s">
        <v>429</v>
      </c>
      <c r="C146" s="311" t="str">
        <f ca="1">CONCATENATE(NeoGuiInfB!D7,"        : ",NeoGuiInfB!$E$2," - ",NeoGuiInfB!E7,"; ",NeoGuiInfB!$F$2," - ",NeoGuiInfB!F7,"; ",NeoGuiInfB!$G$2," - ",NeoGuiInfB!G7,";")</f>
        <v>Energie        : Intraveneus - 0 kcal/kg; Oraal - 0 kcal/kg; Totaal - 0 kcal/kg;</v>
      </c>
    </row>
    <row r="147" spans="1:3" x14ac:dyDescent="0.2">
      <c r="A147" s="310" t="s">
        <v>604</v>
      </c>
      <c r="B147" s="313" t="s">
        <v>430</v>
      </c>
      <c r="C147" s="311" t="str">
        <f ca="1">CONCATENATE(NeoGuiInfB!N5,"            : ",NeoGuiInfB!$E$2," - ",NeoGuiInfB!O5,"; ",NeoGuiInfB!$F$2," - ",NeoGuiInfB!P5,"; ",NeoGuiInfB!$G$2," - ",NeoGuiInfB!Q5,";")</f>
        <v>Vit D            : Intraveneus - 0 IE; Oraal - 0 IE; Totaal - 0 IE;</v>
      </c>
    </row>
    <row r="148" spans="1:3" x14ac:dyDescent="0.2">
      <c r="A148" s="310" t="s">
        <v>604</v>
      </c>
      <c r="B148" s="313" t="s">
        <v>431</v>
      </c>
      <c r="C148" s="311" t="str">
        <f ca="1">CONCATENATE(NeoGuiInfB!I3,"        : ",NeoGuiInfB!$J$2," - ",NeoGuiInfB!J3,"; ",NeoGuiInfB!$K$2," - ",NeoGuiInfB!K3,"; ",NeoGuiInfB!$L$2," - ",NeoGuiInfB!L3,";")</f>
        <v>Natrium        : Intraveneus - 6 mmol/kg; Oraal - 0 mmol/kg; Totaal - 6 mmol/kg;</v>
      </c>
    </row>
    <row r="149" spans="1:3" x14ac:dyDescent="0.2">
      <c r="A149" s="310" t="s">
        <v>604</v>
      </c>
      <c r="B149" s="313" t="s">
        <v>432</v>
      </c>
      <c r="C149" s="311" t="str">
        <f ca="1">CONCATENATE(NeoGuiInfB!I4,"         : ",NeoGuiInfB!$J$2," - ",NeoGuiInfB!J4,"; ",NeoGuiInfB!$K$2," - ",NeoGuiInfB!K4,"; ",NeoGuiInfB!$L$2," - ",NeoGuiInfB!L4,";")</f>
        <v>Kalium         : Intraveneus - 0 mmol/kg; Oraal - 0 mmol/kg; Totaal - 0 mmol/kg;</v>
      </c>
    </row>
    <row r="150" spans="1:3" x14ac:dyDescent="0.2">
      <c r="A150" s="310" t="s">
        <v>604</v>
      </c>
      <c r="B150" s="313" t="s">
        <v>433</v>
      </c>
      <c r="C150" s="311" t="str">
        <f ca="1">CONCATENATE(NeoGuiInfB!I5,"       : ",NeoGuiInfB!$J$2," - ",NeoGuiInfB!J5,"; ",NeoGuiInfB!$K$2," - ",NeoGuiInfB!K5,"; ",NeoGuiInfB!$L$2," - ",NeoGuiInfB!L5,";")</f>
        <v>Calcium       : Intraveneus - 0 mmol/kg; Oraal - 0 mmol/kg; Totaal - 0 mmol/kg;</v>
      </c>
    </row>
    <row r="151" spans="1:3" x14ac:dyDescent="0.2">
      <c r="A151" s="310" t="s">
        <v>604</v>
      </c>
      <c r="B151" s="314" t="s">
        <v>605</v>
      </c>
      <c r="C151" s="311" t="str">
        <f ca="1">CONCATENATE(NeoGuiInfB!I6,"  : ",NeoGuiInfB!$J$2," - ",NeoGuiInfB!J6,"; ",NeoGuiInfB!$K$2," - ",NeoGuiInfB!K6,"; ",NeoGuiInfB!$L$2," - ",NeoGuiInfB!L6,";")</f>
        <v>Magnesium  : Intraveneus - 0 mmol/kg; Oraal - 0 mmol/kg; Totaal - 0 mmol/kg;</v>
      </c>
    </row>
    <row r="152" spans="1:3" x14ac:dyDescent="0.2">
      <c r="A152" s="310" t="s">
        <v>604</v>
      </c>
      <c r="B152" s="314" t="s">
        <v>606</v>
      </c>
      <c r="C152" s="311" t="str">
        <f ca="1">CONCATENATE(NeoGuiInfB!N3,"          : ",NeoGuiInfB!$J$2," - ",NeoGuiInfB!O3,"; ",NeoGuiInfB!$K$2," - ",NeoGuiInfB!P3,"; ",NeoGuiInfB!$L$2," - ",NeoGuiInfB!Q3,";")</f>
        <v>Chloor          : Intraveneus - 6 mmol/kg; Oraal - 0 mmol/kg; Totaal - 6 mmol/kg;</v>
      </c>
    </row>
    <row r="153" spans="1:3" x14ac:dyDescent="0.2">
      <c r="A153" s="310" t="s">
        <v>604</v>
      </c>
      <c r="B153" s="314" t="s">
        <v>607</v>
      </c>
      <c r="C153" s="311" t="str">
        <f ca="1">CONCATENATE(NeoGuiInfB!N4,"         : ",NeoGuiInfB!$J$2," - ",NeoGuiInfB!O4,"; ",NeoGuiInfB!$K$2," - ",NeoGuiInfB!P4,"; ",NeoGuiInfB!$L$2," - ",NeoGuiInfB!Q4,";")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5"/>
  <sheetViews>
    <sheetView zoomScaleNormal="100" workbookViewId="0">
      <pane xSplit="1" ySplit="1" topLeftCell="B796" activePane="bottomRight" state="frozen"/>
      <selection activeCell="C22" sqref="C22"/>
      <selection pane="topRight" activeCell="C22" sqref="C22"/>
      <selection pane="bottomLeft" activeCell="C22" sqref="C22"/>
      <selection pane="bottomRight" activeCell="A888" sqref="A888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51" t="s">
        <v>155</v>
      </c>
      <c r="B1" t="s">
        <v>156</v>
      </c>
      <c r="C1" s="311" t="s">
        <v>2003</v>
      </c>
    </row>
    <row r="2" spans="1:6" x14ac:dyDescent="0.2">
      <c r="A2" s="310" t="s">
        <v>1027</v>
      </c>
      <c r="B2" s="310" t="str">
        <f>IF(ISBLANK(PatDetails!$B$1),"",PatDetails!$B$1)</f>
        <v/>
      </c>
      <c r="C2" s="483"/>
    </row>
    <row r="3" spans="1:6" x14ac:dyDescent="0.2">
      <c r="A3" s="310" t="s">
        <v>1028</v>
      </c>
      <c r="B3" s="310" t="str">
        <f>IF(ISBLANK(PatDetails!$B$2),"",PatDetails!$B$2)</f>
        <v/>
      </c>
      <c r="C3" s="483"/>
    </row>
    <row r="4" spans="1:6" x14ac:dyDescent="0.2">
      <c r="A4" s="310" t="s">
        <v>1029</v>
      </c>
      <c r="B4" s="310" t="str">
        <f>IF(ISBLANK(PatDetails!$B$3),"",PatDetails!$B$3)</f>
        <v/>
      </c>
      <c r="C4" s="483"/>
    </row>
    <row r="5" spans="1:6" x14ac:dyDescent="0.2">
      <c r="A5" s="310" t="s">
        <v>1030</v>
      </c>
      <c r="B5" s="310" t="str">
        <f>IF(ISBLANK(PatDetails!$B$4),"",PatDetails!$B$4)</f>
        <v/>
      </c>
      <c r="C5" s="483"/>
    </row>
    <row r="6" spans="1:6" x14ac:dyDescent="0.2">
      <c r="A6" s="310" t="s">
        <v>1031</v>
      </c>
      <c r="B6" s="24">
        <f>IF(ISBLANK(PatDetails!$B$5),"",PatDetails!$B$5)</f>
        <v>1462</v>
      </c>
      <c r="C6" s="128">
        <f>EmptyDate()</f>
        <v>1462</v>
      </c>
      <c r="E6" s="128"/>
    </row>
    <row r="7" spans="1:6" x14ac:dyDescent="0.2">
      <c r="A7" s="310" t="s">
        <v>2004</v>
      </c>
      <c r="B7" t="str">
        <f>IF(ISBLANK(GlobBerMedDisc!$AH$2),"",GlobBerMedDisc!$AH$2)</f>
        <v/>
      </c>
      <c r="C7" s="483"/>
    </row>
    <row r="8" spans="1:6" x14ac:dyDescent="0.2">
      <c r="A8" s="310" t="s">
        <v>2005</v>
      </c>
      <c r="B8" t="str">
        <f>IF(ISBLANK(GlobBerMedDisc!$AH$3),"",GlobBerMedDisc!$AH$3)</f>
        <v/>
      </c>
      <c r="C8" s="483"/>
    </row>
    <row r="9" spans="1:6" x14ac:dyDescent="0.2">
      <c r="A9" s="310" t="s">
        <v>2006</v>
      </c>
      <c r="B9" t="str">
        <f>IF(ISBLANK(GlobBerMedDisc!$AH$4),"",GlobBerMedDisc!$AH$4)</f>
        <v/>
      </c>
      <c r="C9" s="483"/>
    </row>
    <row r="10" spans="1:6" x14ac:dyDescent="0.2">
      <c r="A10" s="310" t="s">
        <v>2007</v>
      </c>
      <c r="B10" t="str">
        <f>IF(ISBLANK(GlobBerMedDisc!$AH$5),"",GlobBerMedDisc!$AH$5)</f>
        <v/>
      </c>
      <c r="C10" s="483"/>
    </row>
    <row r="11" spans="1:6" x14ac:dyDescent="0.2">
      <c r="A11" s="310" t="s">
        <v>2008</v>
      </c>
      <c r="B11" t="str">
        <f>IF(ISBLANK(GlobBerMedDisc!$AH$6),"",GlobBerMedDisc!$AH$6)</f>
        <v/>
      </c>
      <c r="C11" s="483"/>
    </row>
    <row r="12" spans="1:6" x14ac:dyDescent="0.2">
      <c r="A12" s="310" t="s">
        <v>2009</v>
      </c>
      <c r="B12" t="str">
        <f>IF(ISBLANK(GlobBerMedDisc!$AH$7),"",GlobBerMedDisc!$AH$7)</f>
        <v/>
      </c>
      <c r="C12" s="483"/>
    </row>
    <row r="13" spans="1:6" x14ac:dyDescent="0.2">
      <c r="A13" s="310" t="s">
        <v>2010</v>
      </c>
      <c r="B13" t="str">
        <f>IF(ISBLANK(GlobBerMedDisc!$AH$8),"",GlobBerMedDisc!$AH$8)</f>
        <v/>
      </c>
      <c r="C13" s="483"/>
      <c r="F13" s="310"/>
    </row>
    <row r="14" spans="1:6" x14ac:dyDescent="0.2">
      <c r="A14" s="310" t="s">
        <v>2011</v>
      </c>
      <c r="B14" t="str">
        <f>IF(ISBLANK(GlobBerMedDisc!$AH$9),"",GlobBerMedDisc!$AH$9)</f>
        <v/>
      </c>
      <c r="C14" s="483"/>
    </row>
    <row r="15" spans="1:6" x14ac:dyDescent="0.2">
      <c r="A15" s="310" t="s">
        <v>2012</v>
      </c>
      <c r="B15" t="str">
        <f>IF(ISBLANK(GlobBerMedDisc!$AH$10),"",GlobBerMedDisc!$AH$10)</f>
        <v/>
      </c>
      <c r="C15" s="483"/>
    </row>
    <row r="16" spans="1:6" x14ac:dyDescent="0.2">
      <c r="A16" s="310" t="s">
        <v>2013</v>
      </c>
      <c r="B16" t="str">
        <f>IF(ISBLANK(GlobBerMedDisc!$AH$11),"",GlobBerMedDisc!$AH$11)</f>
        <v/>
      </c>
      <c r="C16" s="483"/>
    </row>
    <row r="17" spans="1:3" x14ac:dyDescent="0.2">
      <c r="A17" s="310" t="s">
        <v>2014</v>
      </c>
      <c r="B17" t="str">
        <f>IF(ISBLANK(GlobBerMedDisc!$AH$12),"",GlobBerMedDisc!$AH$12)</f>
        <v/>
      </c>
      <c r="C17" s="483"/>
    </row>
    <row r="18" spans="1:3" x14ac:dyDescent="0.2">
      <c r="A18" s="310" t="s">
        <v>2015</v>
      </c>
      <c r="B18" t="str">
        <f>IF(ISBLANK(GlobBerMedDisc!$AH$13),"",GlobBerMedDisc!$AH$13)</f>
        <v/>
      </c>
      <c r="C18" s="483"/>
    </row>
    <row r="19" spans="1:3" x14ac:dyDescent="0.2">
      <c r="A19" s="310" t="s">
        <v>2016</v>
      </c>
      <c r="B19" t="str">
        <f>IF(ISBLANK(GlobBerMedDisc!$AH$14),"",GlobBerMedDisc!$AH$14)</f>
        <v/>
      </c>
      <c r="C19" s="483"/>
    </row>
    <row r="20" spans="1:3" x14ac:dyDescent="0.2">
      <c r="A20" s="310" t="s">
        <v>2017</v>
      </c>
      <c r="B20" t="str">
        <f>IF(ISBLANK(GlobBerMedDisc!$AH$15),"",GlobBerMedDisc!$AH$15)</f>
        <v/>
      </c>
      <c r="C20" s="483"/>
    </row>
    <row r="21" spans="1:3" x14ac:dyDescent="0.2">
      <c r="A21" s="310" t="s">
        <v>2018</v>
      </c>
      <c r="B21" t="str">
        <f>IF(ISBLANK(GlobBerMedDisc!$AH$16),"",GlobBerMedDisc!$AH$16)</f>
        <v/>
      </c>
      <c r="C21" s="483"/>
    </row>
    <row r="22" spans="1:3" x14ac:dyDescent="0.2">
      <c r="A22" s="310" t="s">
        <v>2019</v>
      </c>
      <c r="B22" t="str">
        <f>IF(ISBLANK(GlobBerMedDisc!$AH$17),"",GlobBerMedDisc!$AH$17)</f>
        <v/>
      </c>
      <c r="C22" s="483"/>
    </row>
    <row r="23" spans="1:3" x14ac:dyDescent="0.2">
      <c r="A23" s="310" t="s">
        <v>2020</v>
      </c>
      <c r="B23" t="str">
        <f>IF(ISBLANK(GlobBerMedDisc!$AH$18),"",GlobBerMedDisc!$AH$18)</f>
        <v/>
      </c>
      <c r="C23" s="483"/>
    </row>
    <row r="24" spans="1:3" x14ac:dyDescent="0.2">
      <c r="A24" s="310" t="s">
        <v>2021</v>
      </c>
      <c r="B24" t="str">
        <f>IF(ISBLANK(GlobBerMedDisc!$AH$19),"",GlobBerMedDisc!$AH$19)</f>
        <v/>
      </c>
      <c r="C24" s="483"/>
    </row>
    <row r="25" spans="1:3" x14ac:dyDescent="0.2">
      <c r="A25" s="310" t="s">
        <v>2022</v>
      </c>
      <c r="B25" t="str">
        <f>IF(ISBLANK(GlobBerMedDisc!$AH$20),"",GlobBerMedDisc!$AH$20)</f>
        <v/>
      </c>
      <c r="C25" s="483"/>
    </row>
    <row r="26" spans="1:3" x14ac:dyDescent="0.2">
      <c r="A26" s="310" t="s">
        <v>2023</v>
      </c>
      <c r="B26" t="str">
        <f>IF(ISBLANK(GlobBerMedDisc!$AH$21),"",GlobBerMedDisc!$AH$21)</f>
        <v/>
      </c>
      <c r="C26" s="483"/>
    </row>
    <row r="27" spans="1:3" x14ac:dyDescent="0.2">
      <c r="A27" s="310" t="s">
        <v>2024</v>
      </c>
      <c r="B27" t="str">
        <f>IF(ISBLANK(GlobBerMedDisc!$AH$22),"",GlobBerMedDisc!$AH$22)</f>
        <v/>
      </c>
      <c r="C27" s="483"/>
    </row>
    <row r="28" spans="1:3" x14ac:dyDescent="0.2">
      <c r="A28" s="310" t="s">
        <v>2025</v>
      </c>
      <c r="B28" t="str">
        <f>IF(ISBLANK(GlobBerMedDisc!$AH$23),"",GlobBerMedDisc!$AH$23)</f>
        <v/>
      </c>
      <c r="C28" s="483"/>
    </row>
    <row r="29" spans="1:3" x14ac:dyDescent="0.2">
      <c r="A29" s="310" t="s">
        <v>2026</v>
      </c>
      <c r="B29" t="str">
        <f>IF(ISBLANK(GlobBerMedDisc!$AH$24),"",GlobBerMedDisc!$AH$24)</f>
        <v/>
      </c>
      <c r="C29" s="483"/>
    </row>
    <row r="30" spans="1:3" x14ac:dyDescent="0.2">
      <c r="A30" s="310" t="s">
        <v>2027</v>
      </c>
      <c r="B30" t="str">
        <f>IF(ISBLANK(GlobBerMedDisc!$AH$25),"",GlobBerMedDisc!$AH$25)</f>
        <v/>
      </c>
      <c r="C30" s="483"/>
    </row>
    <row r="31" spans="1:3" x14ac:dyDescent="0.2">
      <c r="A31" s="310" t="s">
        <v>2028</v>
      </c>
      <c r="B31" t="str">
        <f>IF(ISBLANK(GlobBerMedDisc!$AH$26),"",GlobBerMedDisc!$AH$26)</f>
        <v/>
      </c>
      <c r="C31" s="483"/>
    </row>
    <row r="32" spans="1:3" x14ac:dyDescent="0.2">
      <c r="A32" s="310" t="s">
        <v>2029</v>
      </c>
      <c r="B32" t="str">
        <f>IF(ISBLANK(GlobBerMedDisc!$AH$27),"",GlobBerMedDisc!$AH$27)</f>
        <v/>
      </c>
      <c r="C32" s="483"/>
    </row>
    <row r="33" spans="1:6" x14ac:dyDescent="0.2">
      <c r="A33" s="310" t="s">
        <v>2030</v>
      </c>
      <c r="B33" t="str">
        <f>IF(ISBLANK(GlobBerMedDisc!$AH$28),"",GlobBerMedDisc!$AH$28)</f>
        <v/>
      </c>
      <c r="C33" s="483"/>
    </row>
    <row r="34" spans="1:6" x14ac:dyDescent="0.2">
      <c r="A34" s="310" t="s">
        <v>2031</v>
      </c>
      <c r="B34" t="str">
        <f>IF(ISBLANK(GlobBerMedDisc!$AH$29),"",GlobBerMedDisc!$AH$29)</f>
        <v/>
      </c>
      <c r="C34" s="483"/>
    </row>
    <row r="35" spans="1:6" x14ac:dyDescent="0.2">
      <c r="A35" s="310" t="s">
        <v>2032</v>
      </c>
      <c r="B35" t="str">
        <f>IF(ISBLANK(GlobBerMedDisc!$AH$30),"",GlobBerMedDisc!$AH$30)</f>
        <v/>
      </c>
      <c r="C35" s="483"/>
    </row>
    <row r="36" spans="1:6" x14ac:dyDescent="0.2">
      <c r="A36" s="310" t="s">
        <v>2033</v>
      </c>
      <c r="B36" t="str">
        <f>IF(ISBLANK(GlobBerMedDisc!$AH$31),"",GlobBerMedDisc!$AH$31)</f>
        <v/>
      </c>
      <c r="C36" s="483"/>
    </row>
    <row r="37" spans="1:6" x14ac:dyDescent="0.2">
      <c r="A37" s="310" t="s">
        <v>2034</v>
      </c>
      <c r="B37" t="str">
        <f>IF(ISBLANK(GlobBerMedDisc!$F$2),"",GlobBerMedDisc!$F$2)</f>
        <v/>
      </c>
      <c r="C37" s="483"/>
    </row>
    <row r="38" spans="1:6" x14ac:dyDescent="0.2">
      <c r="A38" s="310" t="s">
        <v>2035</v>
      </c>
      <c r="B38" t="str">
        <f>IF(ISBLANK(GlobBerMedDisc!$F$3),"",GlobBerMedDisc!$F$3)</f>
        <v/>
      </c>
      <c r="C38" s="483"/>
    </row>
    <row r="39" spans="1:6" x14ac:dyDescent="0.2">
      <c r="A39" s="310" t="s">
        <v>2036</v>
      </c>
      <c r="B39" t="str">
        <f>IF(ISBLANK(GlobBerMedDisc!$F$4),"",GlobBerMedDisc!$F$4)</f>
        <v/>
      </c>
      <c r="C39" s="483"/>
    </row>
    <row r="40" spans="1:6" x14ac:dyDescent="0.2">
      <c r="A40" s="310" t="s">
        <v>2037</v>
      </c>
      <c r="B40" t="str">
        <f>IF(ISBLANK(GlobBerMedDisc!$F$5),"",GlobBerMedDisc!$F$5)</f>
        <v/>
      </c>
      <c r="C40" s="483"/>
      <c r="F40" s="310"/>
    </row>
    <row r="41" spans="1:6" x14ac:dyDescent="0.2">
      <c r="A41" s="310" t="s">
        <v>2038</v>
      </c>
      <c r="B41" t="str">
        <f>IF(ISBLANK(GlobBerMedDisc!$F$6),"",GlobBerMedDisc!$F$6)</f>
        <v/>
      </c>
      <c r="C41" s="483"/>
    </row>
    <row r="42" spans="1:6" x14ac:dyDescent="0.2">
      <c r="A42" s="310" t="s">
        <v>2039</v>
      </c>
      <c r="B42" t="str">
        <f>IF(ISBLANK(GlobBerMedDisc!$F$7),"",GlobBerMedDisc!$F$7)</f>
        <v/>
      </c>
      <c r="C42" s="483"/>
    </row>
    <row r="43" spans="1:6" x14ac:dyDescent="0.2">
      <c r="A43" s="310" t="s">
        <v>2040</v>
      </c>
      <c r="B43" t="str">
        <f>IF(ISBLANK(GlobBerMedDisc!$F$8),"",GlobBerMedDisc!$F$8)</f>
        <v/>
      </c>
      <c r="C43" s="483"/>
    </row>
    <row r="44" spans="1:6" x14ac:dyDescent="0.2">
      <c r="A44" s="310" t="s">
        <v>2041</v>
      </c>
      <c r="B44" t="str">
        <f>IF(ISBLANK(GlobBerMedDisc!$F$9),"",GlobBerMedDisc!$F$9)</f>
        <v/>
      </c>
      <c r="C44" s="483"/>
    </row>
    <row r="45" spans="1:6" x14ac:dyDescent="0.2">
      <c r="A45" s="310" t="s">
        <v>2042</v>
      </c>
      <c r="B45" t="str">
        <f>IF(ISBLANK(GlobBerMedDisc!$F$10),"",GlobBerMedDisc!$F$10)</f>
        <v/>
      </c>
      <c r="C45" s="483"/>
    </row>
    <row r="46" spans="1:6" x14ac:dyDescent="0.2">
      <c r="A46" s="310" t="s">
        <v>2043</v>
      </c>
      <c r="B46" t="str">
        <f>IF(ISBLANK(GlobBerMedDisc!$F$11),"",GlobBerMedDisc!$F$11)</f>
        <v/>
      </c>
      <c r="C46" s="483"/>
    </row>
    <row r="47" spans="1:6" x14ac:dyDescent="0.2">
      <c r="A47" s="310" t="s">
        <v>2044</v>
      </c>
      <c r="B47" t="str">
        <f>IF(ISBLANK(GlobBerMedDisc!$F$12),"",GlobBerMedDisc!$F$12)</f>
        <v/>
      </c>
      <c r="C47" s="483"/>
    </row>
    <row r="48" spans="1:6" x14ac:dyDescent="0.2">
      <c r="A48" s="310" t="s">
        <v>2045</v>
      </c>
      <c r="B48" t="str">
        <f>IF(ISBLANK(GlobBerMedDisc!$F$13),"",GlobBerMedDisc!$F$13)</f>
        <v/>
      </c>
      <c r="C48" s="483"/>
    </row>
    <row r="49" spans="1:3" x14ac:dyDescent="0.2">
      <c r="A49" s="310" t="s">
        <v>2046</v>
      </c>
      <c r="B49" t="str">
        <f>IF(ISBLANK(GlobBerMedDisc!$F$14),"",GlobBerMedDisc!$F$14)</f>
        <v/>
      </c>
      <c r="C49" s="483"/>
    </row>
    <row r="50" spans="1:3" x14ac:dyDescent="0.2">
      <c r="A50" s="310" t="s">
        <v>2047</v>
      </c>
      <c r="B50" t="str">
        <f>IF(ISBLANK(GlobBerMedDisc!$F$15),"",GlobBerMedDisc!$F$15)</f>
        <v/>
      </c>
      <c r="C50" s="483"/>
    </row>
    <row r="51" spans="1:3" x14ac:dyDescent="0.2">
      <c r="A51" s="310" t="s">
        <v>2048</v>
      </c>
      <c r="B51" t="str">
        <f>IF(ISBLANK(GlobBerMedDisc!$F$16),"",GlobBerMedDisc!$F$16)</f>
        <v/>
      </c>
      <c r="C51" s="483"/>
    </row>
    <row r="52" spans="1:3" x14ac:dyDescent="0.2">
      <c r="A52" s="310" t="s">
        <v>2049</v>
      </c>
      <c r="B52" t="str">
        <f>IF(ISBLANK(GlobBerMedDisc!$F$17),"",GlobBerMedDisc!$F$17)</f>
        <v/>
      </c>
      <c r="C52" s="483"/>
    </row>
    <row r="53" spans="1:3" x14ac:dyDescent="0.2">
      <c r="A53" s="310" t="s">
        <v>2050</v>
      </c>
      <c r="B53" t="str">
        <f>IF(ISBLANK(GlobBerMedDisc!$F$18),"",GlobBerMedDisc!$F$18)</f>
        <v/>
      </c>
      <c r="C53" s="483"/>
    </row>
    <row r="54" spans="1:3" x14ac:dyDescent="0.2">
      <c r="A54" s="310" t="s">
        <v>2051</v>
      </c>
      <c r="B54" t="str">
        <f>IF(ISBLANK(GlobBerMedDisc!$F$19),"",GlobBerMedDisc!$F$19)</f>
        <v/>
      </c>
      <c r="C54" s="483"/>
    </row>
    <row r="55" spans="1:3" x14ac:dyDescent="0.2">
      <c r="A55" s="310" t="s">
        <v>2052</v>
      </c>
      <c r="B55" t="str">
        <f>IF(ISBLANK(GlobBerMedDisc!$F$20),"",GlobBerMedDisc!$F$20)</f>
        <v/>
      </c>
      <c r="C55" s="483"/>
    </row>
    <row r="56" spans="1:3" x14ac:dyDescent="0.2">
      <c r="A56" s="310" t="s">
        <v>2053</v>
      </c>
      <c r="B56" t="str">
        <f>IF(ISBLANK(GlobBerMedDisc!$F$21),"",GlobBerMedDisc!$F$21)</f>
        <v/>
      </c>
      <c r="C56" s="483"/>
    </row>
    <row r="57" spans="1:3" x14ac:dyDescent="0.2">
      <c r="A57" s="310" t="s">
        <v>2054</v>
      </c>
      <c r="B57" t="str">
        <f>IF(ISBLANK(GlobBerMedDisc!$F$22),"",GlobBerMedDisc!$F$22)</f>
        <v/>
      </c>
      <c r="C57" s="483"/>
    </row>
    <row r="58" spans="1:3" x14ac:dyDescent="0.2">
      <c r="A58" s="310" t="s">
        <v>2055</v>
      </c>
      <c r="B58" t="str">
        <f>IF(ISBLANK(GlobBerMedDisc!$F$23),"",GlobBerMedDisc!$F$23)</f>
        <v/>
      </c>
      <c r="C58" s="483"/>
    </row>
    <row r="59" spans="1:3" x14ac:dyDescent="0.2">
      <c r="A59" s="310" t="s">
        <v>2056</v>
      </c>
      <c r="B59" t="str">
        <f>IF(ISBLANK(GlobBerMedDisc!$F$24),"",GlobBerMedDisc!$F$24)</f>
        <v/>
      </c>
      <c r="C59" s="483"/>
    </row>
    <row r="60" spans="1:3" x14ac:dyDescent="0.2">
      <c r="A60" s="310" t="s">
        <v>2057</v>
      </c>
      <c r="B60" t="str">
        <f>IF(ISBLANK(GlobBerMedDisc!$F$25),"",GlobBerMedDisc!$F$25)</f>
        <v/>
      </c>
      <c r="C60" s="483"/>
    </row>
    <row r="61" spans="1:3" x14ac:dyDescent="0.2">
      <c r="A61" s="310" t="s">
        <v>2058</v>
      </c>
      <c r="B61" t="str">
        <f>IF(ISBLANK(GlobBerMedDisc!$F$26),"",GlobBerMedDisc!$F$26)</f>
        <v/>
      </c>
      <c r="C61" s="483"/>
    </row>
    <row r="62" spans="1:3" x14ac:dyDescent="0.2">
      <c r="A62" s="310" t="s">
        <v>2059</v>
      </c>
      <c r="B62" t="str">
        <f>IF(ISBLANK(GlobBerMedDisc!$F$27),"",GlobBerMedDisc!$F$27)</f>
        <v/>
      </c>
      <c r="C62" s="483"/>
    </row>
    <row r="63" spans="1:3" x14ac:dyDescent="0.2">
      <c r="A63" s="310" t="s">
        <v>2060</v>
      </c>
      <c r="B63" t="str">
        <f>IF(ISBLANK(GlobBerMedDisc!$F$28),"",GlobBerMedDisc!$F$28)</f>
        <v/>
      </c>
      <c r="C63" s="483"/>
    </row>
    <row r="64" spans="1:3" x14ac:dyDescent="0.2">
      <c r="A64" s="310" t="s">
        <v>2061</v>
      </c>
      <c r="B64" t="str">
        <f>IF(ISBLANK(GlobBerMedDisc!$F$29),"",GlobBerMedDisc!$F$29)</f>
        <v/>
      </c>
      <c r="C64" s="483"/>
    </row>
    <row r="65" spans="1:3" x14ac:dyDescent="0.2">
      <c r="A65" s="310" t="s">
        <v>2062</v>
      </c>
      <c r="B65" t="str">
        <f>IF(ISBLANK(GlobBerMedDisc!$F$30),"",GlobBerMedDisc!$F$30)</f>
        <v/>
      </c>
      <c r="C65" s="483"/>
    </row>
    <row r="66" spans="1:3" x14ac:dyDescent="0.2">
      <c r="A66" s="310" t="s">
        <v>2063</v>
      </c>
      <c r="B66" t="str">
        <f>IF(ISBLANK(GlobBerMedDisc!$F$31),"",GlobBerMedDisc!$F$31)</f>
        <v/>
      </c>
      <c r="C66" s="483"/>
    </row>
    <row r="67" spans="1:3" x14ac:dyDescent="0.2">
      <c r="A67" s="310" t="s">
        <v>2064</v>
      </c>
      <c r="B67">
        <f>IF(ISBLANK(GlobBerMedDisc!$G$2),"",GlobBerMedDisc!$G$2)</f>
        <v>0</v>
      </c>
      <c r="C67" s="312">
        <v>0</v>
      </c>
    </row>
    <row r="68" spans="1:3" x14ac:dyDescent="0.2">
      <c r="A68" s="310" t="s">
        <v>2065</v>
      </c>
      <c r="B68">
        <f>IF(ISBLANK(GlobBerMedDisc!$G$3),"",GlobBerMedDisc!$G$3)</f>
        <v>0</v>
      </c>
      <c r="C68" s="312">
        <v>0</v>
      </c>
    </row>
    <row r="69" spans="1:3" x14ac:dyDescent="0.2">
      <c r="A69" s="310" t="s">
        <v>2066</v>
      </c>
      <c r="B69">
        <f>IF(ISBLANK(GlobBerMedDisc!$G$4),"",GlobBerMedDisc!$G$4)</f>
        <v>0</v>
      </c>
      <c r="C69" s="312">
        <v>0</v>
      </c>
    </row>
    <row r="70" spans="1:3" x14ac:dyDescent="0.2">
      <c r="A70" s="310" t="s">
        <v>2067</v>
      </c>
      <c r="B70">
        <f>IF(ISBLANK(GlobBerMedDisc!$G$5),"",GlobBerMedDisc!$G$5)</f>
        <v>0</v>
      </c>
      <c r="C70" s="312">
        <v>0</v>
      </c>
    </row>
    <row r="71" spans="1:3" x14ac:dyDescent="0.2">
      <c r="A71" s="310" t="s">
        <v>2068</v>
      </c>
      <c r="B71" s="310">
        <f>IF(ISBLANK(GlobBerMedDisc!$G$6),"",GlobBerMedDisc!$G$6)</f>
        <v>0</v>
      </c>
      <c r="C71" s="312">
        <v>0</v>
      </c>
    </row>
    <row r="72" spans="1:3" x14ac:dyDescent="0.2">
      <c r="A72" s="310" t="s">
        <v>2069</v>
      </c>
      <c r="B72" s="310">
        <f>IF(ISBLANK(GlobBerMedDisc!$G$7),"",GlobBerMedDisc!$G$7)</f>
        <v>0</v>
      </c>
      <c r="C72" s="312">
        <v>0</v>
      </c>
    </row>
    <row r="73" spans="1:3" x14ac:dyDescent="0.2">
      <c r="A73" s="310" t="s">
        <v>2070</v>
      </c>
      <c r="B73" s="310">
        <f>IF(ISBLANK(GlobBerMedDisc!$G$8),"",GlobBerMedDisc!$G$8)</f>
        <v>0</v>
      </c>
      <c r="C73" s="312">
        <v>0</v>
      </c>
    </row>
    <row r="74" spans="1:3" x14ac:dyDescent="0.2">
      <c r="A74" s="310" t="s">
        <v>2071</v>
      </c>
      <c r="B74" s="310">
        <f>IF(ISBLANK(GlobBerMedDisc!$G$9),"",GlobBerMedDisc!$G$9)</f>
        <v>0</v>
      </c>
      <c r="C74" s="312">
        <v>0</v>
      </c>
    </row>
    <row r="75" spans="1:3" x14ac:dyDescent="0.2">
      <c r="A75" s="310" t="s">
        <v>2072</v>
      </c>
      <c r="B75" s="310">
        <f>IF(ISBLANK(GlobBerMedDisc!$G$10),"",GlobBerMedDisc!$G$10)</f>
        <v>0</v>
      </c>
      <c r="C75" s="312">
        <v>0</v>
      </c>
    </row>
    <row r="76" spans="1:3" x14ac:dyDescent="0.2">
      <c r="A76" s="310" t="s">
        <v>2073</v>
      </c>
      <c r="B76" s="310">
        <f>IF(ISBLANK(GlobBerMedDisc!$G$11),"",GlobBerMedDisc!$G$11)</f>
        <v>0</v>
      </c>
      <c r="C76" s="312">
        <v>0</v>
      </c>
    </row>
    <row r="77" spans="1:3" x14ac:dyDescent="0.2">
      <c r="A77" s="310" t="s">
        <v>2074</v>
      </c>
      <c r="B77" s="310">
        <f>IF(ISBLANK(GlobBerMedDisc!$G$12),"",GlobBerMedDisc!$G$12)</f>
        <v>0</v>
      </c>
      <c r="C77" s="312">
        <v>0</v>
      </c>
    </row>
    <row r="78" spans="1:3" x14ac:dyDescent="0.2">
      <c r="A78" s="310" t="s">
        <v>2075</v>
      </c>
      <c r="B78" s="310">
        <f>IF(ISBLANK(GlobBerMedDisc!$G$13),"",GlobBerMedDisc!$G$13)</f>
        <v>0</v>
      </c>
      <c r="C78" s="312">
        <v>0</v>
      </c>
    </row>
    <row r="79" spans="1:3" x14ac:dyDescent="0.2">
      <c r="A79" s="310" t="s">
        <v>2076</v>
      </c>
      <c r="B79">
        <f>IF(ISBLANK(GlobBerMedDisc!$G$14),"",GlobBerMedDisc!$G$14)</f>
        <v>0</v>
      </c>
      <c r="C79" s="312">
        <v>0</v>
      </c>
    </row>
    <row r="80" spans="1:3" x14ac:dyDescent="0.2">
      <c r="A80" s="310" t="s">
        <v>2077</v>
      </c>
      <c r="B80">
        <f>IF(ISBLANK(GlobBerMedDisc!$G$15),"",GlobBerMedDisc!$G$15)</f>
        <v>0</v>
      </c>
      <c r="C80" s="312">
        <v>0</v>
      </c>
    </row>
    <row r="81" spans="1:3" x14ac:dyDescent="0.2">
      <c r="A81" s="310" t="s">
        <v>2078</v>
      </c>
      <c r="B81">
        <f>IF(ISBLANK(GlobBerMedDisc!$G$16),"",GlobBerMedDisc!$G$16)</f>
        <v>0</v>
      </c>
      <c r="C81" s="312">
        <v>0</v>
      </c>
    </row>
    <row r="82" spans="1:3" x14ac:dyDescent="0.2">
      <c r="A82" s="310" t="s">
        <v>2079</v>
      </c>
      <c r="B82">
        <f>IF(ISBLANK(GlobBerMedDisc!$G$17),"",GlobBerMedDisc!$G$17)</f>
        <v>0</v>
      </c>
      <c r="C82" s="312">
        <v>0</v>
      </c>
    </row>
    <row r="83" spans="1:3" x14ac:dyDescent="0.2">
      <c r="A83" s="310" t="s">
        <v>2080</v>
      </c>
      <c r="B83">
        <f>IF(ISBLANK(GlobBerMedDisc!$G$18),"",GlobBerMedDisc!$G$18)</f>
        <v>0</v>
      </c>
      <c r="C83" s="312">
        <v>0</v>
      </c>
    </row>
    <row r="84" spans="1:3" x14ac:dyDescent="0.2">
      <c r="A84" s="310" t="s">
        <v>2081</v>
      </c>
      <c r="B84">
        <f>IF(ISBLANK(GlobBerMedDisc!$G$19),"",GlobBerMedDisc!$G$19)</f>
        <v>0</v>
      </c>
      <c r="C84" s="312">
        <v>0</v>
      </c>
    </row>
    <row r="85" spans="1:3" x14ac:dyDescent="0.2">
      <c r="A85" s="310" t="s">
        <v>2082</v>
      </c>
      <c r="B85">
        <f>IF(ISBLANK(GlobBerMedDisc!$G$20),"",GlobBerMedDisc!$G$20)</f>
        <v>0</v>
      </c>
      <c r="C85" s="312">
        <v>0</v>
      </c>
    </row>
    <row r="86" spans="1:3" x14ac:dyDescent="0.2">
      <c r="A86" s="310" t="s">
        <v>2083</v>
      </c>
      <c r="B86">
        <f>IF(ISBLANK(GlobBerMedDisc!$G$21),"",GlobBerMedDisc!$G$21)</f>
        <v>0</v>
      </c>
      <c r="C86" s="312">
        <v>0</v>
      </c>
    </row>
    <row r="87" spans="1:3" x14ac:dyDescent="0.2">
      <c r="A87" s="310" t="s">
        <v>2084</v>
      </c>
      <c r="B87">
        <f>IF(ISBLANK(GlobBerMedDisc!$G$22),"",GlobBerMedDisc!$G$22)</f>
        <v>0</v>
      </c>
      <c r="C87" s="312">
        <v>0</v>
      </c>
    </row>
    <row r="88" spans="1:3" x14ac:dyDescent="0.2">
      <c r="A88" s="310" t="s">
        <v>2085</v>
      </c>
      <c r="B88">
        <f>IF(ISBLANK(GlobBerMedDisc!$G$23),"",GlobBerMedDisc!$G$23)</f>
        <v>0</v>
      </c>
      <c r="C88" s="312">
        <v>0</v>
      </c>
    </row>
    <row r="89" spans="1:3" x14ac:dyDescent="0.2">
      <c r="A89" s="310" t="s">
        <v>2086</v>
      </c>
      <c r="B89">
        <f>IF(ISBLANK(GlobBerMedDisc!$G$24),"",GlobBerMedDisc!$G$24)</f>
        <v>0</v>
      </c>
      <c r="C89" s="312">
        <v>0</v>
      </c>
    </row>
    <row r="90" spans="1:3" x14ac:dyDescent="0.2">
      <c r="A90" s="310" t="s">
        <v>2087</v>
      </c>
      <c r="B90">
        <f>IF(ISBLANK(GlobBerMedDisc!$G$25),"",GlobBerMedDisc!$G$25)</f>
        <v>0</v>
      </c>
      <c r="C90" s="312">
        <v>0</v>
      </c>
    </row>
    <row r="91" spans="1:3" x14ac:dyDescent="0.2">
      <c r="A91" s="310" t="s">
        <v>2088</v>
      </c>
      <c r="B91">
        <f>IF(ISBLANK(GlobBerMedDisc!$G$26),"",GlobBerMedDisc!$G$26)</f>
        <v>0</v>
      </c>
      <c r="C91" s="312">
        <v>0</v>
      </c>
    </row>
    <row r="92" spans="1:3" x14ac:dyDescent="0.2">
      <c r="A92" s="310" t="s">
        <v>2089</v>
      </c>
      <c r="B92">
        <f>IF(ISBLANK(GlobBerMedDisc!$G$27),"",GlobBerMedDisc!$G$27)</f>
        <v>0</v>
      </c>
      <c r="C92" s="312">
        <v>0</v>
      </c>
    </row>
    <row r="93" spans="1:3" x14ac:dyDescent="0.2">
      <c r="A93" s="310" t="s">
        <v>2090</v>
      </c>
      <c r="B93">
        <f>IF(ISBLANK(GlobBerMedDisc!$G$28),"",GlobBerMedDisc!$G$28)</f>
        <v>0</v>
      </c>
      <c r="C93" s="312">
        <v>0</v>
      </c>
    </row>
    <row r="94" spans="1:3" x14ac:dyDescent="0.2">
      <c r="A94" s="310" t="s">
        <v>2091</v>
      </c>
      <c r="B94">
        <f>IF(ISBLANK(GlobBerMedDisc!$G$29),"",GlobBerMedDisc!$G$29)</f>
        <v>0</v>
      </c>
      <c r="C94" s="312">
        <v>0</v>
      </c>
    </row>
    <row r="95" spans="1:3" x14ac:dyDescent="0.2">
      <c r="A95" s="310" t="s">
        <v>2092</v>
      </c>
      <c r="B95">
        <f>IF(ISBLANK(GlobBerMedDisc!$G$30),"",GlobBerMedDisc!$G$30)</f>
        <v>0</v>
      </c>
      <c r="C95" s="312">
        <v>0</v>
      </c>
    </row>
    <row r="96" spans="1:3" x14ac:dyDescent="0.2">
      <c r="A96" s="310" t="s">
        <v>2093</v>
      </c>
      <c r="B96">
        <f>IF(ISBLANK(GlobBerMedDisc!$G$31),"",GlobBerMedDisc!$G$31)</f>
        <v>0</v>
      </c>
      <c r="C96" s="312">
        <v>0</v>
      </c>
    </row>
    <row r="97" spans="1:3" x14ac:dyDescent="0.2">
      <c r="A97" s="310" t="s">
        <v>2094</v>
      </c>
      <c r="B97" t="str">
        <f>IF(ISBLANK(GlobBerMedDisc!$AK$2),"",GlobBerMedDisc!$AK$2)</f>
        <v/>
      </c>
      <c r="C97" s="130"/>
    </row>
    <row r="98" spans="1:3" x14ac:dyDescent="0.2">
      <c r="A98" s="310" t="s">
        <v>2095</v>
      </c>
      <c r="B98" t="str">
        <f>IF(ISBLANK(GlobBerMedDisc!$AK$3),"",GlobBerMedDisc!$AK$3)</f>
        <v/>
      </c>
      <c r="C98" s="130"/>
    </row>
    <row r="99" spans="1:3" x14ac:dyDescent="0.2">
      <c r="A99" s="310" t="s">
        <v>2096</v>
      </c>
      <c r="B99" t="str">
        <f>IF(ISBLANK(GlobBerMedDisc!$AK$4),"",GlobBerMedDisc!$AK$4)</f>
        <v/>
      </c>
      <c r="C99" s="130"/>
    </row>
    <row r="100" spans="1:3" x14ac:dyDescent="0.2">
      <c r="A100" s="310" t="s">
        <v>2097</v>
      </c>
      <c r="B100" t="str">
        <f>IF(ISBLANK(GlobBerMedDisc!$AK$5),"",GlobBerMedDisc!$AK$5)</f>
        <v/>
      </c>
      <c r="C100" s="130"/>
    </row>
    <row r="101" spans="1:3" x14ac:dyDescent="0.2">
      <c r="A101" s="310" t="s">
        <v>2098</v>
      </c>
      <c r="B101" t="str">
        <f>IF(ISBLANK(GlobBerMedDisc!$AK$6),"",GlobBerMedDisc!$AK$6)</f>
        <v/>
      </c>
      <c r="C101" s="130"/>
    </row>
    <row r="102" spans="1:3" x14ac:dyDescent="0.2">
      <c r="A102" s="310" t="s">
        <v>2099</v>
      </c>
      <c r="B102" t="str">
        <f>IF(ISBLANK(GlobBerMedDisc!$AK$7),"",GlobBerMedDisc!$AK$7)</f>
        <v/>
      </c>
      <c r="C102" s="130"/>
    </row>
    <row r="103" spans="1:3" x14ac:dyDescent="0.2">
      <c r="A103" s="310" t="s">
        <v>2100</v>
      </c>
      <c r="B103" t="str">
        <f>IF(ISBLANK(GlobBerMedDisc!$AK$8),"",GlobBerMedDisc!$AK$8)</f>
        <v/>
      </c>
      <c r="C103" s="130"/>
    </row>
    <row r="104" spans="1:3" x14ac:dyDescent="0.2">
      <c r="A104" s="310" t="s">
        <v>2101</v>
      </c>
      <c r="B104" t="str">
        <f>IF(ISBLANK(GlobBerMedDisc!$AK$9),"",GlobBerMedDisc!$AK$9)</f>
        <v/>
      </c>
      <c r="C104" s="130"/>
    </row>
    <row r="105" spans="1:3" x14ac:dyDescent="0.2">
      <c r="A105" s="310" t="s">
        <v>2102</v>
      </c>
      <c r="B105" t="str">
        <f>IF(ISBLANK(GlobBerMedDisc!$AK$10),"",GlobBerMedDisc!$AK$10)</f>
        <v/>
      </c>
      <c r="C105" s="130"/>
    </row>
    <row r="106" spans="1:3" x14ac:dyDescent="0.2">
      <c r="A106" s="310" t="s">
        <v>2103</v>
      </c>
      <c r="B106" t="str">
        <f>IF(ISBLANK(GlobBerMedDisc!$AK$11),"",GlobBerMedDisc!$AK$11)</f>
        <v/>
      </c>
      <c r="C106" s="130"/>
    </row>
    <row r="107" spans="1:3" x14ac:dyDescent="0.2">
      <c r="A107" s="310" t="s">
        <v>2104</v>
      </c>
      <c r="B107" t="str">
        <f>IF(ISBLANK(GlobBerMedDisc!$AK$12),"",GlobBerMedDisc!$AK$12)</f>
        <v/>
      </c>
      <c r="C107" s="130"/>
    </row>
    <row r="108" spans="1:3" x14ac:dyDescent="0.2">
      <c r="A108" s="310" t="s">
        <v>2105</v>
      </c>
      <c r="B108" t="str">
        <f>IF(ISBLANK(GlobBerMedDisc!$AK$13),"",GlobBerMedDisc!$AK$13)</f>
        <v/>
      </c>
      <c r="C108" s="130"/>
    </row>
    <row r="109" spans="1:3" x14ac:dyDescent="0.2">
      <c r="A109" s="310" t="s">
        <v>2106</v>
      </c>
      <c r="B109" t="str">
        <f>IF(ISBLANK(GlobBerMedDisc!$AK$14),"",GlobBerMedDisc!$AK$14)</f>
        <v/>
      </c>
      <c r="C109" s="130"/>
    </row>
    <row r="110" spans="1:3" x14ac:dyDescent="0.2">
      <c r="A110" s="310" t="s">
        <v>2107</v>
      </c>
      <c r="B110" t="str">
        <f>IF(ISBLANK(GlobBerMedDisc!$AK$15),"",GlobBerMedDisc!$AK$15)</f>
        <v/>
      </c>
      <c r="C110" s="130"/>
    </row>
    <row r="111" spans="1:3" x14ac:dyDescent="0.2">
      <c r="A111" s="310" t="s">
        <v>2108</v>
      </c>
      <c r="B111" t="str">
        <f>IF(ISBLANK(GlobBerMedDisc!$AK$16),"",GlobBerMedDisc!$AK$16)</f>
        <v/>
      </c>
      <c r="C111" s="130"/>
    </row>
    <row r="112" spans="1:3" x14ac:dyDescent="0.2">
      <c r="A112" s="310" t="s">
        <v>2109</v>
      </c>
      <c r="B112" t="str">
        <f>IF(ISBLANK(GlobBerMedDisc!$AK$17),"",GlobBerMedDisc!$AK$17)</f>
        <v/>
      </c>
      <c r="C112" s="130"/>
    </row>
    <row r="113" spans="1:3" x14ac:dyDescent="0.2">
      <c r="A113" s="310" t="s">
        <v>2110</v>
      </c>
      <c r="B113" t="str">
        <f>IF(ISBLANK(GlobBerMedDisc!$AK$18),"",GlobBerMedDisc!$AK$18)</f>
        <v/>
      </c>
      <c r="C113" s="130"/>
    </row>
    <row r="114" spans="1:3" x14ac:dyDescent="0.2">
      <c r="A114" s="310" t="s">
        <v>2111</v>
      </c>
      <c r="B114" t="str">
        <f>IF(ISBLANK(GlobBerMedDisc!$AK$19),"",GlobBerMedDisc!$AK$19)</f>
        <v/>
      </c>
      <c r="C114" s="130"/>
    </row>
    <row r="115" spans="1:3" x14ac:dyDescent="0.2">
      <c r="A115" s="310" t="s">
        <v>2112</v>
      </c>
      <c r="B115" t="str">
        <f>IF(ISBLANK(GlobBerMedDisc!$AK$20),"",GlobBerMedDisc!$AK$20)</f>
        <v/>
      </c>
      <c r="C115" s="130"/>
    </row>
    <row r="116" spans="1:3" x14ac:dyDescent="0.2">
      <c r="A116" s="310" t="s">
        <v>2113</v>
      </c>
      <c r="B116" t="str">
        <f>IF(ISBLANK(GlobBerMedDisc!$AK$21),"",GlobBerMedDisc!$AK$21)</f>
        <v/>
      </c>
      <c r="C116" s="130"/>
    </row>
    <row r="117" spans="1:3" x14ac:dyDescent="0.2">
      <c r="A117" s="310" t="s">
        <v>2114</v>
      </c>
      <c r="B117" t="str">
        <f>IF(ISBLANK(GlobBerMedDisc!$AK$22),"",GlobBerMedDisc!$AK$22)</f>
        <v/>
      </c>
      <c r="C117" s="130"/>
    </row>
    <row r="118" spans="1:3" x14ac:dyDescent="0.2">
      <c r="A118" s="310" t="s">
        <v>2115</v>
      </c>
      <c r="B118" t="str">
        <f>IF(ISBLANK(GlobBerMedDisc!$AK$23),"",GlobBerMedDisc!$AK$23)</f>
        <v/>
      </c>
      <c r="C118" s="130"/>
    </row>
    <row r="119" spans="1:3" x14ac:dyDescent="0.2">
      <c r="A119" s="310" t="s">
        <v>2116</v>
      </c>
      <c r="B119" t="str">
        <f>IF(ISBLANK(GlobBerMedDisc!$AK$24),"",GlobBerMedDisc!$AK$24)</f>
        <v/>
      </c>
      <c r="C119" s="130"/>
    </row>
    <row r="120" spans="1:3" x14ac:dyDescent="0.2">
      <c r="A120" s="310" t="s">
        <v>2117</v>
      </c>
      <c r="B120" t="str">
        <f>IF(ISBLANK(GlobBerMedDisc!$AK$25),"",GlobBerMedDisc!$AK$25)</f>
        <v/>
      </c>
      <c r="C120" s="130"/>
    </row>
    <row r="121" spans="1:3" x14ac:dyDescent="0.2">
      <c r="A121" s="310" t="s">
        <v>2118</v>
      </c>
      <c r="B121" t="str">
        <f>IF(ISBLANK(GlobBerMedDisc!$AK$26),"",GlobBerMedDisc!$AK$26)</f>
        <v/>
      </c>
      <c r="C121" s="130"/>
    </row>
    <row r="122" spans="1:3" x14ac:dyDescent="0.2">
      <c r="A122" s="310" t="s">
        <v>2119</v>
      </c>
      <c r="B122" t="str">
        <f>IF(ISBLANK(GlobBerMedDisc!$AK$27),"",GlobBerMedDisc!$AK$27)</f>
        <v/>
      </c>
      <c r="C122" s="130"/>
    </row>
    <row r="123" spans="1:3" x14ac:dyDescent="0.2">
      <c r="A123" s="310" t="s">
        <v>2120</v>
      </c>
      <c r="B123" t="str">
        <f>IF(ISBLANK(GlobBerMedDisc!$AK$28),"",GlobBerMedDisc!$AK$28)</f>
        <v/>
      </c>
      <c r="C123" s="130"/>
    </row>
    <row r="124" spans="1:3" x14ac:dyDescent="0.2">
      <c r="A124" s="310" t="s">
        <v>2121</v>
      </c>
      <c r="B124" t="str">
        <f>IF(ISBLANK(GlobBerMedDisc!$AK$29),"",GlobBerMedDisc!$AK$29)</f>
        <v/>
      </c>
      <c r="C124" s="130"/>
    </row>
    <row r="125" spans="1:3" x14ac:dyDescent="0.2">
      <c r="A125" s="310" t="s">
        <v>2122</v>
      </c>
      <c r="B125" t="str">
        <f>IF(ISBLANK(GlobBerMedDisc!$AK$30),"",GlobBerMedDisc!$AK$30)</f>
        <v/>
      </c>
      <c r="C125" s="130"/>
    </row>
    <row r="126" spans="1:3" x14ac:dyDescent="0.2">
      <c r="A126" s="310" t="s">
        <v>2123</v>
      </c>
      <c r="B126" t="str">
        <f>IF(ISBLANK(GlobBerMedDisc!$AK$31),"",GlobBerMedDisc!$AK$31)</f>
        <v/>
      </c>
      <c r="C126" s="130"/>
    </row>
    <row r="127" spans="1:3" x14ac:dyDescent="0.2">
      <c r="A127" s="310" t="s">
        <v>2124</v>
      </c>
      <c r="B127" t="str">
        <f>IF(ISBLANK(GlobBerMedDisc!$D$2),"",GlobBerMedDisc!$D$2)</f>
        <v/>
      </c>
      <c r="C127" s="130"/>
    </row>
    <row r="128" spans="1:3" x14ac:dyDescent="0.2">
      <c r="A128" s="310" t="s">
        <v>2125</v>
      </c>
      <c r="B128" t="str">
        <f>IF(ISBLANK(GlobBerMedDisc!$D$3),"",GlobBerMedDisc!$D$3)</f>
        <v/>
      </c>
      <c r="C128" s="130"/>
    </row>
    <row r="129" spans="1:3" x14ac:dyDescent="0.2">
      <c r="A129" s="310" t="s">
        <v>2126</v>
      </c>
      <c r="B129" t="str">
        <f>IF(ISBLANK(GlobBerMedDisc!$D$4),"",GlobBerMedDisc!$D$4)</f>
        <v/>
      </c>
      <c r="C129" s="130"/>
    </row>
    <row r="130" spans="1:3" x14ac:dyDescent="0.2">
      <c r="A130" s="310" t="s">
        <v>2127</v>
      </c>
      <c r="B130" t="str">
        <f>IF(ISBLANK(GlobBerMedDisc!$D$5),"",GlobBerMedDisc!$D$5)</f>
        <v/>
      </c>
      <c r="C130" s="130"/>
    </row>
    <row r="131" spans="1:3" x14ac:dyDescent="0.2">
      <c r="A131" s="310" t="s">
        <v>2128</v>
      </c>
      <c r="B131" t="str">
        <f>IF(ISBLANK(GlobBerMedDisc!$D$6),"",GlobBerMedDisc!$D$6)</f>
        <v/>
      </c>
      <c r="C131" s="130"/>
    </row>
    <row r="132" spans="1:3" x14ac:dyDescent="0.2">
      <c r="A132" s="310" t="s">
        <v>2129</v>
      </c>
      <c r="B132" t="str">
        <f>IF(ISBLANK(GlobBerMedDisc!$D$7),"",GlobBerMedDisc!$D$7)</f>
        <v/>
      </c>
      <c r="C132" s="130"/>
    </row>
    <row r="133" spans="1:3" x14ac:dyDescent="0.2">
      <c r="A133" s="310" t="s">
        <v>2130</v>
      </c>
      <c r="B133" t="str">
        <f>IF(ISBLANK(GlobBerMedDisc!$D$8),"",GlobBerMedDisc!$D$8)</f>
        <v/>
      </c>
      <c r="C133" s="130"/>
    </row>
    <row r="134" spans="1:3" x14ac:dyDescent="0.2">
      <c r="A134" s="310" t="s">
        <v>2131</v>
      </c>
      <c r="B134" t="str">
        <f>IF(ISBLANK(GlobBerMedDisc!$D$9),"",GlobBerMedDisc!$D$9)</f>
        <v/>
      </c>
      <c r="C134" s="130"/>
    </row>
    <row r="135" spans="1:3" x14ac:dyDescent="0.2">
      <c r="A135" s="310" t="s">
        <v>2132</v>
      </c>
      <c r="B135" t="str">
        <f>IF(ISBLANK(GlobBerMedDisc!$D$10),"",GlobBerMedDisc!$D$10)</f>
        <v/>
      </c>
      <c r="C135" s="130"/>
    </row>
    <row r="136" spans="1:3" x14ac:dyDescent="0.2">
      <c r="A136" s="310" t="s">
        <v>2133</v>
      </c>
      <c r="B136" t="str">
        <f>IF(ISBLANK(GlobBerMedDisc!$D$11),"",GlobBerMedDisc!$D$11)</f>
        <v/>
      </c>
      <c r="C136" s="130"/>
    </row>
    <row r="137" spans="1:3" x14ac:dyDescent="0.2">
      <c r="A137" s="310" t="s">
        <v>2134</v>
      </c>
      <c r="B137" t="str">
        <f>IF(ISBLANK(GlobBerMedDisc!$D$12),"",GlobBerMedDisc!$D$12)</f>
        <v/>
      </c>
      <c r="C137" s="130"/>
    </row>
    <row r="138" spans="1:3" x14ac:dyDescent="0.2">
      <c r="A138" s="310" t="s">
        <v>2135</v>
      </c>
      <c r="B138" t="str">
        <f>IF(ISBLANK(GlobBerMedDisc!$D$13),"",GlobBerMedDisc!$D$13)</f>
        <v/>
      </c>
      <c r="C138" s="130"/>
    </row>
    <row r="139" spans="1:3" x14ac:dyDescent="0.2">
      <c r="A139" s="310" t="s">
        <v>2136</v>
      </c>
      <c r="B139" t="str">
        <f>IF(ISBLANK(GlobBerMedDisc!$D$14),"",GlobBerMedDisc!$D$14)</f>
        <v/>
      </c>
      <c r="C139" s="130"/>
    </row>
    <row r="140" spans="1:3" x14ac:dyDescent="0.2">
      <c r="A140" s="310" t="s">
        <v>2137</v>
      </c>
      <c r="B140" t="str">
        <f>IF(ISBLANK(GlobBerMedDisc!$D$15),"",GlobBerMedDisc!$D$15)</f>
        <v/>
      </c>
      <c r="C140" s="130"/>
    </row>
    <row r="141" spans="1:3" x14ac:dyDescent="0.2">
      <c r="A141" s="310" t="s">
        <v>2138</v>
      </c>
      <c r="B141" t="str">
        <f>IF(ISBLANK(GlobBerMedDisc!$D$16),"",GlobBerMedDisc!$D$16)</f>
        <v/>
      </c>
      <c r="C141" s="130"/>
    </row>
    <row r="142" spans="1:3" x14ac:dyDescent="0.2">
      <c r="A142" s="310" t="s">
        <v>2139</v>
      </c>
      <c r="B142" t="str">
        <f>IF(ISBLANK(GlobBerMedDisc!$D$17),"",GlobBerMedDisc!$D$17)</f>
        <v/>
      </c>
      <c r="C142" s="130"/>
    </row>
    <row r="143" spans="1:3" x14ac:dyDescent="0.2">
      <c r="A143" s="310" t="s">
        <v>2140</v>
      </c>
      <c r="B143" t="str">
        <f>IF(ISBLANK(GlobBerMedDisc!$D$18),"",GlobBerMedDisc!$D$18)</f>
        <v/>
      </c>
      <c r="C143" s="130"/>
    </row>
    <row r="144" spans="1:3" x14ac:dyDescent="0.2">
      <c r="A144" s="310" t="s">
        <v>2141</v>
      </c>
      <c r="B144" t="str">
        <f>IF(ISBLANK(GlobBerMedDisc!$D$19),"",GlobBerMedDisc!$D$19)</f>
        <v/>
      </c>
      <c r="C144" s="130"/>
    </row>
    <row r="145" spans="1:3" x14ac:dyDescent="0.2">
      <c r="A145" s="310" t="s">
        <v>2142</v>
      </c>
      <c r="B145" t="str">
        <f>IF(ISBLANK(GlobBerMedDisc!$D$20),"",GlobBerMedDisc!$D$20)</f>
        <v/>
      </c>
      <c r="C145" s="130"/>
    </row>
    <row r="146" spans="1:3" x14ac:dyDescent="0.2">
      <c r="A146" s="310" t="s">
        <v>2143</v>
      </c>
      <c r="B146" t="str">
        <f>IF(ISBLANK(GlobBerMedDisc!$D$21),"",GlobBerMedDisc!$D$21)</f>
        <v/>
      </c>
      <c r="C146" s="130"/>
    </row>
    <row r="147" spans="1:3" x14ac:dyDescent="0.2">
      <c r="A147" s="310" t="s">
        <v>2144</v>
      </c>
      <c r="B147" t="str">
        <f>IF(ISBLANK(GlobBerMedDisc!$D$22),"",GlobBerMedDisc!$D$22)</f>
        <v/>
      </c>
      <c r="C147" s="130"/>
    </row>
    <row r="148" spans="1:3" x14ac:dyDescent="0.2">
      <c r="A148" s="310" t="s">
        <v>2145</v>
      </c>
      <c r="B148" t="str">
        <f>IF(ISBLANK(GlobBerMedDisc!$D$23),"",GlobBerMedDisc!$D$23)</f>
        <v/>
      </c>
      <c r="C148" s="130"/>
    </row>
    <row r="149" spans="1:3" x14ac:dyDescent="0.2">
      <c r="A149" s="310" t="s">
        <v>2146</v>
      </c>
      <c r="B149" t="str">
        <f>IF(ISBLANK(GlobBerMedDisc!$D$24),"",GlobBerMedDisc!$D$24)</f>
        <v/>
      </c>
      <c r="C149" s="130"/>
    </row>
    <row r="150" spans="1:3" x14ac:dyDescent="0.2">
      <c r="A150" s="310" t="s">
        <v>2147</v>
      </c>
      <c r="B150" t="str">
        <f>IF(ISBLANK(GlobBerMedDisc!$D$25),"",GlobBerMedDisc!$D$25)</f>
        <v/>
      </c>
      <c r="C150" s="130"/>
    </row>
    <row r="151" spans="1:3" x14ac:dyDescent="0.2">
      <c r="A151" s="310" t="s">
        <v>2148</v>
      </c>
      <c r="B151" t="str">
        <f>IF(ISBLANK(GlobBerMedDisc!$D$26),"",GlobBerMedDisc!$D$26)</f>
        <v/>
      </c>
      <c r="C151" s="130"/>
    </row>
    <row r="152" spans="1:3" x14ac:dyDescent="0.2">
      <c r="A152" s="310" t="s">
        <v>2149</v>
      </c>
      <c r="B152" t="str">
        <f>IF(ISBLANK(GlobBerMedDisc!$D$27),"",GlobBerMedDisc!$D$27)</f>
        <v/>
      </c>
      <c r="C152" s="130"/>
    </row>
    <row r="153" spans="1:3" x14ac:dyDescent="0.2">
      <c r="A153" s="310" t="s">
        <v>2150</v>
      </c>
      <c r="B153" t="str">
        <f>IF(ISBLANK(GlobBerMedDisc!$D$28),"",GlobBerMedDisc!$D$28)</f>
        <v/>
      </c>
      <c r="C153" s="130"/>
    </row>
    <row r="154" spans="1:3" x14ac:dyDescent="0.2">
      <c r="A154" s="310" t="s">
        <v>2151</v>
      </c>
      <c r="B154" t="str">
        <f>IF(ISBLANK(GlobBerMedDisc!$D$29),"",GlobBerMedDisc!$D$29)</f>
        <v/>
      </c>
      <c r="C154" s="130"/>
    </row>
    <row r="155" spans="1:3" x14ac:dyDescent="0.2">
      <c r="A155" s="310" t="s">
        <v>2152</v>
      </c>
      <c r="B155" t="str">
        <f>IF(ISBLANK(GlobBerMedDisc!$D$30),"",GlobBerMedDisc!$D$30)</f>
        <v/>
      </c>
      <c r="C155" s="130"/>
    </row>
    <row r="156" spans="1:3" x14ac:dyDescent="0.2">
      <c r="A156" s="310" t="s">
        <v>2153</v>
      </c>
      <c r="B156" t="str">
        <f>IF(ISBLANK(GlobBerMedDisc!$D$31),"",GlobBerMedDisc!$D$31)</f>
        <v/>
      </c>
      <c r="C156" s="130"/>
    </row>
    <row r="157" spans="1:3" x14ac:dyDescent="0.2">
      <c r="A157" s="310" t="s">
        <v>2154</v>
      </c>
      <c r="B157" t="str">
        <f>IF(ISBLANK(GlobBerMedDisc!$U$2),"",GlobBerMedDisc!$U$2)</f>
        <v/>
      </c>
      <c r="C157" s="130"/>
    </row>
    <row r="158" spans="1:3" x14ac:dyDescent="0.2">
      <c r="A158" s="310" t="s">
        <v>2155</v>
      </c>
      <c r="B158" t="str">
        <f>IF(ISBLANK(GlobBerMedDisc!$U$3),"",GlobBerMedDisc!$U$3)</f>
        <v/>
      </c>
      <c r="C158" s="130"/>
    </row>
    <row r="159" spans="1:3" x14ac:dyDescent="0.2">
      <c r="A159" s="310" t="s">
        <v>2156</v>
      </c>
      <c r="B159" t="str">
        <f>IF(ISBLANK(GlobBerMedDisc!$U$4),"",GlobBerMedDisc!$U$4)</f>
        <v/>
      </c>
      <c r="C159" s="130"/>
    </row>
    <row r="160" spans="1:3" x14ac:dyDescent="0.2">
      <c r="A160" s="310" t="s">
        <v>2157</v>
      </c>
      <c r="B160" t="str">
        <f>IF(ISBLANK(GlobBerMedDisc!$U$5),"",GlobBerMedDisc!$U$5)</f>
        <v/>
      </c>
      <c r="C160" s="130"/>
    </row>
    <row r="161" spans="1:3" x14ac:dyDescent="0.2">
      <c r="A161" s="310" t="s">
        <v>2158</v>
      </c>
      <c r="B161" t="str">
        <f>IF(ISBLANK(GlobBerMedDisc!$U$6),"",GlobBerMedDisc!$U$6)</f>
        <v/>
      </c>
      <c r="C161" s="130"/>
    </row>
    <row r="162" spans="1:3" x14ac:dyDescent="0.2">
      <c r="A162" s="310" t="s">
        <v>2159</v>
      </c>
      <c r="B162" t="str">
        <f>IF(ISBLANK(GlobBerMedDisc!$U$7),"",GlobBerMedDisc!$U$7)</f>
        <v/>
      </c>
      <c r="C162" s="130"/>
    </row>
    <row r="163" spans="1:3" x14ac:dyDescent="0.2">
      <c r="A163" s="310" t="s">
        <v>2160</v>
      </c>
      <c r="B163" t="str">
        <f>IF(ISBLANK(GlobBerMedDisc!$U$8),"",GlobBerMedDisc!$U$8)</f>
        <v/>
      </c>
      <c r="C163" s="130"/>
    </row>
    <row r="164" spans="1:3" x14ac:dyDescent="0.2">
      <c r="A164" s="310" t="s">
        <v>2161</v>
      </c>
      <c r="B164" t="str">
        <f>IF(ISBLANK(GlobBerMedDisc!$U$9),"",GlobBerMedDisc!$U$9)</f>
        <v/>
      </c>
      <c r="C164" s="130"/>
    </row>
    <row r="165" spans="1:3" x14ac:dyDescent="0.2">
      <c r="A165" s="310" t="s">
        <v>2162</v>
      </c>
      <c r="B165" t="str">
        <f>IF(ISBLANK(GlobBerMedDisc!$U$10),"",GlobBerMedDisc!$U$10)</f>
        <v/>
      </c>
      <c r="C165" s="130"/>
    </row>
    <row r="166" spans="1:3" x14ac:dyDescent="0.2">
      <c r="A166" s="310" t="s">
        <v>2163</v>
      </c>
      <c r="B166" t="str">
        <f>IF(ISBLANK(GlobBerMedDisc!$U$11),"",GlobBerMedDisc!$U$11)</f>
        <v/>
      </c>
      <c r="C166" s="130"/>
    </row>
    <row r="167" spans="1:3" x14ac:dyDescent="0.2">
      <c r="A167" s="310" t="s">
        <v>2164</v>
      </c>
      <c r="B167" t="str">
        <f>IF(ISBLANK(GlobBerMedDisc!$U$12),"",GlobBerMedDisc!$U$12)</f>
        <v/>
      </c>
      <c r="C167" s="130"/>
    </row>
    <row r="168" spans="1:3" x14ac:dyDescent="0.2">
      <c r="A168" s="310" t="s">
        <v>2165</v>
      </c>
      <c r="B168" t="str">
        <f>IF(ISBLANK(GlobBerMedDisc!$U$13),"",GlobBerMedDisc!$U$13)</f>
        <v/>
      </c>
      <c r="C168" s="130"/>
    </row>
    <row r="169" spans="1:3" x14ac:dyDescent="0.2">
      <c r="A169" s="310" t="s">
        <v>2166</v>
      </c>
      <c r="B169" t="str">
        <f>IF(ISBLANK(GlobBerMedDisc!$U$14),"",GlobBerMedDisc!$U$14)</f>
        <v/>
      </c>
      <c r="C169" s="130"/>
    </row>
    <row r="170" spans="1:3" x14ac:dyDescent="0.2">
      <c r="A170" s="310" t="s">
        <v>2167</v>
      </c>
      <c r="B170" t="str">
        <f>IF(ISBLANK(GlobBerMedDisc!$U$15),"",GlobBerMedDisc!$U$15)</f>
        <v/>
      </c>
      <c r="C170" s="130"/>
    </row>
    <row r="171" spans="1:3" x14ac:dyDescent="0.2">
      <c r="A171" s="310" t="s">
        <v>2168</v>
      </c>
      <c r="B171" t="str">
        <f>IF(ISBLANK(GlobBerMedDisc!$U$16),"",GlobBerMedDisc!$U$16)</f>
        <v/>
      </c>
      <c r="C171" s="130"/>
    </row>
    <row r="172" spans="1:3" x14ac:dyDescent="0.2">
      <c r="A172" s="310" t="s">
        <v>2169</v>
      </c>
      <c r="B172" t="str">
        <f>IF(ISBLANK(GlobBerMedDisc!$U$17),"",GlobBerMedDisc!$U$17)</f>
        <v/>
      </c>
      <c r="C172" s="130"/>
    </row>
    <row r="173" spans="1:3" x14ac:dyDescent="0.2">
      <c r="A173" s="310" t="s">
        <v>2170</v>
      </c>
      <c r="B173" t="str">
        <f>IF(ISBLANK(GlobBerMedDisc!$U$18),"",GlobBerMedDisc!$U$18)</f>
        <v/>
      </c>
      <c r="C173" s="130"/>
    </row>
    <row r="174" spans="1:3" x14ac:dyDescent="0.2">
      <c r="A174" s="310" t="s">
        <v>2171</v>
      </c>
      <c r="B174" t="str">
        <f>IF(ISBLANK(GlobBerMedDisc!$U$19),"",GlobBerMedDisc!$U$19)</f>
        <v/>
      </c>
      <c r="C174" s="130"/>
    </row>
    <row r="175" spans="1:3" x14ac:dyDescent="0.2">
      <c r="A175" s="310" t="s">
        <v>2172</v>
      </c>
      <c r="B175" t="str">
        <f>IF(ISBLANK(GlobBerMedDisc!$U$20),"",GlobBerMedDisc!$U$20)</f>
        <v/>
      </c>
      <c r="C175" s="130"/>
    </row>
    <row r="176" spans="1:3" x14ac:dyDescent="0.2">
      <c r="A176" s="310" t="s">
        <v>2173</v>
      </c>
      <c r="B176" t="str">
        <f>IF(ISBLANK(GlobBerMedDisc!$U$21),"",GlobBerMedDisc!$U$21)</f>
        <v/>
      </c>
      <c r="C176" s="130"/>
    </row>
    <row r="177" spans="1:3" x14ac:dyDescent="0.2">
      <c r="A177" s="310" t="s">
        <v>2174</v>
      </c>
      <c r="B177" t="str">
        <f>IF(ISBLANK(GlobBerMedDisc!$U$22),"",GlobBerMedDisc!$U$22)</f>
        <v/>
      </c>
      <c r="C177" s="130"/>
    </row>
    <row r="178" spans="1:3" x14ac:dyDescent="0.2">
      <c r="A178" s="310" t="s">
        <v>2175</v>
      </c>
      <c r="B178" t="str">
        <f>IF(ISBLANK(GlobBerMedDisc!$U$23),"",GlobBerMedDisc!$U$23)</f>
        <v/>
      </c>
      <c r="C178" s="130"/>
    </row>
    <row r="179" spans="1:3" x14ac:dyDescent="0.2">
      <c r="A179" s="310" t="s">
        <v>2176</v>
      </c>
      <c r="B179" t="str">
        <f>IF(ISBLANK(GlobBerMedDisc!$U$24),"",GlobBerMedDisc!$U$24)</f>
        <v/>
      </c>
      <c r="C179" s="130"/>
    </row>
    <row r="180" spans="1:3" x14ac:dyDescent="0.2">
      <c r="A180" s="310" t="s">
        <v>2177</v>
      </c>
      <c r="B180" t="str">
        <f>IF(ISBLANK(GlobBerMedDisc!$U$25),"",GlobBerMedDisc!$U$25)</f>
        <v/>
      </c>
      <c r="C180" s="130"/>
    </row>
    <row r="181" spans="1:3" x14ac:dyDescent="0.2">
      <c r="A181" s="310" t="s">
        <v>2178</v>
      </c>
      <c r="B181" t="str">
        <f>IF(ISBLANK(GlobBerMedDisc!$U$26),"",GlobBerMedDisc!$U$26)</f>
        <v/>
      </c>
      <c r="C181" s="130"/>
    </row>
    <row r="182" spans="1:3" x14ac:dyDescent="0.2">
      <c r="A182" s="310" t="s">
        <v>2179</v>
      </c>
      <c r="B182" t="str">
        <f>IF(ISBLANK(GlobBerMedDisc!$U$27),"",GlobBerMedDisc!$U$27)</f>
        <v/>
      </c>
      <c r="C182" s="130"/>
    </row>
    <row r="183" spans="1:3" x14ac:dyDescent="0.2">
      <c r="A183" s="310" t="s">
        <v>2180</v>
      </c>
      <c r="B183" t="str">
        <f>IF(ISBLANK(GlobBerMedDisc!$U$28),"",GlobBerMedDisc!$U$28)</f>
        <v/>
      </c>
      <c r="C183" s="130"/>
    </row>
    <row r="184" spans="1:3" x14ac:dyDescent="0.2">
      <c r="A184" s="310" t="s">
        <v>2181</v>
      </c>
      <c r="B184" t="str">
        <f>IF(ISBLANK(GlobBerMedDisc!$U$29),"",GlobBerMedDisc!$U$29)</f>
        <v/>
      </c>
      <c r="C184" s="130"/>
    </row>
    <row r="185" spans="1:3" x14ac:dyDescent="0.2">
      <c r="A185" s="310" t="s">
        <v>2182</v>
      </c>
      <c r="B185" t="str">
        <f>IF(ISBLANK(GlobBerMedDisc!$U$30),"",GlobBerMedDisc!$U$30)</f>
        <v/>
      </c>
      <c r="C185" s="130"/>
    </row>
    <row r="186" spans="1:3" x14ac:dyDescent="0.2">
      <c r="A186" s="310" t="s">
        <v>2183</v>
      </c>
      <c r="B186" t="str">
        <f>IF(ISBLANK(GlobBerMedDisc!$U$31),"",GlobBerMedDisc!$U$31)</f>
        <v/>
      </c>
      <c r="C186" s="130"/>
    </row>
    <row r="187" spans="1:3" x14ac:dyDescent="0.2">
      <c r="A187" s="310" t="s">
        <v>2184</v>
      </c>
      <c r="B187" t="str">
        <f>IF(ISBLANK(GlobBerMedDisc!$B$2),"",GlobBerMedDisc!$B$2)</f>
        <v/>
      </c>
      <c r="C187" s="130"/>
    </row>
    <row r="188" spans="1:3" x14ac:dyDescent="0.2">
      <c r="A188" s="310" t="s">
        <v>2185</v>
      </c>
      <c r="B188" t="str">
        <f>IF(ISBLANK(GlobBerMedDisc!$B$3),"",GlobBerMedDisc!$B$3)</f>
        <v/>
      </c>
      <c r="C188" s="130"/>
    </row>
    <row r="189" spans="1:3" x14ac:dyDescent="0.2">
      <c r="A189" s="310" t="s">
        <v>2186</v>
      </c>
      <c r="B189" t="str">
        <f>IF(ISBLANK(GlobBerMedDisc!$B$4),"",GlobBerMedDisc!$B$4)</f>
        <v/>
      </c>
      <c r="C189" s="130"/>
    </row>
    <row r="190" spans="1:3" x14ac:dyDescent="0.2">
      <c r="A190" s="310" t="s">
        <v>2187</v>
      </c>
      <c r="B190" t="str">
        <f>IF(ISBLANK(GlobBerMedDisc!$B$5),"",GlobBerMedDisc!$B$5)</f>
        <v/>
      </c>
      <c r="C190" s="130"/>
    </row>
    <row r="191" spans="1:3" x14ac:dyDescent="0.2">
      <c r="A191" s="310" t="s">
        <v>2188</v>
      </c>
      <c r="B191" t="str">
        <f>IF(ISBLANK(GlobBerMedDisc!$B$6),"",GlobBerMedDisc!$B$6)</f>
        <v/>
      </c>
      <c r="C191" s="130"/>
    </row>
    <row r="192" spans="1:3" x14ac:dyDescent="0.2">
      <c r="A192" s="310" t="s">
        <v>2189</v>
      </c>
      <c r="B192" t="str">
        <f>IF(ISBLANK(GlobBerMedDisc!$B$7),"",GlobBerMedDisc!$B$7)</f>
        <v/>
      </c>
      <c r="C192" s="130"/>
    </row>
    <row r="193" spans="1:3" x14ac:dyDescent="0.2">
      <c r="A193" s="310" t="s">
        <v>2190</v>
      </c>
      <c r="B193" t="str">
        <f>IF(ISBLANK(GlobBerMedDisc!$B$8),"",GlobBerMedDisc!$B$8)</f>
        <v/>
      </c>
      <c r="C193" s="130"/>
    </row>
    <row r="194" spans="1:3" x14ac:dyDescent="0.2">
      <c r="A194" s="310" t="s">
        <v>2191</v>
      </c>
      <c r="B194" t="str">
        <f>IF(ISBLANK(GlobBerMedDisc!$B$9),"",GlobBerMedDisc!$B$9)</f>
        <v/>
      </c>
      <c r="C194" s="130"/>
    </row>
    <row r="195" spans="1:3" x14ac:dyDescent="0.2">
      <c r="A195" s="310" t="s">
        <v>2192</v>
      </c>
      <c r="B195" t="str">
        <f>IF(ISBLANK(GlobBerMedDisc!$B$10),"",GlobBerMedDisc!$B$10)</f>
        <v/>
      </c>
      <c r="C195" s="130"/>
    </row>
    <row r="196" spans="1:3" x14ac:dyDescent="0.2">
      <c r="A196" s="310" t="s">
        <v>2193</v>
      </c>
      <c r="B196" t="str">
        <f>IF(ISBLANK(GlobBerMedDisc!$B$11),"",GlobBerMedDisc!$B$11)</f>
        <v/>
      </c>
      <c r="C196" s="130"/>
    </row>
    <row r="197" spans="1:3" x14ac:dyDescent="0.2">
      <c r="A197" s="310" t="s">
        <v>2194</v>
      </c>
      <c r="B197" t="str">
        <f>IF(ISBLANK(GlobBerMedDisc!$B$12),"",GlobBerMedDisc!$B$12)</f>
        <v/>
      </c>
      <c r="C197" s="130"/>
    </row>
    <row r="198" spans="1:3" x14ac:dyDescent="0.2">
      <c r="A198" s="310" t="s">
        <v>2195</v>
      </c>
      <c r="B198" t="str">
        <f>IF(ISBLANK(GlobBerMedDisc!$B$13),"",GlobBerMedDisc!$B$13)</f>
        <v/>
      </c>
      <c r="C198" s="130"/>
    </row>
    <row r="199" spans="1:3" x14ac:dyDescent="0.2">
      <c r="A199" s="310" t="s">
        <v>2196</v>
      </c>
      <c r="B199" t="str">
        <f>IF(ISBLANK(GlobBerMedDisc!$B$14),"",GlobBerMedDisc!$B$14)</f>
        <v/>
      </c>
      <c r="C199" s="130"/>
    </row>
    <row r="200" spans="1:3" x14ac:dyDescent="0.2">
      <c r="A200" s="310" t="s">
        <v>2197</v>
      </c>
      <c r="B200" t="str">
        <f>IF(ISBLANK(GlobBerMedDisc!$B$15),"",GlobBerMedDisc!$B$15)</f>
        <v/>
      </c>
      <c r="C200" s="130"/>
    </row>
    <row r="201" spans="1:3" x14ac:dyDescent="0.2">
      <c r="A201" s="310" t="s">
        <v>2198</v>
      </c>
      <c r="B201" t="str">
        <f>IF(ISBLANK(GlobBerMedDisc!$B$16),"",GlobBerMedDisc!$B$16)</f>
        <v/>
      </c>
      <c r="C201" s="130"/>
    </row>
    <row r="202" spans="1:3" x14ac:dyDescent="0.2">
      <c r="A202" s="310" t="s">
        <v>2199</v>
      </c>
      <c r="B202" t="str">
        <f>IF(ISBLANK(GlobBerMedDisc!$B$17),"",GlobBerMedDisc!$B$17)</f>
        <v/>
      </c>
      <c r="C202" s="130"/>
    </row>
    <row r="203" spans="1:3" x14ac:dyDescent="0.2">
      <c r="A203" s="310" t="s">
        <v>2200</v>
      </c>
      <c r="B203" t="str">
        <f>IF(ISBLANK(GlobBerMedDisc!$B$18),"",GlobBerMedDisc!$B$18)</f>
        <v/>
      </c>
      <c r="C203" s="130"/>
    </row>
    <row r="204" spans="1:3" x14ac:dyDescent="0.2">
      <c r="A204" s="310" t="s">
        <v>2201</v>
      </c>
      <c r="B204" t="str">
        <f>IF(ISBLANK(GlobBerMedDisc!$B$19),"",GlobBerMedDisc!$B$19)</f>
        <v/>
      </c>
      <c r="C204" s="130"/>
    </row>
    <row r="205" spans="1:3" x14ac:dyDescent="0.2">
      <c r="A205" s="310" t="s">
        <v>2202</v>
      </c>
      <c r="B205" t="str">
        <f>IF(ISBLANK(GlobBerMedDisc!$B$20),"",GlobBerMedDisc!$B$20)</f>
        <v/>
      </c>
      <c r="C205" s="130"/>
    </row>
    <row r="206" spans="1:3" x14ac:dyDescent="0.2">
      <c r="A206" s="310" t="s">
        <v>2203</v>
      </c>
      <c r="B206" t="str">
        <f>IF(ISBLANK(GlobBerMedDisc!$B$21),"",GlobBerMedDisc!$B$21)</f>
        <v/>
      </c>
      <c r="C206" s="130"/>
    </row>
    <row r="207" spans="1:3" x14ac:dyDescent="0.2">
      <c r="A207" s="310" t="s">
        <v>2204</v>
      </c>
      <c r="B207" t="str">
        <f>IF(ISBLANK(GlobBerMedDisc!$B$22),"",GlobBerMedDisc!$B$22)</f>
        <v/>
      </c>
      <c r="C207" s="130"/>
    </row>
    <row r="208" spans="1:3" x14ac:dyDescent="0.2">
      <c r="A208" s="310" t="s">
        <v>2205</v>
      </c>
      <c r="B208" t="str">
        <f>IF(ISBLANK(GlobBerMedDisc!$B$23),"",GlobBerMedDisc!$B$23)</f>
        <v/>
      </c>
      <c r="C208" s="130"/>
    </row>
    <row r="209" spans="1:3" x14ac:dyDescent="0.2">
      <c r="A209" s="310" t="s">
        <v>2206</v>
      </c>
      <c r="B209" t="str">
        <f>IF(ISBLANK(GlobBerMedDisc!$B$24),"",GlobBerMedDisc!$B$24)</f>
        <v/>
      </c>
      <c r="C209" s="130"/>
    </row>
    <row r="210" spans="1:3" x14ac:dyDescent="0.2">
      <c r="A210" s="310" t="s">
        <v>2207</v>
      </c>
      <c r="B210" t="str">
        <f>IF(ISBLANK(GlobBerMedDisc!$B$25),"",GlobBerMedDisc!$B$25)</f>
        <v/>
      </c>
      <c r="C210" s="130"/>
    </row>
    <row r="211" spans="1:3" x14ac:dyDescent="0.2">
      <c r="A211" s="310" t="s">
        <v>2208</v>
      </c>
      <c r="B211" t="str">
        <f>IF(ISBLANK(GlobBerMedDisc!$B$26),"",GlobBerMedDisc!$B$26)</f>
        <v/>
      </c>
      <c r="C211" s="130"/>
    </row>
    <row r="212" spans="1:3" x14ac:dyDescent="0.2">
      <c r="A212" s="310" t="s">
        <v>2209</v>
      </c>
      <c r="B212" t="str">
        <f>IF(ISBLANK(GlobBerMedDisc!$B$27),"",GlobBerMedDisc!$B$27)</f>
        <v/>
      </c>
      <c r="C212" s="130"/>
    </row>
    <row r="213" spans="1:3" x14ac:dyDescent="0.2">
      <c r="A213" s="310" t="s">
        <v>2210</v>
      </c>
      <c r="B213" t="str">
        <f>IF(ISBLANK(GlobBerMedDisc!$B$28),"",GlobBerMedDisc!$B$28)</f>
        <v/>
      </c>
      <c r="C213" s="130"/>
    </row>
    <row r="214" spans="1:3" x14ac:dyDescent="0.2">
      <c r="A214" s="310" t="s">
        <v>2211</v>
      </c>
      <c r="B214" t="str">
        <f>IF(ISBLANK(GlobBerMedDisc!$B$29),"",GlobBerMedDisc!$B$29)</f>
        <v/>
      </c>
      <c r="C214" s="130"/>
    </row>
    <row r="215" spans="1:3" x14ac:dyDescent="0.2">
      <c r="A215" s="310" t="s">
        <v>2212</v>
      </c>
      <c r="B215" t="str">
        <f>IF(ISBLANK(GlobBerMedDisc!$B$30),"",GlobBerMedDisc!$B$30)</f>
        <v/>
      </c>
      <c r="C215" s="130"/>
    </row>
    <row r="216" spans="1:3" x14ac:dyDescent="0.2">
      <c r="A216" s="310" t="s">
        <v>2213</v>
      </c>
      <c r="B216" t="str">
        <f>IF(ISBLANK(GlobBerMedDisc!$B$31),"",GlobBerMedDisc!$B$31)</f>
        <v/>
      </c>
      <c r="C216" s="130"/>
    </row>
    <row r="217" spans="1:3" x14ac:dyDescent="0.2">
      <c r="A217" s="310" t="s">
        <v>2214</v>
      </c>
      <c r="B217">
        <f>IF(ISBLANK(GlobBerMedDisc!$Q$2),"",GlobBerMedDisc!$Q$2)</f>
        <v>0</v>
      </c>
      <c r="C217" s="312">
        <v>0</v>
      </c>
    </row>
    <row r="218" spans="1:3" x14ac:dyDescent="0.2">
      <c r="A218" s="310" t="s">
        <v>2215</v>
      </c>
      <c r="B218">
        <f>IF(ISBLANK(GlobBerMedDisc!$Q$3),"",GlobBerMedDisc!$Q$3)</f>
        <v>0</v>
      </c>
      <c r="C218" s="312">
        <v>0</v>
      </c>
    </row>
    <row r="219" spans="1:3" x14ac:dyDescent="0.2">
      <c r="A219" s="310" t="s">
        <v>2216</v>
      </c>
      <c r="B219">
        <f>IF(ISBLANK(GlobBerMedDisc!$Q$4),"",GlobBerMedDisc!$Q$4)</f>
        <v>0</v>
      </c>
      <c r="C219" s="312">
        <v>0</v>
      </c>
    </row>
    <row r="220" spans="1:3" x14ac:dyDescent="0.2">
      <c r="A220" s="310" t="s">
        <v>2217</v>
      </c>
      <c r="B220">
        <f>IF(ISBLANK(GlobBerMedDisc!$Q$5),"",GlobBerMedDisc!$Q$5)</f>
        <v>0</v>
      </c>
      <c r="C220" s="312">
        <v>0</v>
      </c>
    </row>
    <row r="221" spans="1:3" x14ac:dyDescent="0.2">
      <c r="A221" s="310" t="s">
        <v>2218</v>
      </c>
      <c r="B221">
        <f>IF(ISBLANK(GlobBerMedDisc!$Q$6),"",GlobBerMedDisc!$Q$6)</f>
        <v>0</v>
      </c>
      <c r="C221" s="312">
        <v>0</v>
      </c>
    </row>
    <row r="222" spans="1:3" x14ac:dyDescent="0.2">
      <c r="A222" s="310" t="s">
        <v>2219</v>
      </c>
      <c r="B222">
        <f>IF(ISBLANK(GlobBerMedDisc!$Q$7),"",GlobBerMedDisc!$Q$7)</f>
        <v>0</v>
      </c>
      <c r="C222" s="312">
        <v>0</v>
      </c>
    </row>
    <row r="223" spans="1:3" x14ac:dyDescent="0.2">
      <c r="A223" s="310" t="s">
        <v>2220</v>
      </c>
      <c r="B223">
        <f>IF(ISBLANK(GlobBerMedDisc!$Q$8),"",GlobBerMedDisc!$Q$8)</f>
        <v>0</v>
      </c>
      <c r="C223" s="312">
        <v>0</v>
      </c>
    </row>
    <row r="224" spans="1:3" x14ac:dyDescent="0.2">
      <c r="A224" s="310" t="s">
        <v>2221</v>
      </c>
      <c r="B224">
        <f>IF(ISBLANK(GlobBerMedDisc!$Q$9),"",GlobBerMedDisc!$Q$9)</f>
        <v>0</v>
      </c>
      <c r="C224" s="312">
        <v>0</v>
      </c>
    </row>
    <row r="225" spans="1:3" x14ac:dyDescent="0.2">
      <c r="A225" s="310" t="s">
        <v>2222</v>
      </c>
      <c r="B225">
        <f>IF(ISBLANK(GlobBerMedDisc!$Q$10),"",GlobBerMedDisc!$Q$10)</f>
        <v>0</v>
      </c>
      <c r="C225" s="312">
        <v>0</v>
      </c>
    </row>
    <row r="226" spans="1:3" x14ac:dyDescent="0.2">
      <c r="A226" s="310" t="s">
        <v>2223</v>
      </c>
      <c r="B226">
        <f>IF(ISBLANK(GlobBerMedDisc!$Q$11),"",GlobBerMedDisc!$Q$11)</f>
        <v>0</v>
      </c>
      <c r="C226" s="312">
        <v>0</v>
      </c>
    </row>
    <row r="227" spans="1:3" x14ac:dyDescent="0.2">
      <c r="A227" s="310" t="s">
        <v>2224</v>
      </c>
      <c r="B227">
        <f>IF(ISBLANK(GlobBerMedDisc!$Q$12),"",GlobBerMedDisc!$Q$12)</f>
        <v>0</v>
      </c>
      <c r="C227" s="312">
        <v>0</v>
      </c>
    </row>
    <row r="228" spans="1:3" x14ac:dyDescent="0.2">
      <c r="A228" s="310" t="s">
        <v>2225</v>
      </c>
      <c r="B228">
        <f>IF(ISBLANK(GlobBerMedDisc!$Q$13),"",GlobBerMedDisc!$Q$13)</f>
        <v>0</v>
      </c>
      <c r="C228" s="312">
        <v>0</v>
      </c>
    </row>
    <row r="229" spans="1:3" x14ac:dyDescent="0.2">
      <c r="A229" s="310" t="s">
        <v>2226</v>
      </c>
      <c r="B229">
        <f>IF(ISBLANK(GlobBerMedDisc!$Q$14),"",GlobBerMedDisc!$Q$14)</f>
        <v>0</v>
      </c>
      <c r="C229" s="312">
        <v>0</v>
      </c>
    </row>
    <row r="230" spans="1:3" x14ac:dyDescent="0.2">
      <c r="A230" s="310" t="s">
        <v>2227</v>
      </c>
      <c r="B230">
        <f>IF(ISBLANK(GlobBerMedDisc!$Q$15),"",GlobBerMedDisc!$Q$15)</f>
        <v>0</v>
      </c>
      <c r="C230" s="312">
        <v>0</v>
      </c>
    </row>
    <row r="231" spans="1:3" x14ac:dyDescent="0.2">
      <c r="A231" s="310" t="s">
        <v>2228</v>
      </c>
      <c r="B231">
        <f>IF(ISBLANK(GlobBerMedDisc!$Q$16),"",GlobBerMedDisc!$Q$16)</f>
        <v>0</v>
      </c>
      <c r="C231" s="312">
        <v>0</v>
      </c>
    </row>
    <row r="232" spans="1:3" x14ac:dyDescent="0.2">
      <c r="A232" s="310" t="s">
        <v>2229</v>
      </c>
      <c r="B232">
        <f>IF(ISBLANK(GlobBerMedDisc!$Q$17),"",GlobBerMedDisc!$Q$17)</f>
        <v>0</v>
      </c>
      <c r="C232" s="312">
        <v>0</v>
      </c>
    </row>
    <row r="233" spans="1:3" x14ac:dyDescent="0.2">
      <c r="A233" s="310" t="s">
        <v>2230</v>
      </c>
      <c r="B233">
        <f>IF(ISBLANK(GlobBerMedDisc!$Q$18),"",GlobBerMedDisc!$Q$18)</f>
        <v>0</v>
      </c>
      <c r="C233" s="312">
        <v>0</v>
      </c>
    </row>
    <row r="234" spans="1:3" x14ac:dyDescent="0.2">
      <c r="A234" s="310" t="s">
        <v>2231</v>
      </c>
      <c r="B234">
        <f>IF(ISBLANK(GlobBerMedDisc!$Q$19),"",GlobBerMedDisc!$Q$19)</f>
        <v>0</v>
      </c>
      <c r="C234" s="312">
        <v>0</v>
      </c>
    </row>
    <row r="235" spans="1:3" x14ac:dyDescent="0.2">
      <c r="A235" s="310" t="s">
        <v>2232</v>
      </c>
      <c r="B235">
        <f>IF(ISBLANK(GlobBerMedDisc!$Q$20),"",GlobBerMedDisc!$Q$20)</f>
        <v>0</v>
      </c>
      <c r="C235" s="312">
        <v>0</v>
      </c>
    </row>
    <row r="236" spans="1:3" x14ac:dyDescent="0.2">
      <c r="A236" s="310" t="s">
        <v>2233</v>
      </c>
      <c r="B236">
        <f>IF(ISBLANK(GlobBerMedDisc!$Q$21),"",GlobBerMedDisc!$Q$21)</f>
        <v>0</v>
      </c>
      <c r="C236" s="312">
        <v>0</v>
      </c>
    </row>
    <row r="237" spans="1:3" x14ac:dyDescent="0.2">
      <c r="A237" s="310" t="s">
        <v>2234</v>
      </c>
      <c r="B237">
        <f>IF(ISBLANK(GlobBerMedDisc!$Q$22),"",GlobBerMedDisc!$Q$22)</f>
        <v>0</v>
      </c>
      <c r="C237" s="312">
        <v>0</v>
      </c>
    </row>
    <row r="238" spans="1:3" x14ac:dyDescent="0.2">
      <c r="A238" s="310" t="s">
        <v>2235</v>
      </c>
      <c r="B238">
        <f>IF(ISBLANK(GlobBerMedDisc!$Q$23),"",GlobBerMedDisc!$Q$23)</f>
        <v>0</v>
      </c>
      <c r="C238" s="312">
        <v>0</v>
      </c>
    </row>
    <row r="239" spans="1:3" x14ac:dyDescent="0.2">
      <c r="A239" s="310" t="s">
        <v>2236</v>
      </c>
      <c r="B239">
        <f>IF(ISBLANK(GlobBerMedDisc!$Q$24),"",GlobBerMedDisc!$Q$24)</f>
        <v>0</v>
      </c>
      <c r="C239" s="312">
        <v>0</v>
      </c>
    </row>
    <row r="240" spans="1:3" x14ac:dyDescent="0.2">
      <c r="A240" s="310" t="s">
        <v>2237</v>
      </c>
      <c r="B240">
        <f>IF(ISBLANK(GlobBerMedDisc!$Q$25),"",GlobBerMedDisc!$Q$25)</f>
        <v>0</v>
      </c>
      <c r="C240" s="312">
        <v>0</v>
      </c>
    </row>
    <row r="241" spans="1:3" x14ac:dyDescent="0.2">
      <c r="A241" s="310" t="s">
        <v>2238</v>
      </c>
      <c r="B241">
        <f>IF(ISBLANK(GlobBerMedDisc!$Q$26),"",GlobBerMedDisc!$Q$26)</f>
        <v>0</v>
      </c>
      <c r="C241" s="312">
        <v>0</v>
      </c>
    </row>
    <row r="242" spans="1:3" x14ac:dyDescent="0.2">
      <c r="A242" s="310" t="s">
        <v>2239</v>
      </c>
      <c r="B242">
        <f>IF(ISBLANK(GlobBerMedDisc!$Q$27),"",GlobBerMedDisc!$Q$27)</f>
        <v>0</v>
      </c>
      <c r="C242" s="312">
        <v>0</v>
      </c>
    </row>
    <row r="243" spans="1:3" x14ac:dyDescent="0.2">
      <c r="A243" s="310" t="s">
        <v>2240</v>
      </c>
      <c r="B243">
        <f>IF(ISBLANK(GlobBerMedDisc!$Q$28),"",GlobBerMedDisc!$Q$28)</f>
        <v>0</v>
      </c>
      <c r="C243" s="312">
        <v>0</v>
      </c>
    </row>
    <row r="244" spans="1:3" x14ac:dyDescent="0.2">
      <c r="A244" s="310" t="s">
        <v>2241</v>
      </c>
      <c r="B244">
        <f>IF(ISBLANK(GlobBerMedDisc!$Q$29),"",GlobBerMedDisc!$Q$29)</f>
        <v>0</v>
      </c>
      <c r="C244" s="312">
        <v>0</v>
      </c>
    </row>
    <row r="245" spans="1:3" x14ac:dyDescent="0.2">
      <c r="A245" s="310" t="s">
        <v>2242</v>
      </c>
      <c r="B245">
        <f>IF(ISBLANK(GlobBerMedDisc!$Q$30),"",GlobBerMedDisc!$Q$30)</f>
        <v>0</v>
      </c>
      <c r="C245" s="312">
        <v>0</v>
      </c>
    </row>
    <row r="246" spans="1:3" x14ac:dyDescent="0.2">
      <c r="A246" s="310" t="s">
        <v>2243</v>
      </c>
      <c r="B246">
        <f>IF(ISBLANK(GlobBerMedDisc!$Q$31),"",GlobBerMedDisc!$Q$31)</f>
        <v>0</v>
      </c>
      <c r="C246" s="312">
        <v>0</v>
      </c>
    </row>
    <row r="247" spans="1:3" s="310" customFormat="1" x14ac:dyDescent="0.2">
      <c r="A247" s="310" t="s">
        <v>2244</v>
      </c>
      <c r="B247" s="310">
        <f>IF(ISBLANK(GlobBerMedDisc!$O$2),"",GlobBerMedDisc!$O$2)</f>
        <v>1</v>
      </c>
      <c r="C247" s="17">
        <v>1</v>
      </c>
    </row>
    <row r="248" spans="1:3" s="310" customFormat="1" x14ac:dyDescent="0.2">
      <c r="A248" s="310" t="s">
        <v>2245</v>
      </c>
      <c r="B248" s="310">
        <f>IF(ISBLANK(GlobBerMedDisc!$O$3),"",GlobBerMedDisc!$O$3)</f>
        <v>1</v>
      </c>
      <c r="C248" s="17">
        <v>1</v>
      </c>
    </row>
    <row r="249" spans="1:3" s="310" customFormat="1" x14ac:dyDescent="0.2">
      <c r="A249" s="310" t="s">
        <v>2246</v>
      </c>
      <c r="B249" s="310">
        <f>IF(ISBLANK(GlobBerMedDisc!$O$4),"",GlobBerMedDisc!$O$4)</f>
        <v>1</v>
      </c>
      <c r="C249" s="17">
        <v>1</v>
      </c>
    </row>
    <row r="250" spans="1:3" s="310" customFormat="1" x14ac:dyDescent="0.2">
      <c r="A250" s="310" t="s">
        <v>2247</v>
      </c>
      <c r="B250" s="310">
        <f>IF(ISBLANK(GlobBerMedDisc!$O$5),"",GlobBerMedDisc!$O$5)</f>
        <v>1</v>
      </c>
      <c r="C250" s="17">
        <v>1</v>
      </c>
    </row>
    <row r="251" spans="1:3" s="310" customFormat="1" x14ac:dyDescent="0.2">
      <c r="A251" s="310" t="s">
        <v>2248</v>
      </c>
      <c r="B251" s="310">
        <f>IF(ISBLANK(GlobBerMedDisc!$O$6),"",GlobBerMedDisc!$O$6)</f>
        <v>1</v>
      </c>
      <c r="C251" s="17">
        <v>1</v>
      </c>
    </row>
    <row r="252" spans="1:3" s="310" customFormat="1" x14ac:dyDescent="0.2">
      <c r="A252" s="310" t="s">
        <v>2249</v>
      </c>
      <c r="B252" s="310">
        <f>IF(ISBLANK(GlobBerMedDisc!$O$7),"",GlobBerMedDisc!$O$7)</f>
        <v>1</v>
      </c>
      <c r="C252" s="17">
        <v>1</v>
      </c>
    </row>
    <row r="253" spans="1:3" s="310" customFormat="1" x14ac:dyDescent="0.2">
      <c r="A253" s="310" t="s">
        <v>2250</v>
      </c>
      <c r="B253" s="310">
        <f>IF(ISBLANK(GlobBerMedDisc!$O$8),"",GlobBerMedDisc!$O$8)</f>
        <v>1</v>
      </c>
      <c r="C253" s="17">
        <v>1</v>
      </c>
    </row>
    <row r="254" spans="1:3" s="310" customFormat="1" x14ac:dyDescent="0.2">
      <c r="A254" s="310" t="s">
        <v>2251</v>
      </c>
      <c r="B254" s="310">
        <f>IF(ISBLANK(GlobBerMedDisc!$O$9),"",GlobBerMedDisc!$O$9)</f>
        <v>1</v>
      </c>
      <c r="C254" s="17">
        <v>1</v>
      </c>
    </row>
    <row r="255" spans="1:3" s="310" customFormat="1" x14ac:dyDescent="0.2">
      <c r="A255" s="310" t="s">
        <v>2252</v>
      </c>
      <c r="B255" s="310">
        <f>IF(ISBLANK(GlobBerMedDisc!$O$10),"",GlobBerMedDisc!$O$10)</f>
        <v>1</v>
      </c>
      <c r="C255" s="17">
        <v>1</v>
      </c>
    </row>
    <row r="256" spans="1:3" s="310" customFormat="1" x14ac:dyDescent="0.2">
      <c r="A256" s="310" t="s">
        <v>2253</v>
      </c>
      <c r="B256" s="310">
        <f>IF(ISBLANK(GlobBerMedDisc!$O$11),"",GlobBerMedDisc!$O$11)</f>
        <v>1</v>
      </c>
      <c r="C256" s="17">
        <v>1</v>
      </c>
    </row>
    <row r="257" spans="1:3" s="310" customFormat="1" x14ac:dyDescent="0.2">
      <c r="A257" s="310" t="s">
        <v>2254</v>
      </c>
      <c r="B257" s="310">
        <f>IF(ISBLANK(GlobBerMedDisc!$O$12),"",GlobBerMedDisc!$O$12)</f>
        <v>1</v>
      </c>
      <c r="C257" s="17">
        <v>1</v>
      </c>
    </row>
    <row r="258" spans="1:3" s="310" customFormat="1" x14ac:dyDescent="0.2">
      <c r="A258" s="310" t="s">
        <v>2255</v>
      </c>
      <c r="B258" s="310">
        <f>IF(ISBLANK(GlobBerMedDisc!$O$13),"",GlobBerMedDisc!$O$13)</f>
        <v>1</v>
      </c>
      <c r="C258" s="17">
        <v>1</v>
      </c>
    </row>
    <row r="259" spans="1:3" s="310" customFormat="1" x14ac:dyDescent="0.2">
      <c r="A259" s="310" t="s">
        <v>2256</v>
      </c>
      <c r="B259" s="310">
        <f>IF(ISBLANK(GlobBerMedDisc!$O$14),"",GlobBerMedDisc!$O$14)</f>
        <v>1</v>
      </c>
      <c r="C259" s="17">
        <v>1</v>
      </c>
    </row>
    <row r="260" spans="1:3" s="310" customFormat="1" x14ac:dyDescent="0.2">
      <c r="A260" s="310" t="s">
        <v>2257</v>
      </c>
      <c r="B260" s="310">
        <f>IF(ISBLANK(GlobBerMedDisc!$O$15),"",GlobBerMedDisc!$O$15)</f>
        <v>1</v>
      </c>
      <c r="C260" s="17">
        <v>1</v>
      </c>
    </row>
    <row r="261" spans="1:3" s="310" customFormat="1" x14ac:dyDescent="0.2">
      <c r="A261" s="310" t="s">
        <v>2258</v>
      </c>
      <c r="B261" s="310">
        <f>IF(ISBLANK(GlobBerMedDisc!$O$16),"",GlobBerMedDisc!$O$16)</f>
        <v>1</v>
      </c>
      <c r="C261" s="17">
        <v>1</v>
      </c>
    </row>
    <row r="262" spans="1:3" s="310" customFormat="1" x14ac:dyDescent="0.2">
      <c r="A262" s="310" t="s">
        <v>2259</v>
      </c>
      <c r="B262" s="310">
        <f>IF(ISBLANK(GlobBerMedDisc!$O$17),"",GlobBerMedDisc!$O$17)</f>
        <v>1</v>
      </c>
      <c r="C262" s="17">
        <v>1</v>
      </c>
    </row>
    <row r="263" spans="1:3" s="310" customFormat="1" x14ac:dyDescent="0.2">
      <c r="A263" s="310" t="s">
        <v>2260</v>
      </c>
      <c r="B263" s="310">
        <f>IF(ISBLANK(GlobBerMedDisc!$O$18),"",GlobBerMedDisc!$O$18)</f>
        <v>1</v>
      </c>
      <c r="C263" s="17">
        <v>1</v>
      </c>
    </row>
    <row r="264" spans="1:3" s="310" customFormat="1" x14ac:dyDescent="0.2">
      <c r="A264" s="310" t="s">
        <v>2261</v>
      </c>
      <c r="B264" s="310">
        <f>IF(ISBLANK(GlobBerMedDisc!$O$19),"",GlobBerMedDisc!$O$19)</f>
        <v>1</v>
      </c>
      <c r="C264" s="17">
        <v>1</v>
      </c>
    </row>
    <row r="265" spans="1:3" s="310" customFormat="1" x14ac:dyDescent="0.2">
      <c r="A265" s="310" t="s">
        <v>2262</v>
      </c>
      <c r="B265" s="310">
        <f>IF(ISBLANK(GlobBerMedDisc!$O$20),"",GlobBerMedDisc!$O$20)</f>
        <v>1</v>
      </c>
      <c r="C265" s="17">
        <v>1</v>
      </c>
    </row>
    <row r="266" spans="1:3" s="310" customFormat="1" x14ac:dyDescent="0.2">
      <c r="A266" s="310" t="s">
        <v>2263</v>
      </c>
      <c r="B266" s="310">
        <f>IF(ISBLANK(GlobBerMedDisc!$O$21),"",GlobBerMedDisc!$O$21)</f>
        <v>1</v>
      </c>
      <c r="C266" s="17">
        <v>1</v>
      </c>
    </row>
    <row r="267" spans="1:3" s="310" customFormat="1" x14ac:dyDescent="0.2">
      <c r="A267" s="310" t="s">
        <v>2264</v>
      </c>
      <c r="B267" s="310">
        <f>IF(ISBLANK(GlobBerMedDisc!$O$22),"",GlobBerMedDisc!$O$22)</f>
        <v>1</v>
      </c>
      <c r="C267" s="17">
        <v>1</v>
      </c>
    </row>
    <row r="268" spans="1:3" s="310" customFormat="1" x14ac:dyDescent="0.2">
      <c r="A268" s="310" t="s">
        <v>2265</v>
      </c>
      <c r="B268" s="310">
        <f>IF(ISBLANK(GlobBerMedDisc!$O$23),"",GlobBerMedDisc!$O$23)</f>
        <v>1</v>
      </c>
      <c r="C268" s="17">
        <v>1</v>
      </c>
    </row>
    <row r="269" spans="1:3" s="310" customFormat="1" x14ac:dyDescent="0.2">
      <c r="A269" s="310" t="s">
        <v>2266</v>
      </c>
      <c r="B269" s="310">
        <f>IF(ISBLANK(GlobBerMedDisc!$O$24),"",GlobBerMedDisc!$O$24)</f>
        <v>1</v>
      </c>
      <c r="C269" s="17">
        <v>1</v>
      </c>
    </row>
    <row r="270" spans="1:3" s="310" customFormat="1" x14ac:dyDescent="0.2">
      <c r="A270" s="310" t="s">
        <v>2267</v>
      </c>
      <c r="B270" s="310">
        <f>IF(ISBLANK(GlobBerMedDisc!$O$25),"",GlobBerMedDisc!$O$25)</f>
        <v>1</v>
      </c>
      <c r="C270" s="17">
        <v>1</v>
      </c>
    </row>
    <row r="271" spans="1:3" s="310" customFormat="1" x14ac:dyDescent="0.2">
      <c r="A271" s="310" t="s">
        <v>2268</v>
      </c>
      <c r="B271" s="310">
        <f>IF(ISBLANK(GlobBerMedDisc!$O$26),"",GlobBerMedDisc!$O$26)</f>
        <v>1</v>
      </c>
      <c r="C271" s="17">
        <v>1</v>
      </c>
    </row>
    <row r="272" spans="1:3" s="310" customFormat="1" x14ac:dyDescent="0.2">
      <c r="A272" s="310" t="s">
        <v>2269</v>
      </c>
      <c r="B272" s="310">
        <f>IF(ISBLANK(GlobBerMedDisc!$O$27),"",GlobBerMedDisc!$O$27)</f>
        <v>1</v>
      </c>
      <c r="C272" s="17">
        <v>1</v>
      </c>
    </row>
    <row r="273" spans="1:3" s="310" customFormat="1" x14ac:dyDescent="0.2">
      <c r="A273" s="310" t="s">
        <v>2270</v>
      </c>
      <c r="B273" s="310">
        <f>IF(ISBLANK(GlobBerMedDisc!$O$28),"",GlobBerMedDisc!$O$28)</f>
        <v>1</v>
      </c>
      <c r="C273" s="17">
        <v>1</v>
      </c>
    </row>
    <row r="274" spans="1:3" s="310" customFormat="1" x14ac:dyDescent="0.2">
      <c r="A274" s="310" t="s">
        <v>2271</v>
      </c>
      <c r="B274" s="310">
        <f>IF(ISBLANK(GlobBerMedDisc!$O$29),"",GlobBerMedDisc!$O$29)</f>
        <v>1</v>
      </c>
      <c r="C274" s="17">
        <v>1</v>
      </c>
    </row>
    <row r="275" spans="1:3" s="310" customFormat="1" x14ac:dyDescent="0.2">
      <c r="A275" s="310" t="s">
        <v>2272</v>
      </c>
      <c r="B275" s="310">
        <f>IF(ISBLANK(GlobBerMedDisc!$O$30),"",GlobBerMedDisc!$O$30)</f>
        <v>1</v>
      </c>
      <c r="C275" s="17">
        <v>1</v>
      </c>
    </row>
    <row r="276" spans="1:3" s="310" customFormat="1" x14ac:dyDescent="0.2">
      <c r="A276" s="310" t="s">
        <v>2273</v>
      </c>
      <c r="B276" s="310">
        <f>IF(ISBLANK(GlobBerMedDisc!$O$31),"",GlobBerMedDisc!$O$31)</f>
        <v>1</v>
      </c>
      <c r="C276" s="17">
        <v>1</v>
      </c>
    </row>
    <row r="277" spans="1:3" x14ac:dyDescent="0.2">
      <c r="A277" s="310" t="s">
        <v>2274</v>
      </c>
      <c r="B277">
        <f>IF(ISBLANK(GlobBerMedDisc!$N$2),"",GlobBerMedDisc!$N$2)</f>
        <v>0</v>
      </c>
      <c r="C277" s="312">
        <v>0</v>
      </c>
    </row>
    <row r="278" spans="1:3" x14ac:dyDescent="0.2">
      <c r="A278" s="310" t="s">
        <v>2275</v>
      </c>
      <c r="B278">
        <f>IF(ISBLANK(GlobBerMedDisc!$N$3),"",GlobBerMedDisc!$N$3)</f>
        <v>0</v>
      </c>
      <c r="C278" s="312">
        <v>0</v>
      </c>
    </row>
    <row r="279" spans="1:3" x14ac:dyDescent="0.2">
      <c r="A279" s="310" t="s">
        <v>2276</v>
      </c>
      <c r="B279">
        <f>IF(ISBLANK(GlobBerMedDisc!$N$4),"",GlobBerMedDisc!$N$4)</f>
        <v>0</v>
      </c>
      <c r="C279" s="312">
        <v>0</v>
      </c>
    </row>
    <row r="280" spans="1:3" x14ac:dyDescent="0.2">
      <c r="A280" s="310" t="s">
        <v>2277</v>
      </c>
      <c r="B280">
        <f>IF(ISBLANK(GlobBerMedDisc!$N$5),"",GlobBerMedDisc!$N$5)</f>
        <v>0</v>
      </c>
      <c r="C280" s="312">
        <v>0</v>
      </c>
    </row>
    <row r="281" spans="1:3" x14ac:dyDescent="0.2">
      <c r="A281" s="310" t="s">
        <v>2278</v>
      </c>
      <c r="B281" s="310">
        <f>IF(ISBLANK(GlobBerMedDisc!$N$6),"",GlobBerMedDisc!$N$6)</f>
        <v>0</v>
      </c>
      <c r="C281" s="312">
        <v>0</v>
      </c>
    </row>
    <row r="282" spans="1:3" x14ac:dyDescent="0.2">
      <c r="A282" s="310" t="s">
        <v>2279</v>
      </c>
      <c r="B282" s="310">
        <f>IF(ISBLANK(GlobBerMedDisc!$N$7),"",GlobBerMedDisc!$N$7)</f>
        <v>0</v>
      </c>
      <c r="C282" s="312">
        <v>0</v>
      </c>
    </row>
    <row r="283" spans="1:3" x14ac:dyDescent="0.2">
      <c r="A283" s="310" t="s">
        <v>2280</v>
      </c>
      <c r="B283" s="310">
        <f>IF(ISBLANK(GlobBerMedDisc!$N$8),"",GlobBerMedDisc!$N$8)</f>
        <v>0</v>
      </c>
      <c r="C283" s="312">
        <v>0</v>
      </c>
    </row>
    <row r="284" spans="1:3" x14ac:dyDescent="0.2">
      <c r="A284" s="310" t="s">
        <v>2281</v>
      </c>
      <c r="B284" s="310">
        <f>IF(ISBLANK(GlobBerMedDisc!$N$9),"",GlobBerMedDisc!$N$9)</f>
        <v>0</v>
      </c>
      <c r="C284" s="312">
        <v>0</v>
      </c>
    </row>
    <row r="285" spans="1:3" x14ac:dyDescent="0.2">
      <c r="A285" s="310" t="s">
        <v>2282</v>
      </c>
      <c r="B285" s="310">
        <f>IF(ISBLANK(GlobBerMedDisc!$N$10),"",GlobBerMedDisc!$N$10)</f>
        <v>0</v>
      </c>
      <c r="C285" s="312">
        <v>0</v>
      </c>
    </row>
    <row r="286" spans="1:3" x14ac:dyDescent="0.2">
      <c r="A286" s="310" t="s">
        <v>2283</v>
      </c>
      <c r="B286" s="310">
        <f>IF(ISBLANK(GlobBerMedDisc!$N$11),"",GlobBerMedDisc!$N$11)</f>
        <v>0</v>
      </c>
      <c r="C286" s="312">
        <v>0</v>
      </c>
    </row>
    <row r="287" spans="1:3" x14ac:dyDescent="0.2">
      <c r="A287" s="310" t="s">
        <v>2284</v>
      </c>
      <c r="B287" s="310">
        <f>IF(ISBLANK(GlobBerMedDisc!$N$12),"",GlobBerMedDisc!$N$12)</f>
        <v>0</v>
      </c>
      <c r="C287" s="312">
        <v>0</v>
      </c>
    </row>
    <row r="288" spans="1:3" x14ac:dyDescent="0.2">
      <c r="A288" s="310" t="s">
        <v>2285</v>
      </c>
      <c r="B288" s="310">
        <f>IF(ISBLANK(GlobBerMedDisc!$N$13),"",GlobBerMedDisc!$N$13)</f>
        <v>0</v>
      </c>
      <c r="C288" s="312">
        <v>0</v>
      </c>
    </row>
    <row r="289" spans="1:3" x14ac:dyDescent="0.2">
      <c r="A289" s="310" t="s">
        <v>2286</v>
      </c>
      <c r="B289" s="310">
        <f>IF(ISBLANK(GlobBerMedDisc!$N$14),"",GlobBerMedDisc!$N$14)</f>
        <v>0</v>
      </c>
      <c r="C289" s="312">
        <v>0</v>
      </c>
    </row>
    <row r="290" spans="1:3" x14ac:dyDescent="0.2">
      <c r="A290" s="310" t="s">
        <v>2287</v>
      </c>
      <c r="B290" s="310">
        <f>IF(ISBLANK(GlobBerMedDisc!$N$15),"",GlobBerMedDisc!$N$15)</f>
        <v>0</v>
      </c>
      <c r="C290" s="312">
        <v>0</v>
      </c>
    </row>
    <row r="291" spans="1:3" x14ac:dyDescent="0.2">
      <c r="A291" s="310" t="s">
        <v>2288</v>
      </c>
      <c r="B291">
        <f>IF(ISBLANK(GlobBerMedDisc!$N$16),"",GlobBerMedDisc!$N$16)</f>
        <v>0</v>
      </c>
      <c r="C291" s="312">
        <v>0</v>
      </c>
    </row>
    <row r="292" spans="1:3" x14ac:dyDescent="0.2">
      <c r="A292" s="310" t="s">
        <v>2289</v>
      </c>
      <c r="B292">
        <f>IF(ISBLANK(GlobBerMedDisc!$N$17),"",GlobBerMedDisc!$N$17)</f>
        <v>0</v>
      </c>
      <c r="C292" s="312">
        <v>0</v>
      </c>
    </row>
    <row r="293" spans="1:3" x14ac:dyDescent="0.2">
      <c r="A293" s="310" t="s">
        <v>2290</v>
      </c>
      <c r="B293">
        <f>IF(ISBLANK(GlobBerMedDisc!$N$18),"",GlobBerMedDisc!$N$18)</f>
        <v>0</v>
      </c>
      <c r="C293" s="312">
        <v>0</v>
      </c>
    </row>
    <row r="294" spans="1:3" x14ac:dyDescent="0.2">
      <c r="A294" s="310" t="s">
        <v>2291</v>
      </c>
      <c r="B294">
        <f>IF(ISBLANK(GlobBerMedDisc!$N$19),"",GlobBerMedDisc!$N$19)</f>
        <v>0</v>
      </c>
      <c r="C294" s="312">
        <v>0</v>
      </c>
    </row>
    <row r="295" spans="1:3" x14ac:dyDescent="0.2">
      <c r="A295" s="310" t="s">
        <v>2292</v>
      </c>
      <c r="B295">
        <f>IF(ISBLANK(GlobBerMedDisc!$N$20),"",GlobBerMedDisc!$N$20)</f>
        <v>0</v>
      </c>
      <c r="C295" s="312">
        <v>0</v>
      </c>
    </row>
    <row r="296" spans="1:3" s="310" customFormat="1" x14ac:dyDescent="0.2">
      <c r="A296" s="310" t="s">
        <v>2293</v>
      </c>
      <c r="B296">
        <f>IF(ISBLANK(GlobBerMedDisc!$N$21),"",GlobBerMedDisc!$N$21)</f>
        <v>0</v>
      </c>
      <c r="C296" s="312">
        <v>0</v>
      </c>
    </row>
    <row r="297" spans="1:3" s="310" customFormat="1" x14ac:dyDescent="0.2">
      <c r="A297" s="310" t="s">
        <v>2294</v>
      </c>
      <c r="B297">
        <f>IF(ISBLANK(GlobBerMedDisc!$N$22),"",GlobBerMedDisc!$N$22)</f>
        <v>0</v>
      </c>
      <c r="C297" s="312">
        <v>0</v>
      </c>
    </row>
    <row r="298" spans="1:3" s="310" customFormat="1" x14ac:dyDescent="0.2">
      <c r="A298" s="310" t="s">
        <v>2295</v>
      </c>
      <c r="B298">
        <f>IF(ISBLANK(GlobBerMedDisc!$N$23),"",GlobBerMedDisc!$N$23)</f>
        <v>0</v>
      </c>
      <c r="C298" s="312">
        <v>0</v>
      </c>
    </row>
    <row r="299" spans="1:3" s="310" customFormat="1" x14ac:dyDescent="0.2">
      <c r="A299" s="310" t="s">
        <v>2296</v>
      </c>
      <c r="B299">
        <f>IF(ISBLANK(GlobBerMedDisc!$N$24),"",GlobBerMedDisc!$N$24)</f>
        <v>0</v>
      </c>
      <c r="C299" s="312">
        <v>0</v>
      </c>
    </row>
    <row r="300" spans="1:3" s="310" customFormat="1" x14ac:dyDescent="0.2">
      <c r="A300" s="310" t="s">
        <v>2297</v>
      </c>
      <c r="B300">
        <f>IF(ISBLANK(GlobBerMedDisc!$N$25),"",GlobBerMedDisc!$N$25)</f>
        <v>0</v>
      </c>
      <c r="C300" s="312">
        <v>0</v>
      </c>
    </row>
    <row r="301" spans="1:3" s="310" customFormat="1" x14ac:dyDescent="0.2">
      <c r="A301" s="310" t="s">
        <v>2298</v>
      </c>
      <c r="B301">
        <f>IF(ISBLANK(GlobBerMedDisc!$N$26),"",GlobBerMedDisc!$N$26)</f>
        <v>0</v>
      </c>
      <c r="C301" s="312">
        <v>0</v>
      </c>
    </row>
    <row r="302" spans="1:3" s="310" customFormat="1" x14ac:dyDescent="0.2">
      <c r="A302" s="310" t="s">
        <v>2299</v>
      </c>
      <c r="B302">
        <f>IF(ISBLANK(GlobBerMedDisc!$N$27),"",GlobBerMedDisc!$N$27)</f>
        <v>0</v>
      </c>
      <c r="C302" s="312">
        <v>0</v>
      </c>
    </row>
    <row r="303" spans="1:3" s="310" customFormat="1" x14ac:dyDescent="0.2">
      <c r="A303" s="310" t="s">
        <v>2300</v>
      </c>
      <c r="B303">
        <f>IF(ISBLANK(GlobBerMedDisc!$N$28),"",GlobBerMedDisc!$N$28)</f>
        <v>0</v>
      </c>
      <c r="C303" s="312">
        <v>0</v>
      </c>
    </row>
    <row r="304" spans="1:3" s="310" customFormat="1" x14ac:dyDescent="0.2">
      <c r="A304" s="310" t="s">
        <v>2301</v>
      </c>
      <c r="B304">
        <f>IF(ISBLANK(GlobBerMedDisc!$N$29),"",GlobBerMedDisc!$N$29)</f>
        <v>0</v>
      </c>
      <c r="C304" s="312">
        <v>0</v>
      </c>
    </row>
    <row r="305" spans="1:3" s="310" customFormat="1" x14ac:dyDescent="0.2">
      <c r="A305" s="310" t="s">
        <v>2302</v>
      </c>
      <c r="B305">
        <f>IF(ISBLANK(GlobBerMedDisc!$N$30),"",GlobBerMedDisc!$N$30)</f>
        <v>0</v>
      </c>
      <c r="C305" s="312">
        <v>0</v>
      </c>
    </row>
    <row r="306" spans="1:3" x14ac:dyDescent="0.2">
      <c r="A306" s="310" t="s">
        <v>2303</v>
      </c>
      <c r="B306">
        <f>IF(ISBLANK(GlobBerMedDisc!$N$31),"",GlobBerMedDisc!$N$31)</f>
        <v>0</v>
      </c>
      <c r="C306" s="312">
        <v>0</v>
      </c>
    </row>
    <row r="307" spans="1:3" x14ac:dyDescent="0.2">
      <c r="A307" s="310" t="s">
        <v>2304</v>
      </c>
      <c r="B307" t="str">
        <f>IF(ISBLANK(GlobBerMedDisc!$AB$2),"",GlobBerMedDisc!$AB$2)</f>
        <v/>
      </c>
      <c r="C307" s="130"/>
    </row>
    <row r="308" spans="1:3" x14ac:dyDescent="0.2">
      <c r="A308" s="310" t="s">
        <v>2305</v>
      </c>
      <c r="B308" t="str">
        <f>IF(ISBLANK(GlobBerMedDisc!$AB$3),"",GlobBerMedDisc!$AB$3)</f>
        <v/>
      </c>
      <c r="C308" s="130"/>
    </row>
    <row r="309" spans="1:3" x14ac:dyDescent="0.2">
      <c r="A309" s="310" t="s">
        <v>2306</v>
      </c>
      <c r="B309" t="str">
        <f>IF(ISBLANK(GlobBerMedDisc!$AB$4),"",GlobBerMedDisc!$AB$4)</f>
        <v/>
      </c>
      <c r="C309" s="130"/>
    </row>
    <row r="310" spans="1:3" x14ac:dyDescent="0.2">
      <c r="A310" s="310" t="s">
        <v>2307</v>
      </c>
      <c r="B310" t="str">
        <f>IF(ISBLANK(GlobBerMedDisc!$AB$5),"",GlobBerMedDisc!$AB$5)</f>
        <v/>
      </c>
      <c r="C310" s="130"/>
    </row>
    <row r="311" spans="1:3" x14ac:dyDescent="0.2">
      <c r="A311" s="310" t="s">
        <v>2308</v>
      </c>
      <c r="B311" t="str">
        <f>IF(ISBLANK(GlobBerMedDisc!$AB$6),"",GlobBerMedDisc!$AB$6)</f>
        <v/>
      </c>
      <c r="C311" s="130"/>
    </row>
    <row r="312" spans="1:3" x14ac:dyDescent="0.2">
      <c r="A312" s="310" t="s">
        <v>2309</v>
      </c>
      <c r="B312" t="str">
        <f>IF(ISBLANK(GlobBerMedDisc!$AB$7),"",GlobBerMedDisc!$AB$7)</f>
        <v/>
      </c>
      <c r="C312" s="130"/>
    </row>
    <row r="313" spans="1:3" x14ac:dyDescent="0.2">
      <c r="A313" s="310" t="s">
        <v>2310</v>
      </c>
      <c r="B313" t="str">
        <f>IF(ISBLANK(GlobBerMedDisc!$AB$8),"",GlobBerMedDisc!$AB$8)</f>
        <v/>
      </c>
      <c r="C313" s="130"/>
    </row>
    <row r="314" spans="1:3" x14ac:dyDescent="0.2">
      <c r="A314" s="310" t="s">
        <v>2311</v>
      </c>
      <c r="B314" t="str">
        <f>IF(ISBLANK(GlobBerMedDisc!$AB$9),"",GlobBerMedDisc!$AB$9)</f>
        <v/>
      </c>
      <c r="C314" s="130"/>
    </row>
    <row r="315" spans="1:3" x14ac:dyDescent="0.2">
      <c r="A315" s="310" t="s">
        <v>2312</v>
      </c>
      <c r="B315" t="str">
        <f>IF(ISBLANK(GlobBerMedDisc!$AB$10),"",GlobBerMedDisc!$AB$10)</f>
        <v/>
      </c>
      <c r="C315" s="130"/>
    </row>
    <row r="316" spans="1:3" x14ac:dyDescent="0.2">
      <c r="A316" s="310" t="s">
        <v>2313</v>
      </c>
      <c r="B316" t="str">
        <f>IF(ISBLANK(GlobBerMedDisc!$AB$11),"",GlobBerMedDisc!$AB$11)</f>
        <v/>
      </c>
      <c r="C316" s="130"/>
    </row>
    <row r="317" spans="1:3" x14ac:dyDescent="0.2">
      <c r="A317" s="310" t="s">
        <v>2314</v>
      </c>
      <c r="B317" t="str">
        <f>IF(ISBLANK(GlobBerMedDisc!$AB$12),"",GlobBerMedDisc!$AB$12)</f>
        <v/>
      </c>
      <c r="C317" s="130"/>
    </row>
    <row r="318" spans="1:3" x14ac:dyDescent="0.2">
      <c r="A318" s="310" t="s">
        <v>2315</v>
      </c>
      <c r="B318" t="str">
        <f>IF(ISBLANK(GlobBerMedDisc!$AB$13),"",GlobBerMedDisc!$AB$13)</f>
        <v/>
      </c>
      <c r="C318" s="130"/>
    </row>
    <row r="319" spans="1:3" x14ac:dyDescent="0.2">
      <c r="A319" s="310" t="s">
        <v>2316</v>
      </c>
      <c r="B319" t="str">
        <f>IF(ISBLANK(GlobBerMedDisc!$AB$14),"",GlobBerMedDisc!$AB$14)</f>
        <v/>
      </c>
      <c r="C319" s="130"/>
    </row>
    <row r="320" spans="1:3" x14ac:dyDescent="0.2">
      <c r="A320" s="310" t="s">
        <v>2317</v>
      </c>
      <c r="B320" t="str">
        <f>IF(ISBLANK(GlobBerMedDisc!$AB$15),"",GlobBerMedDisc!$AB$15)</f>
        <v/>
      </c>
      <c r="C320" s="130"/>
    </row>
    <row r="321" spans="1:8" x14ac:dyDescent="0.2">
      <c r="A321" s="310" t="s">
        <v>2318</v>
      </c>
      <c r="B321" t="str">
        <f>IF(ISBLANK(GlobBerMedDisc!$AB$16),"",GlobBerMedDisc!$AB$16)</f>
        <v/>
      </c>
      <c r="C321" s="130"/>
    </row>
    <row r="322" spans="1:8" x14ac:dyDescent="0.2">
      <c r="A322" s="310" t="s">
        <v>2319</v>
      </c>
      <c r="B322" t="str">
        <f>IF(ISBLANK(GlobBerMedDisc!$AB$17),"",GlobBerMedDisc!$AB$17)</f>
        <v/>
      </c>
      <c r="C322" s="130"/>
    </row>
    <row r="323" spans="1:8" x14ac:dyDescent="0.2">
      <c r="A323" s="310" t="s">
        <v>2320</v>
      </c>
      <c r="B323" t="str">
        <f>IF(ISBLANK(GlobBerMedDisc!$AB$18),"",GlobBerMedDisc!$AB$18)</f>
        <v/>
      </c>
      <c r="C323" s="130"/>
      <c r="E323" s="310"/>
      <c r="F323" s="310"/>
      <c r="G323" s="310"/>
      <c r="H323" s="310"/>
    </row>
    <row r="324" spans="1:8" x14ac:dyDescent="0.2">
      <c r="A324" s="310" t="s">
        <v>2321</v>
      </c>
      <c r="B324" t="str">
        <f>IF(ISBLANK(GlobBerMedDisc!$AB$19),"",GlobBerMedDisc!$AB$19)</f>
        <v/>
      </c>
      <c r="C324" s="130"/>
      <c r="E324" s="310"/>
      <c r="F324" s="310"/>
      <c r="G324" s="310"/>
      <c r="H324" s="310"/>
    </row>
    <row r="325" spans="1:8" x14ac:dyDescent="0.2">
      <c r="A325" s="310" t="s">
        <v>2322</v>
      </c>
      <c r="B325" t="str">
        <f>IF(ISBLANK(GlobBerMedDisc!$AB$20),"",GlobBerMedDisc!$AB$20)</f>
        <v/>
      </c>
      <c r="C325" s="130"/>
      <c r="E325" s="310"/>
      <c r="F325" s="310"/>
      <c r="G325" s="310"/>
      <c r="H325" s="310"/>
    </row>
    <row r="326" spans="1:8" x14ac:dyDescent="0.2">
      <c r="A326" s="310" t="s">
        <v>2323</v>
      </c>
      <c r="B326" s="310" t="str">
        <f>IF(ISBLANK(GlobBerMedDisc!$AB$21),"",GlobBerMedDisc!$AB$21)</f>
        <v/>
      </c>
      <c r="C326" s="130"/>
      <c r="E326" s="310"/>
      <c r="F326" s="310"/>
      <c r="G326" s="310"/>
      <c r="H326" s="310"/>
    </row>
    <row r="327" spans="1:8" x14ac:dyDescent="0.2">
      <c r="A327" s="310" t="s">
        <v>2324</v>
      </c>
      <c r="B327" s="310" t="str">
        <f>IF(ISBLANK(GlobBerMedDisc!$AB$22),"",GlobBerMedDisc!$AB$22)</f>
        <v/>
      </c>
      <c r="C327" s="130"/>
      <c r="E327" s="310"/>
      <c r="F327" s="310"/>
      <c r="G327" s="310"/>
      <c r="H327" s="310"/>
    </row>
    <row r="328" spans="1:8" x14ac:dyDescent="0.2">
      <c r="A328" s="310" t="s">
        <v>2325</v>
      </c>
      <c r="B328" s="310" t="str">
        <f>IF(ISBLANK(GlobBerMedDisc!$AB$23),"",GlobBerMedDisc!$AB$23)</f>
        <v/>
      </c>
      <c r="C328" s="130"/>
      <c r="E328" s="310"/>
      <c r="F328" s="310"/>
      <c r="G328" s="310"/>
      <c r="H328" s="310"/>
    </row>
    <row r="329" spans="1:8" x14ac:dyDescent="0.2">
      <c r="A329" s="310" t="s">
        <v>2326</v>
      </c>
      <c r="B329" s="310" t="str">
        <f>IF(ISBLANK(GlobBerMedDisc!$AB$24),"",GlobBerMedDisc!$AB$24)</f>
        <v/>
      </c>
      <c r="C329" s="130"/>
      <c r="E329" s="310"/>
      <c r="F329" s="310"/>
      <c r="G329" s="310"/>
      <c r="H329" s="310"/>
    </row>
    <row r="330" spans="1:8" x14ac:dyDescent="0.2">
      <c r="A330" s="310" t="s">
        <v>2327</v>
      </c>
      <c r="B330" s="310" t="str">
        <f>IF(ISBLANK(GlobBerMedDisc!$AB$25),"",GlobBerMedDisc!$AB$25)</f>
        <v/>
      </c>
      <c r="C330" s="130"/>
      <c r="E330" s="310"/>
      <c r="F330" s="310"/>
      <c r="G330" s="310"/>
      <c r="H330" s="310"/>
    </row>
    <row r="331" spans="1:8" x14ac:dyDescent="0.2">
      <c r="A331" s="310" t="s">
        <v>2328</v>
      </c>
      <c r="B331" s="310" t="str">
        <f>IF(ISBLANK(GlobBerMedDisc!$AB$26),"",GlobBerMedDisc!$AB$26)</f>
        <v/>
      </c>
      <c r="C331" s="130"/>
      <c r="E331" s="310"/>
      <c r="F331" s="310"/>
      <c r="G331" s="310"/>
      <c r="H331" s="310"/>
    </row>
    <row r="332" spans="1:8" x14ac:dyDescent="0.2">
      <c r="A332" s="310" t="s">
        <v>2329</v>
      </c>
      <c r="B332" s="310" t="str">
        <f>IF(ISBLANK(GlobBerMedDisc!$AB$27),"",GlobBerMedDisc!$AB$27)</f>
        <v/>
      </c>
      <c r="C332" s="130"/>
      <c r="E332" s="310"/>
      <c r="F332" s="310"/>
      <c r="G332" s="310"/>
      <c r="H332" s="310"/>
    </row>
    <row r="333" spans="1:8" x14ac:dyDescent="0.2">
      <c r="A333" s="310" t="s">
        <v>2330</v>
      </c>
      <c r="B333" s="310" t="str">
        <f>IF(ISBLANK(GlobBerMedDisc!$AB$28),"",GlobBerMedDisc!$AB$28)</f>
        <v/>
      </c>
      <c r="C333" s="130"/>
      <c r="E333" s="310"/>
      <c r="F333" s="310"/>
      <c r="G333" s="310"/>
      <c r="H333" s="310"/>
    </row>
    <row r="334" spans="1:8" x14ac:dyDescent="0.2">
      <c r="A334" s="310" t="s">
        <v>2331</v>
      </c>
      <c r="B334" s="310" t="str">
        <f>IF(ISBLANK(GlobBerMedDisc!$AB$29),"",GlobBerMedDisc!$AB$29)</f>
        <v/>
      </c>
      <c r="C334" s="130"/>
    </row>
    <row r="335" spans="1:8" x14ac:dyDescent="0.2">
      <c r="A335" s="310" t="s">
        <v>2332</v>
      </c>
      <c r="B335" s="310" t="str">
        <f>IF(ISBLANK(GlobBerMedDisc!$AB$30),"",GlobBerMedDisc!$AB$30)</f>
        <v/>
      </c>
      <c r="C335" s="130"/>
    </row>
    <row r="336" spans="1:8" x14ac:dyDescent="0.2">
      <c r="A336" s="310" t="s">
        <v>2333</v>
      </c>
      <c r="B336" t="str">
        <f>IF(ISBLANK(GlobBerMedDisc!$AB$31),"",GlobBerMedDisc!$AB$31)</f>
        <v/>
      </c>
      <c r="C336" s="130"/>
    </row>
    <row r="337" spans="1:3" s="310" customFormat="1" x14ac:dyDescent="0.2">
      <c r="A337" s="310" t="s">
        <v>3857</v>
      </c>
      <c r="B337" s="310" t="b">
        <f>IF(ISBLANK(GlobBerMedDisc!$AF$2),"",GlobBerMedDisc!$AF$2)</f>
        <v>0</v>
      </c>
      <c r="C337" s="310" t="b">
        <v>0</v>
      </c>
    </row>
    <row r="338" spans="1:3" s="310" customFormat="1" x14ac:dyDescent="0.2">
      <c r="A338" s="310" t="s">
        <v>3858</v>
      </c>
      <c r="B338" s="310" t="b">
        <f>IF(ISBLANK(GlobBerMedDisc!$AF$3),"",GlobBerMedDisc!$AF$3)</f>
        <v>0</v>
      </c>
      <c r="C338" s="310" t="b">
        <v>0</v>
      </c>
    </row>
    <row r="339" spans="1:3" s="310" customFormat="1" x14ac:dyDescent="0.2">
      <c r="A339" s="310" t="s">
        <v>3859</v>
      </c>
      <c r="B339" s="310" t="b">
        <f>IF(ISBLANK(GlobBerMedDisc!$AF$4),"",GlobBerMedDisc!$AF$4)</f>
        <v>0</v>
      </c>
      <c r="C339" s="310" t="b">
        <v>0</v>
      </c>
    </row>
    <row r="340" spans="1:3" s="310" customFormat="1" x14ac:dyDescent="0.2">
      <c r="A340" s="310" t="s">
        <v>3860</v>
      </c>
      <c r="B340" s="310" t="b">
        <f>IF(ISBLANK(GlobBerMedDisc!$AF$5),"",GlobBerMedDisc!$AF$5)</f>
        <v>0</v>
      </c>
      <c r="C340" s="310" t="b">
        <v>0</v>
      </c>
    </row>
    <row r="341" spans="1:3" s="310" customFormat="1" x14ac:dyDescent="0.2">
      <c r="A341" s="310" t="s">
        <v>3861</v>
      </c>
      <c r="B341" s="310" t="b">
        <f>IF(ISBLANK(GlobBerMedDisc!$AF$6),"",GlobBerMedDisc!$AF$6)</f>
        <v>0</v>
      </c>
      <c r="C341" s="310" t="b">
        <v>0</v>
      </c>
    </row>
    <row r="342" spans="1:3" s="310" customFormat="1" x14ac:dyDescent="0.2">
      <c r="A342" s="310" t="s">
        <v>3862</v>
      </c>
      <c r="B342" s="310" t="b">
        <f>IF(ISBLANK(GlobBerMedDisc!$AF$7),"",GlobBerMedDisc!$AF$7)</f>
        <v>0</v>
      </c>
      <c r="C342" s="310" t="b">
        <v>0</v>
      </c>
    </row>
    <row r="343" spans="1:3" s="310" customFormat="1" x14ac:dyDescent="0.2">
      <c r="A343" s="310" t="s">
        <v>3863</v>
      </c>
      <c r="B343" s="310" t="b">
        <f>IF(ISBLANK(GlobBerMedDisc!$AF$8),"",GlobBerMedDisc!$AF$8)</f>
        <v>0</v>
      </c>
      <c r="C343" s="310" t="b">
        <v>0</v>
      </c>
    </row>
    <row r="344" spans="1:3" s="310" customFormat="1" x14ac:dyDescent="0.2">
      <c r="A344" s="310" t="s">
        <v>3864</v>
      </c>
      <c r="B344" s="310" t="b">
        <f>IF(ISBLANK(GlobBerMedDisc!$AF$9),"",GlobBerMedDisc!$AF$9)</f>
        <v>0</v>
      </c>
      <c r="C344" s="310" t="b">
        <v>0</v>
      </c>
    </row>
    <row r="345" spans="1:3" s="310" customFormat="1" x14ac:dyDescent="0.2">
      <c r="A345" s="310" t="s">
        <v>3865</v>
      </c>
      <c r="B345" s="310" t="b">
        <f>IF(ISBLANK(GlobBerMedDisc!$AF$10),"",GlobBerMedDisc!$AF$10)</f>
        <v>0</v>
      </c>
      <c r="C345" s="310" t="b">
        <v>0</v>
      </c>
    </row>
    <row r="346" spans="1:3" s="310" customFormat="1" x14ac:dyDescent="0.2">
      <c r="A346" s="310" t="s">
        <v>3866</v>
      </c>
      <c r="B346" s="310" t="b">
        <f>IF(ISBLANK(GlobBerMedDisc!$AF$11),"",GlobBerMedDisc!$AF$11)</f>
        <v>0</v>
      </c>
      <c r="C346" s="310" t="b">
        <v>0</v>
      </c>
    </row>
    <row r="347" spans="1:3" s="310" customFormat="1" x14ac:dyDescent="0.2">
      <c r="A347" s="310" t="s">
        <v>3867</v>
      </c>
      <c r="B347" s="310" t="b">
        <f>IF(ISBLANK(GlobBerMedDisc!$AF$12),"",GlobBerMedDisc!$AF$12)</f>
        <v>0</v>
      </c>
      <c r="C347" s="310" t="b">
        <v>0</v>
      </c>
    </row>
    <row r="348" spans="1:3" s="310" customFormat="1" x14ac:dyDescent="0.2">
      <c r="A348" s="310" t="s">
        <v>3868</v>
      </c>
      <c r="B348" s="310" t="b">
        <f>IF(ISBLANK(GlobBerMedDisc!$AF$13),"",GlobBerMedDisc!$AF$13)</f>
        <v>0</v>
      </c>
      <c r="C348" s="310" t="b">
        <v>0</v>
      </c>
    </row>
    <row r="349" spans="1:3" s="310" customFormat="1" x14ac:dyDescent="0.2">
      <c r="A349" s="310" t="s">
        <v>3869</v>
      </c>
      <c r="B349" s="310" t="b">
        <f>IF(ISBLANK(GlobBerMedDisc!$AF$14),"",GlobBerMedDisc!$AF$14)</f>
        <v>0</v>
      </c>
      <c r="C349" s="310" t="b">
        <v>0</v>
      </c>
    </row>
    <row r="350" spans="1:3" s="310" customFormat="1" x14ac:dyDescent="0.2">
      <c r="A350" s="310" t="s">
        <v>3870</v>
      </c>
      <c r="B350" s="310" t="b">
        <f>IF(ISBLANK(GlobBerMedDisc!$AF$15),"",GlobBerMedDisc!$AF$15)</f>
        <v>0</v>
      </c>
      <c r="C350" s="310" t="b">
        <v>0</v>
      </c>
    </row>
    <row r="351" spans="1:3" s="310" customFormat="1" x14ac:dyDescent="0.2">
      <c r="A351" s="310" t="s">
        <v>3871</v>
      </c>
      <c r="B351" s="310" t="b">
        <f>IF(ISBLANK(GlobBerMedDisc!$AF$16),"",GlobBerMedDisc!$AF$16)</f>
        <v>0</v>
      </c>
      <c r="C351" s="310" t="b">
        <v>0</v>
      </c>
    </row>
    <row r="352" spans="1:3" s="310" customFormat="1" x14ac:dyDescent="0.2">
      <c r="A352" s="310" t="s">
        <v>3872</v>
      </c>
      <c r="B352" s="310" t="b">
        <f>IF(ISBLANK(GlobBerMedDisc!$AF$17),"",GlobBerMedDisc!$AF$17)</f>
        <v>0</v>
      </c>
      <c r="C352" s="310" t="b">
        <v>0</v>
      </c>
    </row>
    <row r="353" spans="1:3" s="310" customFormat="1" x14ac:dyDescent="0.2">
      <c r="A353" s="310" t="s">
        <v>3873</v>
      </c>
      <c r="B353" s="310" t="b">
        <f>IF(ISBLANK(GlobBerMedDisc!$AF$18),"",GlobBerMedDisc!$AF$18)</f>
        <v>0</v>
      </c>
      <c r="C353" s="310" t="b">
        <v>0</v>
      </c>
    </row>
    <row r="354" spans="1:3" s="310" customFormat="1" x14ac:dyDescent="0.2">
      <c r="A354" s="310" t="s">
        <v>3874</v>
      </c>
      <c r="B354" s="310" t="b">
        <f>IF(ISBLANK(GlobBerMedDisc!$AF$19),"",GlobBerMedDisc!$AF$19)</f>
        <v>0</v>
      </c>
      <c r="C354" s="310" t="b">
        <v>0</v>
      </c>
    </row>
    <row r="355" spans="1:3" s="310" customFormat="1" x14ac:dyDescent="0.2">
      <c r="A355" s="310" t="s">
        <v>3875</v>
      </c>
      <c r="B355" s="310" t="b">
        <f>IF(ISBLANK(GlobBerMedDisc!$AF$20),"",GlobBerMedDisc!$AF$20)</f>
        <v>0</v>
      </c>
      <c r="C355" s="310" t="b">
        <v>0</v>
      </c>
    </row>
    <row r="356" spans="1:3" s="310" customFormat="1" x14ac:dyDescent="0.2">
      <c r="A356" s="310" t="s">
        <v>3876</v>
      </c>
      <c r="B356" s="310" t="b">
        <f>IF(ISBLANK(GlobBerMedDisc!$AF$21),"",GlobBerMedDisc!$AF$21)</f>
        <v>0</v>
      </c>
      <c r="C356" s="310" t="b">
        <v>0</v>
      </c>
    </row>
    <row r="357" spans="1:3" s="310" customFormat="1" x14ac:dyDescent="0.2">
      <c r="A357" s="310" t="s">
        <v>3877</v>
      </c>
      <c r="B357" s="310" t="b">
        <f>IF(ISBLANK(GlobBerMedDisc!$AF$22),"",GlobBerMedDisc!$AF$22)</f>
        <v>0</v>
      </c>
      <c r="C357" s="310" t="b">
        <v>0</v>
      </c>
    </row>
    <row r="358" spans="1:3" s="310" customFormat="1" x14ac:dyDescent="0.2">
      <c r="A358" s="310" t="s">
        <v>3878</v>
      </c>
      <c r="B358" s="310" t="b">
        <f>IF(ISBLANK(GlobBerMedDisc!$AF$23),"",GlobBerMedDisc!$AF$23)</f>
        <v>0</v>
      </c>
      <c r="C358" s="310" t="b">
        <v>0</v>
      </c>
    </row>
    <row r="359" spans="1:3" s="310" customFormat="1" x14ac:dyDescent="0.2">
      <c r="A359" s="310" t="s">
        <v>3879</v>
      </c>
      <c r="B359" s="310" t="b">
        <f>IF(ISBLANK(GlobBerMedDisc!$AF$24),"",GlobBerMedDisc!$AF$24)</f>
        <v>0</v>
      </c>
      <c r="C359" s="310" t="b">
        <v>0</v>
      </c>
    </row>
    <row r="360" spans="1:3" s="310" customFormat="1" x14ac:dyDescent="0.2">
      <c r="A360" s="310" t="s">
        <v>3880</v>
      </c>
      <c r="B360" s="310" t="b">
        <f>IF(ISBLANK(GlobBerMedDisc!$AF$25),"",GlobBerMedDisc!$AF$25)</f>
        <v>0</v>
      </c>
      <c r="C360" s="310" t="b">
        <v>0</v>
      </c>
    </row>
    <row r="361" spans="1:3" s="310" customFormat="1" x14ac:dyDescent="0.2">
      <c r="A361" s="310" t="s">
        <v>3881</v>
      </c>
      <c r="B361" s="310" t="b">
        <f>IF(ISBLANK(GlobBerMedDisc!$AF$26),"",GlobBerMedDisc!$AF$26)</f>
        <v>0</v>
      </c>
      <c r="C361" s="310" t="b">
        <v>0</v>
      </c>
    </row>
    <row r="362" spans="1:3" s="310" customFormat="1" x14ac:dyDescent="0.2">
      <c r="A362" s="310" t="s">
        <v>3882</v>
      </c>
      <c r="B362" s="310" t="b">
        <f>IF(ISBLANK(GlobBerMedDisc!$AF$27),"",GlobBerMedDisc!$AF$27)</f>
        <v>0</v>
      </c>
      <c r="C362" s="310" t="b">
        <v>0</v>
      </c>
    </row>
    <row r="363" spans="1:3" s="310" customFormat="1" x14ac:dyDescent="0.2">
      <c r="A363" s="310" t="s">
        <v>3883</v>
      </c>
      <c r="B363" s="310" t="b">
        <f>IF(ISBLANK(GlobBerMedDisc!$AF$28),"",GlobBerMedDisc!$AF$28)</f>
        <v>0</v>
      </c>
      <c r="C363" s="310" t="b">
        <v>0</v>
      </c>
    </row>
    <row r="364" spans="1:3" s="310" customFormat="1" x14ac:dyDescent="0.2">
      <c r="A364" s="310" t="s">
        <v>3884</v>
      </c>
      <c r="B364" s="310" t="b">
        <f>IF(ISBLANK(GlobBerMedDisc!$AF$29),"",GlobBerMedDisc!$AF$29)</f>
        <v>0</v>
      </c>
      <c r="C364" s="310" t="b">
        <v>0</v>
      </c>
    </row>
    <row r="365" spans="1:3" s="310" customFormat="1" x14ac:dyDescent="0.2">
      <c r="A365" s="310" t="s">
        <v>3885</v>
      </c>
      <c r="B365" s="310" t="b">
        <f>IF(ISBLANK(GlobBerMedDisc!$AF$30),"",GlobBerMedDisc!$AF$30)</f>
        <v>0</v>
      </c>
      <c r="C365" s="310" t="b">
        <v>0</v>
      </c>
    </row>
    <row r="366" spans="1:3" s="310" customFormat="1" x14ac:dyDescent="0.2">
      <c r="A366" s="310" t="s">
        <v>3886</v>
      </c>
      <c r="B366" s="310" t="b">
        <f>IF(ISBLANK(GlobBerMedDisc!$AF$31),"",GlobBerMedDisc!$AF$31)</f>
        <v>0</v>
      </c>
      <c r="C366" s="310" t="b">
        <v>0</v>
      </c>
    </row>
    <row r="367" spans="1:3" s="310" customFormat="1" x14ac:dyDescent="0.2">
      <c r="A367" s="310" t="s">
        <v>3887</v>
      </c>
      <c r="B367" s="310" t="str">
        <f>IF(ISBLANK(GlobBerMedDisc!$AG$2),"",GlobBerMedDisc!$AG$2)</f>
        <v/>
      </c>
      <c r="C367" s="130"/>
    </row>
    <row r="368" spans="1:3" s="310" customFormat="1" x14ac:dyDescent="0.2">
      <c r="A368" s="310" t="s">
        <v>3888</v>
      </c>
      <c r="B368" s="310" t="str">
        <f>IF(ISBLANK(GlobBerMedDisc!$AG$3),"",GlobBerMedDisc!$AG$3)</f>
        <v/>
      </c>
      <c r="C368" s="130"/>
    </row>
    <row r="369" spans="1:3" s="310" customFormat="1" x14ac:dyDescent="0.2">
      <c r="A369" s="310" t="s">
        <v>3889</v>
      </c>
      <c r="B369" s="310" t="str">
        <f>IF(ISBLANK(GlobBerMedDisc!$AG$4),"",GlobBerMedDisc!$AG$4)</f>
        <v/>
      </c>
      <c r="C369" s="130"/>
    </row>
    <row r="370" spans="1:3" s="310" customFormat="1" x14ac:dyDescent="0.2">
      <c r="A370" s="310" t="s">
        <v>3890</v>
      </c>
      <c r="B370" s="310" t="str">
        <f>IF(ISBLANK(GlobBerMedDisc!$AG$5),"",GlobBerMedDisc!$AG$5)</f>
        <v/>
      </c>
      <c r="C370" s="130"/>
    </row>
    <row r="371" spans="1:3" s="310" customFormat="1" x14ac:dyDescent="0.2">
      <c r="A371" s="310" t="s">
        <v>3891</v>
      </c>
      <c r="B371" s="310" t="str">
        <f>IF(ISBLANK(GlobBerMedDisc!$AG$6),"",GlobBerMedDisc!$AG$6)</f>
        <v/>
      </c>
      <c r="C371" s="130"/>
    </row>
    <row r="372" spans="1:3" s="310" customFormat="1" x14ac:dyDescent="0.2">
      <c r="A372" s="310" t="s">
        <v>3892</v>
      </c>
      <c r="B372" s="310" t="str">
        <f>IF(ISBLANK(GlobBerMedDisc!$AG$7),"",GlobBerMedDisc!$AG$7)</f>
        <v/>
      </c>
      <c r="C372" s="130"/>
    </row>
    <row r="373" spans="1:3" s="310" customFormat="1" x14ac:dyDescent="0.2">
      <c r="A373" s="310" t="s">
        <v>3893</v>
      </c>
      <c r="B373" s="310" t="str">
        <f>IF(ISBLANK(GlobBerMedDisc!$AG$8),"",GlobBerMedDisc!$AG$8)</f>
        <v/>
      </c>
      <c r="C373" s="130"/>
    </row>
    <row r="374" spans="1:3" s="310" customFormat="1" x14ac:dyDescent="0.2">
      <c r="A374" s="310" t="s">
        <v>3894</v>
      </c>
      <c r="B374" s="310" t="str">
        <f>IF(ISBLANK(GlobBerMedDisc!$AG$9),"",GlobBerMedDisc!$AG$9)</f>
        <v/>
      </c>
      <c r="C374" s="130"/>
    </row>
    <row r="375" spans="1:3" s="310" customFormat="1" x14ac:dyDescent="0.2">
      <c r="A375" s="310" t="s">
        <v>3895</v>
      </c>
      <c r="B375" s="310" t="str">
        <f>IF(ISBLANK(GlobBerMedDisc!$AG$10),"",GlobBerMedDisc!$AG$10)</f>
        <v/>
      </c>
      <c r="C375" s="130"/>
    </row>
    <row r="376" spans="1:3" s="310" customFormat="1" x14ac:dyDescent="0.2">
      <c r="A376" s="310" t="s">
        <v>3896</v>
      </c>
      <c r="B376" s="310" t="str">
        <f>IF(ISBLANK(GlobBerMedDisc!$AG$11),"",GlobBerMedDisc!$AG$11)</f>
        <v/>
      </c>
      <c r="C376" s="130"/>
    </row>
    <row r="377" spans="1:3" s="310" customFormat="1" x14ac:dyDescent="0.2">
      <c r="A377" s="310" t="s">
        <v>3897</v>
      </c>
      <c r="B377" s="310" t="str">
        <f>IF(ISBLANK(GlobBerMedDisc!$AG$12),"",GlobBerMedDisc!$AG$12)</f>
        <v/>
      </c>
      <c r="C377" s="130"/>
    </row>
    <row r="378" spans="1:3" s="310" customFormat="1" x14ac:dyDescent="0.2">
      <c r="A378" s="310" t="s">
        <v>3898</v>
      </c>
      <c r="B378" s="310" t="str">
        <f>IF(ISBLANK(GlobBerMedDisc!$AG$13),"",GlobBerMedDisc!$AG$13)</f>
        <v/>
      </c>
      <c r="C378" s="130"/>
    </row>
    <row r="379" spans="1:3" s="310" customFormat="1" x14ac:dyDescent="0.2">
      <c r="A379" s="310" t="s">
        <v>3899</v>
      </c>
      <c r="B379" s="310" t="str">
        <f>IF(ISBLANK(GlobBerMedDisc!$AG$14),"",GlobBerMedDisc!$AG$14)</f>
        <v/>
      </c>
      <c r="C379" s="130"/>
    </row>
    <row r="380" spans="1:3" s="310" customFormat="1" x14ac:dyDescent="0.2">
      <c r="A380" s="310" t="s">
        <v>3900</v>
      </c>
      <c r="B380" s="310" t="str">
        <f>IF(ISBLANK(GlobBerMedDisc!$AG$15),"",GlobBerMedDisc!$AG$15)</f>
        <v/>
      </c>
      <c r="C380" s="130"/>
    </row>
    <row r="381" spans="1:3" s="310" customFormat="1" x14ac:dyDescent="0.2">
      <c r="A381" s="310" t="s">
        <v>3901</v>
      </c>
      <c r="B381" s="310" t="str">
        <f>IF(ISBLANK(GlobBerMedDisc!$AG$16),"",GlobBerMedDisc!$AG$16)</f>
        <v/>
      </c>
      <c r="C381" s="130"/>
    </row>
    <row r="382" spans="1:3" s="310" customFormat="1" x14ac:dyDescent="0.2">
      <c r="A382" s="310" t="s">
        <v>3902</v>
      </c>
      <c r="B382" s="310" t="str">
        <f>IF(ISBLANK(GlobBerMedDisc!$AG$17),"",GlobBerMedDisc!$AG$17)</f>
        <v/>
      </c>
      <c r="C382" s="130"/>
    </row>
    <row r="383" spans="1:3" s="310" customFormat="1" x14ac:dyDescent="0.2">
      <c r="A383" s="310" t="s">
        <v>3903</v>
      </c>
      <c r="B383" s="310" t="str">
        <f>IF(ISBLANK(GlobBerMedDisc!$AG$18),"",GlobBerMedDisc!$AG$18)</f>
        <v/>
      </c>
      <c r="C383" s="130"/>
    </row>
    <row r="384" spans="1:3" s="310" customFormat="1" x14ac:dyDescent="0.2">
      <c r="A384" s="310" t="s">
        <v>3904</v>
      </c>
      <c r="B384" s="310" t="str">
        <f>IF(ISBLANK(GlobBerMedDisc!$AG$19),"",GlobBerMedDisc!$AG$19)</f>
        <v/>
      </c>
      <c r="C384" s="130"/>
    </row>
    <row r="385" spans="1:3" s="310" customFormat="1" x14ac:dyDescent="0.2">
      <c r="A385" s="310" t="s">
        <v>3905</v>
      </c>
      <c r="B385" s="310" t="str">
        <f>IF(ISBLANK(GlobBerMedDisc!$AG$20),"",GlobBerMedDisc!$AG$20)</f>
        <v/>
      </c>
      <c r="C385" s="130"/>
    </row>
    <row r="386" spans="1:3" s="310" customFormat="1" x14ac:dyDescent="0.2">
      <c r="A386" s="310" t="s">
        <v>3906</v>
      </c>
      <c r="B386" s="310" t="str">
        <f>IF(ISBLANK(GlobBerMedDisc!$AG$21),"",GlobBerMedDisc!$AG$21)</f>
        <v/>
      </c>
      <c r="C386" s="130"/>
    </row>
    <row r="387" spans="1:3" s="310" customFormat="1" x14ac:dyDescent="0.2">
      <c r="A387" s="310" t="s">
        <v>3907</v>
      </c>
      <c r="B387" s="310" t="str">
        <f>IF(ISBLANK(GlobBerMedDisc!$AG$22),"",GlobBerMedDisc!$AG$22)</f>
        <v/>
      </c>
      <c r="C387" s="130"/>
    </row>
    <row r="388" spans="1:3" s="310" customFormat="1" x14ac:dyDescent="0.2">
      <c r="A388" s="310" t="s">
        <v>3908</v>
      </c>
      <c r="B388" s="310" t="str">
        <f>IF(ISBLANK(GlobBerMedDisc!$AG$23),"",GlobBerMedDisc!$AG$23)</f>
        <v/>
      </c>
      <c r="C388" s="130"/>
    </row>
    <row r="389" spans="1:3" s="310" customFormat="1" x14ac:dyDescent="0.2">
      <c r="A389" s="310" t="s">
        <v>3909</v>
      </c>
      <c r="B389" s="310" t="str">
        <f>IF(ISBLANK(GlobBerMedDisc!$AG$24),"",GlobBerMedDisc!$AG$24)</f>
        <v/>
      </c>
      <c r="C389" s="130"/>
    </row>
    <row r="390" spans="1:3" s="310" customFormat="1" x14ac:dyDescent="0.2">
      <c r="A390" s="310" t="s">
        <v>3910</v>
      </c>
      <c r="B390" s="310" t="str">
        <f>IF(ISBLANK(GlobBerMedDisc!$AG$25),"",GlobBerMedDisc!$AG$25)</f>
        <v/>
      </c>
      <c r="C390" s="130"/>
    </row>
    <row r="391" spans="1:3" s="310" customFormat="1" x14ac:dyDescent="0.2">
      <c r="A391" s="310" t="s">
        <v>3911</v>
      </c>
      <c r="B391" s="310" t="str">
        <f>IF(ISBLANK(GlobBerMedDisc!$AG$26),"",GlobBerMedDisc!$AG$26)</f>
        <v/>
      </c>
      <c r="C391" s="130"/>
    </row>
    <row r="392" spans="1:3" s="310" customFormat="1" x14ac:dyDescent="0.2">
      <c r="A392" s="310" t="s">
        <v>3912</v>
      </c>
      <c r="B392" s="310" t="str">
        <f>IF(ISBLANK(GlobBerMedDisc!$AG$27),"",GlobBerMedDisc!$AG$27)</f>
        <v/>
      </c>
      <c r="C392" s="130"/>
    </row>
    <row r="393" spans="1:3" s="310" customFormat="1" x14ac:dyDescent="0.2">
      <c r="A393" s="310" t="s">
        <v>3913</v>
      </c>
      <c r="B393" s="310" t="str">
        <f>IF(ISBLANK(GlobBerMedDisc!$AG$28),"",GlobBerMedDisc!$AG$28)</f>
        <v/>
      </c>
      <c r="C393" s="130"/>
    </row>
    <row r="394" spans="1:3" s="310" customFormat="1" x14ac:dyDescent="0.2">
      <c r="A394" s="310" t="s">
        <v>3914</v>
      </c>
      <c r="B394" s="310" t="str">
        <f>IF(ISBLANK(GlobBerMedDisc!$AG$29),"",GlobBerMedDisc!$AG$29)</f>
        <v/>
      </c>
      <c r="C394" s="130"/>
    </row>
    <row r="395" spans="1:3" s="310" customFormat="1" x14ac:dyDescent="0.2">
      <c r="A395" s="310" t="s">
        <v>3915</v>
      </c>
      <c r="B395" s="310" t="str">
        <f>IF(ISBLANK(GlobBerMedDisc!$AG$30),"",GlobBerMedDisc!$AG$30)</f>
        <v/>
      </c>
      <c r="C395" s="130"/>
    </row>
    <row r="396" spans="1:3" s="310" customFormat="1" x14ac:dyDescent="0.2">
      <c r="A396" s="310" t="s">
        <v>3916</v>
      </c>
      <c r="B396" s="310" t="str">
        <f>IF(ISBLANK(GlobBerMedDisc!$AG$31),"",GlobBerMedDisc!$AG$31)</f>
        <v/>
      </c>
      <c r="C396" s="130"/>
    </row>
    <row r="397" spans="1:3" x14ac:dyDescent="0.2">
      <c r="A397" s="310" t="s">
        <v>2334</v>
      </c>
      <c r="B397" s="312">
        <f>IF(ISBLANK(GlobBerMedDisc!$E$2),"",GlobBerMedDisc!$E$2)</f>
        <v>0</v>
      </c>
      <c r="C397" s="312">
        <v>0</v>
      </c>
    </row>
    <row r="398" spans="1:3" x14ac:dyDescent="0.2">
      <c r="A398" s="310" t="s">
        <v>2335</v>
      </c>
      <c r="B398" s="312">
        <f>IF(ISBLANK(GlobBerMedDisc!$E$3),"",GlobBerMedDisc!$E$3)</f>
        <v>0</v>
      </c>
      <c r="C398" s="312">
        <v>0</v>
      </c>
    </row>
    <row r="399" spans="1:3" x14ac:dyDescent="0.2">
      <c r="A399" s="310" t="s">
        <v>2336</v>
      </c>
      <c r="B399" s="312">
        <f>IF(ISBLANK(GlobBerMedDisc!$E$4),"",GlobBerMedDisc!$E$4)</f>
        <v>0</v>
      </c>
      <c r="C399" s="312">
        <v>0</v>
      </c>
    </row>
    <row r="400" spans="1:3" x14ac:dyDescent="0.2">
      <c r="A400" s="310" t="s">
        <v>2337</v>
      </c>
      <c r="B400" s="312">
        <f>IF(ISBLANK(GlobBerMedDisc!$E$5),"",GlobBerMedDisc!$E$5)</f>
        <v>0</v>
      </c>
      <c r="C400" s="312">
        <v>0</v>
      </c>
    </row>
    <row r="401" spans="1:6" x14ac:dyDescent="0.2">
      <c r="A401" s="310" t="s">
        <v>2338</v>
      </c>
      <c r="B401" s="312">
        <f>IF(ISBLANK(GlobBerMedDisc!$E$6),"",GlobBerMedDisc!$E$6)</f>
        <v>0</v>
      </c>
      <c r="C401" s="312">
        <v>0</v>
      </c>
    </row>
    <row r="402" spans="1:6" x14ac:dyDescent="0.2">
      <c r="A402" s="310" t="s">
        <v>2339</v>
      </c>
      <c r="B402" s="312">
        <f>IF(ISBLANK(GlobBerMedDisc!$E$7),"",GlobBerMedDisc!$E$7)</f>
        <v>0</v>
      </c>
      <c r="C402" s="312">
        <v>0</v>
      </c>
    </row>
    <row r="403" spans="1:6" x14ac:dyDescent="0.2">
      <c r="A403" s="310" t="s">
        <v>2340</v>
      </c>
      <c r="B403" s="312">
        <f>IF(ISBLANK(GlobBerMedDisc!$E$8),"",GlobBerMedDisc!$E$8)</f>
        <v>0</v>
      </c>
      <c r="C403" s="312">
        <v>0</v>
      </c>
    </row>
    <row r="404" spans="1:6" x14ac:dyDescent="0.2">
      <c r="A404" s="310" t="s">
        <v>2341</v>
      </c>
      <c r="B404" s="312">
        <f>IF(ISBLANK(GlobBerMedDisc!$E$9),"",GlobBerMedDisc!$E$9)</f>
        <v>0</v>
      </c>
      <c r="C404" s="312">
        <v>0</v>
      </c>
    </row>
    <row r="405" spans="1:6" x14ac:dyDescent="0.2">
      <c r="A405" s="310" t="s">
        <v>2342</v>
      </c>
      <c r="B405" s="312">
        <f>IF(ISBLANK(GlobBerMedDisc!$E$10),"",GlobBerMedDisc!$E$10)</f>
        <v>0</v>
      </c>
      <c r="C405" s="312">
        <v>0</v>
      </c>
    </row>
    <row r="406" spans="1:6" x14ac:dyDescent="0.2">
      <c r="A406" s="310" t="s">
        <v>2343</v>
      </c>
      <c r="B406" s="312">
        <f>IF(ISBLANK(GlobBerMedDisc!$E$11),"",GlobBerMedDisc!$E$11)</f>
        <v>0</v>
      </c>
      <c r="C406" s="312">
        <v>0</v>
      </c>
    </row>
    <row r="407" spans="1:6" x14ac:dyDescent="0.2">
      <c r="A407" s="310" t="s">
        <v>2344</v>
      </c>
      <c r="B407" s="312">
        <f>IF(ISBLANK(GlobBerMedDisc!$E$12),"",GlobBerMedDisc!$E$12)</f>
        <v>0</v>
      </c>
      <c r="C407" s="312">
        <v>0</v>
      </c>
    </row>
    <row r="408" spans="1:6" x14ac:dyDescent="0.2">
      <c r="A408" s="310" t="s">
        <v>2345</v>
      </c>
      <c r="B408" s="312">
        <f>IF(ISBLANK(GlobBerMedDisc!$E$13),"",GlobBerMedDisc!$E$13)</f>
        <v>0</v>
      </c>
      <c r="C408" s="312">
        <v>0</v>
      </c>
    </row>
    <row r="409" spans="1:6" x14ac:dyDescent="0.2">
      <c r="A409" s="310" t="s">
        <v>2346</v>
      </c>
      <c r="B409" s="312">
        <f>IF(ISBLANK(GlobBerMedDisc!$E$14),"",GlobBerMedDisc!$E$14)</f>
        <v>0</v>
      </c>
      <c r="C409" s="312">
        <v>0</v>
      </c>
    </row>
    <row r="410" spans="1:6" x14ac:dyDescent="0.2">
      <c r="A410" s="310" t="s">
        <v>2347</v>
      </c>
      <c r="B410" s="312">
        <f>IF(ISBLANK(GlobBerMedDisc!$E$15),"",GlobBerMedDisc!$E$15)</f>
        <v>0</v>
      </c>
      <c r="C410" s="312">
        <v>0</v>
      </c>
    </row>
    <row r="411" spans="1:6" x14ac:dyDescent="0.2">
      <c r="A411" s="310" t="s">
        <v>2348</v>
      </c>
      <c r="B411" s="312">
        <f>IF(ISBLANK(GlobBerMedDisc!$E$16),"",GlobBerMedDisc!$E$16)</f>
        <v>0</v>
      </c>
      <c r="C411" s="312">
        <v>0</v>
      </c>
    </row>
    <row r="412" spans="1:6" x14ac:dyDescent="0.2">
      <c r="A412" s="310" t="s">
        <v>2349</v>
      </c>
      <c r="B412" s="312">
        <f>IF(ISBLANK(GlobBerMedDisc!$E$17),"",GlobBerMedDisc!$E$17)</f>
        <v>0</v>
      </c>
      <c r="C412" s="312">
        <v>0</v>
      </c>
    </row>
    <row r="413" spans="1:6" x14ac:dyDescent="0.2">
      <c r="A413" s="310" t="s">
        <v>2350</v>
      </c>
      <c r="B413" s="312">
        <f>IF(ISBLANK(GlobBerMedDisc!$E$18),"",GlobBerMedDisc!$E$18)</f>
        <v>0</v>
      </c>
      <c r="C413" s="312">
        <v>0</v>
      </c>
    </row>
    <row r="414" spans="1:6" x14ac:dyDescent="0.2">
      <c r="A414" s="310" t="s">
        <v>2351</v>
      </c>
      <c r="B414" s="312">
        <f>IF(ISBLANK(GlobBerMedDisc!$E$19),"",GlobBerMedDisc!$E$19)</f>
        <v>0</v>
      </c>
      <c r="C414" s="312">
        <v>0</v>
      </c>
    </row>
    <row r="415" spans="1:6" x14ac:dyDescent="0.2">
      <c r="A415" s="310" t="s">
        <v>2352</v>
      </c>
      <c r="B415" s="312">
        <f>IF(ISBLANK(GlobBerMedDisc!$E$20),"",GlobBerMedDisc!$E$20)</f>
        <v>0</v>
      </c>
      <c r="C415" s="312">
        <v>0</v>
      </c>
    </row>
    <row r="416" spans="1:6" x14ac:dyDescent="0.2">
      <c r="A416" s="310" t="s">
        <v>2353</v>
      </c>
      <c r="B416" s="312">
        <f>IF(ISBLANK(GlobBerMedDisc!$E$21),"",GlobBerMedDisc!$E$21)</f>
        <v>0</v>
      </c>
      <c r="C416" s="312">
        <v>0</v>
      </c>
      <c r="F416" s="310"/>
    </row>
    <row r="417" spans="1:3" x14ac:dyDescent="0.2">
      <c r="A417" s="310" t="s">
        <v>2354</v>
      </c>
      <c r="B417" s="312">
        <f>IF(ISBLANK(GlobBerMedDisc!$E$22),"",GlobBerMedDisc!$E$22)</f>
        <v>0</v>
      </c>
      <c r="C417" s="312">
        <v>0</v>
      </c>
    </row>
    <row r="418" spans="1:3" x14ac:dyDescent="0.2">
      <c r="A418" s="310" t="s">
        <v>2355</v>
      </c>
      <c r="B418" s="312">
        <f>IF(ISBLANK(GlobBerMedDisc!$E$23),"",GlobBerMedDisc!$E$23)</f>
        <v>0</v>
      </c>
      <c r="C418" s="312">
        <v>0</v>
      </c>
    </row>
    <row r="419" spans="1:3" x14ac:dyDescent="0.2">
      <c r="A419" s="310" t="s">
        <v>2356</v>
      </c>
      <c r="B419" s="312">
        <f>IF(ISBLANK(GlobBerMedDisc!$E$24),"",GlobBerMedDisc!$E$24)</f>
        <v>0</v>
      </c>
      <c r="C419" s="312">
        <v>0</v>
      </c>
    </row>
    <row r="420" spans="1:3" x14ac:dyDescent="0.2">
      <c r="A420" s="310" t="s">
        <v>2357</v>
      </c>
      <c r="B420" s="312">
        <f>IF(ISBLANK(GlobBerMedDisc!$E$25),"",GlobBerMedDisc!$E$25)</f>
        <v>0</v>
      </c>
      <c r="C420" s="312">
        <v>0</v>
      </c>
    </row>
    <row r="421" spans="1:3" x14ac:dyDescent="0.2">
      <c r="A421" s="310" t="s">
        <v>2358</v>
      </c>
      <c r="B421" s="312">
        <f>IF(ISBLANK(GlobBerMedDisc!$E$26),"",GlobBerMedDisc!$E$26)</f>
        <v>0</v>
      </c>
      <c r="C421" s="312">
        <v>0</v>
      </c>
    </row>
    <row r="422" spans="1:3" x14ac:dyDescent="0.2">
      <c r="A422" s="310" t="s">
        <v>2359</v>
      </c>
      <c r="B422" s="312">
        <f>IF(ISBLANK(GlobBerMedDisc!$E$27),"",GlobBerMedDisc!$E$27)</f>
        <v>0</v>
      </c>
      <c r="C422" s="312">
        <v>0</v>
      </c>
    </row>
    <row r="423" spans="1:3" x14ac:dyDescent="0.2">
      <c r="A423" s="310" t="s">
        <v>2360</v>
      </c>
      <c r="B423" s="312">
        <f>IF(ISBLANK(GlobBerMedDisc!$E$28),"",GlobBerMedDisc!$E$28)</f>
        <v>0</v>
      </c>
      <c r="C423" s="312">
        <v>0</v>
      </c>
    </row>
    <row r="424" spans="1:3" x14ac:dyDescent="0.2">
      <c r="A424" s="310" t="s">
        <v>2361</v>
      </c>
      <c r="B424" s="312">
        <f>IF(ISBLANK(GlobBerMedDisc!$E$29),"",GlobBerMedDisc!$E$29)</f>
        <v>0</v>
      </c>
      <c r="C424" s="312">
        <v>0</v>
      </c>
    </row>
    <row r="425" spans="1:3" x14ac:dyDescent="0.2">
      <c r="A425" s="310" t="s">
        <v>2362</v>
      </c>
      <c r="B425" s="312">
        <f>IF(ISBLANK(GlobBerMedDisc!$E$30),"",GlobBerMedDisc!$E$30)</f>
        <v>0</v>
      </c>
      <c r="C425" s="312">
        <v>0</v>
      </c>
    </row>
    <row r="426" spans="1:3" x14ac:dyDescent="0.2">
      <c r="A426" s="310" t="s">
        <v>2363</v>
      </c>
      <c r="B426" s="312">
        <f>IF(ISBLANK(GlobBerMedDisc!$E$31),"",GlobBerMedDisc!$E$31)</f>
        <v>0</v>
      </c>
      <c r="C426" s="312">
        <v>0</v>
      </c>
    </row>
    <row r="427" spans="1:3" x14ac:dyDescent="0.2">
      <c r="A427" s="310" t="s">
        <v>2364</v>
      </c>
      <c r="B427">
        <f>IF(ISBLANK(GlobBerMedDisc!$AI$2),"",GlobBerMedDisc!$AI$2)</f>
        <v>0</v>
      </c>
      <c r="C427" s="312">
        <v>0</v>
      </c>
    </row>
    <row r="428" spans="1:3" x14ac:dyDescent="0.2">
      <c r="A428" s="310" t="s">
        <v>2365</v>
      </c>
      <c r="B428">
        <f>IF(ISBLANK(GlobBerMedDisc!$AI$3),"",GlobBerMedDisc!$AI$3)</f>
        <v>0</v>
      </c>
      <c r="C428" s="312">
        <v>0</v>
      </c>
    </row>
    <row r="429" spans="1:3" x14ac:dyDescent="0.2">
      <c r="A429" s="310" t="s">
        <v>2366</v>
      </c>
      <c r="B429">
        <f>IF(ISBLANK(GlobBerMedDisc!$AI$4),"",GlobBerMedDisc!$AI$4)</f>
        <v>0</v>
      </c>
      <c r="C429" s="312">
        <v>0</v>
      </c>
    </row>
    <row r="430" spans="1:3" x14ac:dyDescent="0.2">
      <c r="A430" s="310" t="s">
        <v>2367</v>
      </c>
      <c r="B430">
        <f>IF(ISBLANK(GlobBerMedDisc!$AI$5),"",GlobBerMedDisc!$AI$5)</f>
        <v>0</v>
      </c>
      <c r="C430" s="312">
        <v>0</v>
      </c>
    </row>
    <row r="431" spans="1:3" x14ac:dyDescent="0.2">
      <c r="A431" s="310" t="s">
        <v>2368</v>
      </c>
      <c r="B431">
        <f>IF(ISBLANK(GlobBerMedDisc!$AI$6),"",GlobBerMedDisc!$AI$6)</f>
        <v>0</v>
      </c>
      <c r="C431" s="312">
        <v>0</v>
      </c>
    </row>
    <row r="432" spans="1:3" x14ac:dyDescent="0.2">
      <c r="A432" s="310" t="s">
        <v>2369</v>
      </c>
      <c r="B432">
        <f>IF(ISBLANK(GlobBerMedDisc!$AI$7),"",GlobBerMedDisc!$AI$7)</f>
        <v>0</v>
      </c>
      <c r="C432" s="312">
        <v>0</v>
      </c>
    </row>
    <row r="433" spans="1:3" x14ac:dyDescent="0.2">
      <c r="A433" s="310" t="s">
        <v>2370</v>
      </c>
      <c r="B433">
        <f>IF(ISBLANK(GlobBerMedDisc!$AI$8),"",GlobBerMedDisc!$AI$8)</f>
        <v>0</v>
      </c>
      <c r="C433" s="312">
        <v>0</v>
      </c>
    </row>
    <row r="434" spans="1:3" x14ac:dyDescent="0.2">
      <c r="A434" s="310" t="s">
        <v>2371</v>
      </c>
      <c r="B434">
        <f>IF(ISBLANK(GlobBerMedDisc!$AI$9),"",GlobBerMedDisc!$AI$9)</f>
        <v>0</v>
      </c>
      <c r="C434" s="312">
        <v>0</v>
      </c>
    </row>
    <row r="435" spans="1:3" x14ac:dyDescent="0.2">
      <c r="A435" s="310" t="s">
        <v>2372</v>
      </c>
      <c r="B435">
        <f>IF(ISBLANK(GlobBerMedDisc!$AI$10),"",GlobBerMedDisc!$AI$10)</f>
        <v>0</v>
      </c>
      <c r="C435" s="312">
        <v>0</v>
      </c>
    </row>
    <row r="436" spans="1:3" x14ac:dyDescent="0.2">
      <c r="A436" s="310" t="s">
        <v>2373</v>
      </c>
      <c r="B436">
        <f>IF(ISBLANK(GlobBerMedDisc!$AI$11),"",GlobBerMedDisc!$AI$11)</f>
        <v>0</v>
      </c>
      <c r="C436" s="312">
        <v>0</v>
      </c>
    </row>
    <row r="437" spans="1:3" x14ac:dyDescent="0.2">
      <c r="A437" s="310" t="s">
        <v>2374</v>
      </c>
      <c r="B437">
        <f>IF(ISBLANK(GlobBerMedDisc!$AI$12),"",GlobBerMedDisc!$AI$12)</f>
        <v>0</v>
      </c>
      <c r="C437" s="312">
        <v>0</v>
      </c>
    </row>
    <row r="438" spans="1:3" x14ac:dyDescent="0.2">
      <c r="A438" s="310" t="s">
        <v>2375</v>
      </c>
      <c r="B438">
        <f>IF(ISBLANK(GlobBerMedDisc!$AI$13),"",GlobBerMedDisc!$AI$13)</f>
        <v>0</v>
      </c>
      <c r="C438" s="312">
        <v>0</v>
      </c>
    </row>
    <row r="439" spans="1:3" x14ac:dyDescent="0.2">
      <c r="A439" s="310" t="s">
        <v>2376</v>
      </c>
      <c r="B439">
        <f>IF(ISBLANK(GlobBerMedDisc!$AI$14),"",GlobBerMedDisc!$AI$14)</f>
        <v>0</v>
      </c>
      <c r="C439" s="312">
        <v>0</v>
      </c>
    </row>
    <row r="440" spans="1:3" x14ac:dyDescent="0.2">
      <c r="A440" s="310" t="s">
        <v>2377</v>
      </c>
      <c r="B440">
        <f>IF(ISBLANK(GlobBerMedDisc!$AI$15),"",GlobBerMedDisc!$AI$15)</f>
        <v>0</v>
      </c>
      <c r="C440" s="312">
        <v>0</v>
      </c>
    </row>
    <row r="441" spans="1:3" x14ac:dyDescent="0.2">
      <c r="A441" s="310" t="s">
        <v>2378</v>
      </c>
      <c r="B441">
        <f>IF(ISBLANK(GlobBerMedDisc!$AI$16),"",GlobBerMedDisc!$AI$16)</f>
        <v>0</v>
      </c>
      <c r="C441" s="312">
        <v>0</v>
      </c>
    </row>
    <row r="442" spans="1:3" x14ac:dyDescent="0.2">
      <c r="A442" s="310" t="s">
        <v>2379</v>
      </c>
      <c r="B442">
        <f>IF(ISBLANK(GlobBerMedDisc!$AI$17),"",GlobBerMedDisc!$AI$17)</f>
        <v>0</v>
      </c>
      <c r="C442" s="312">
        <v>0</v>
      </c>
    </row>
    <row r="443" spans="1:3" x14ac:dyDescent="0.2">
      <c r="A443" s="310" t="s">
        <v>2380</v>
      </c>
      <c r="B443">
        <f>IF(ISBLANK(GlobBerMedDisc!$AI$18),"",GlobBerMedDisc!$AI$18)</f>
        <v>0</v>
      </c>
      <c r="C443" s="312">
        <v>0</v>
      </c>
    </row>
    <row r="444" spans="1:3" x14ac:dyDescent="0.2">
      <c r="A444" s="310" t="s">
        <v>2381</v>
      </c>
      <c r="B444">
        <f>IF(ISBLANK(GlobBerMedDisc!$AI$19),"",GlobBerMedDisc!$AI$19)</f>
        <v>0</v>
      </c>
      <c r="C444" s="312">
        <v>0</v>
      </c>
    </row>
    <row r="445" spans="1:3" x14ac:dyDescent="0.2">
      <c r="A445" s="310" t="s">
        <v>2382</v>
      </c>
      <c r="B445">
        <f>IF(ISBLANK(GlobBerMedDisc!$AI$20),"",GlobBerMedDisc!$AI$20)</f>
        <v>0</v>
      </c>
      <c r="C445" s="312">
        <v>0</v>
      </c>
    </row>
    <row r="446" spans="1:3" x14ac:dyDescent="0.2">
      <c r="A446" s="310" t="s">
        <v>2383</v>
      </c>
      <c r="B446">
        <f>IF(ISBLANK(GlobBerMedDisc!$AI$21),"",GlobBerMedDisc!$AI$21)</f>
        <v>0</v>
      </c>
      <c r="C446" s="312">
        <v>0</v>
      </c>
    </row>
    <row r="447" spans="1:3" x14ac:dyDescent="0.2">
      <c r="A447" s="310" t="s">
        <v>2384</v>
      </c>
      <c r="B447">
        <f>IF(ISBLANK(GlobBerMedDisc!$AI$22),"",GlobBerMedDisc!$AI$22)</f>
        <v>0</v>
      </c>
      <c r="C447" s="312">
        <v>0</v>
      </c>
    </row>
    <row r="448" spans="1:3" x14ac:dyDescent="0.2">
      <c r="A448" s="310" t="s">
        <v>2385</v>
      </c>
      <c r="B448">
        <f>IF(ISBLANK(GlobBerMedDisc!$AI$23),"",GlobBerMedDisc!$AI$23)</f>
        <v>0</v>
      </c>
      <c r="C448" s="312">
        <v>0</v>
      </c>
    </row>
    <row r="449" spans="1:6" x14ac:dyDescent="0.2">
      <c r="A449" s="310" t="s">
        <v>2386</v>
      </c>
      <c r="B449">
        <f>IF(ISBLANK(GlobBerMedDisc!$AI$24),"",GlobBerMedDisc!$AI$24)</f>
        <v>0</v>
      </c>
      <c r="C449" s="312">
        <v>0</v>
      </c>
    </row>
    <row r="450" spans="1:6" x14ac:dyDescent="0.2">
      <c r="A450" s="310" t="s">
        <v>2387</v>
      </c>
      <c r="B450">
        <f>IF(ISBLANK(GlobBerMedDisc!$AI$25),"",GlobBerMedDisc!$AI$25)</f>
        <v>0</v>
      </c>
      <c r="C450" s="312">
        <v>0</v>
      </c>
    </row>
    <row r="451" spans="1:6" x14ac:dyDescent="0.2">
      <c r="A451" s="310" t="s">
        <v>2388</v>
      </c>
      <c r="B451">
        <f>IF(ISBLANK(GlobBerMedDisc!$AI$26),"",GlobBerMedDisc!$AI$26)</f>
        <v>0</v>
      </c>
      <c r="C451" s="312">
        <v>0</v>
      </c>
    </row>
    <row r="452" spans="1:6" x14ac:dyDescent="0.2">
      <c r="A452" s="310" t="s">
        <v>2389</v>
      </c>
      <c r="B452">
        <f>IF(ISBLANK(GlobBerMedDisc!$AI$27),"",GlobBerMedDisc!$AI$27)</f>
        <v>0</v>
      </c>
      <c r="C452" s="312">
        <v>0</v>
      </c>
    </row>
    <row r="453" spans="1:6" x14ac:dyDescent="0.2">
      <c r="A453" s="310" t="s">
        <v>2390</v>
      </c>
      <c r="B453">
        <f>IF(ISBLANK(GlobBerMedDisc!$AI$28),"",GlobBerMedDisc!$AI$28)</f>
        <v>0</v>
      </c>
      <c r="C453" s="312">
        <v>0</v>
      </c>
    </row>
    <row r="454" spans="1:6" x14ac:dyDescent="0.2">
      <c r="A454" s="310" t="s">
        <v>2391</v>
      </c>
      <c r="B454">
        <f>IF(ISBLANK(GlobBerMedDisc!$AI$29),"",GlobBerMedDisc!$AI$29)</f>
        <v>0</v>
      </c>
      <c r="C454" s="312">
        <v>0</v>
      </c>
    </row>
    <row r="455" spans="1:6" x14ac:dyDescent="0.2">
      <c r="A455" s="310" t="s">
        <v>2392</v>
      </c>
      <c r="B455">
        <f>IF(ISBLANK(GlobBerMedDisc!$AI$30),"",GlobBerMedDisc!$AI$30)</f>
        <v>0</v>
      </c>
      <c r="C455" s="312">
        <v>0</v>
      </c>
    </row>
    <row r="456" spans="1:6" x14ac:dyDescent="0.2">
      <c r="A456" s="310" t="s">
        <v>2393</v>
      </c>
      <c r="B456">
        <f>IF(ISBLANK(GlobBerMedDisc!$AI$31),"",GlobBerMedDisc!$AI$31)</f>
        <v>0</v>
      </c>
      <c r="C456" s="312">
        <v>0</v>
      </c>
    </row>
    <row r="457" spans="1:6" x14ac:dyDescent="0.2">
      <c r="A457" s="310" t="s">
        <v>2394</v>
      </c>
      <c r="B457" t="str">
        <f>IF(ISBLANK(GlobBerMedDisc!$AJ$2),"",GlobBerMedDisc!$AJ$2)</f>
        <v/>
      </c>
      <c r="C457" s="130"/>
    </row>
    <row r="458" spans="1:6" x14ac:dyDescent="0.2">
      <c r="A458" s="310" t="s">
        <v>2395</v>
      </c>
      <c r="B458" t="str">
        <f>IF(ISBLANK(GlobBerMedDisc!$AJ$3),"",GlobBerMedDisc!$AJ$3)</f>
        <v/>
      </c>
      <c r="C458" s="130"/>
    </row>
    <row r="459" spans="1:6" x14ac:dyDescent="0.2">
      <c r="A459" s="310" t="s">
        <v>2396</v>
      </c>
      <c r="B459" t="str">
        <f>IF(ISBLANK(GlobBerMedDisc!$AJ$4),"",GlobBerMedDisc!$AJ$4)</f>
        <v/>
      </c>
      <c r="C459" s="130"/>
    </row>
    <row r="460" spans="1:6" x14ac:dyDescent="0.2">
      <c r="A460" s="310" t="s">
        <v>2397</v>
      </c>
      <c r="B460" t="str">
        <f>IF(ISBLANK(GlobBerMedDisc!$AJ$5),"",GlobBerMedDisc!$AJ$5)</f>
        <v/>
      </c>
      <c r="C460" s="130"/>
    </row>
    <row r="461" spans="1:6" x14ac:dyDescent="0.2">
      <c r="A461" s="310" t="s">
        <v>2398</v>
      </c>
      <c r="B461" t="str">
        <f>IF(ISBLANK(GlobBerMedDisc!$AJ$6),"",GlobBerMedDisc!$AJ$6)</f>
        <v/>
      </c>
      <c r="C461" s="130"/>
    </row>
    <row r="462" spans="1:6" x14ac:dyDescent="0.2">
      <c r="A462" s="310" t="s">
        <v>2399</v>
      </c>
      <c r="B462" t="str">
        <f>IF(ISBLANK(GlobBerMedDisc!$AJ$7),"",GlobBerMedDisc!$AJ$7)</f>
        <v/>
      </c>
      <c r="C462" s="130"/>
      <c r="F462" s="310"/>
    </row>
    <row r="463" spans="1:6" x14ac:dyDescent="0.2">
      <c r="A463" s="310" t="s">
        <v>2400</v>
      </c>
      <c r="B463" t="str">
        <f>IF(ISBLANK(GlobBerMedDisc!$AJ$8),"",GlobBerMedDisc!$AJ$8)</f>
        <v/>
      </c>
      <c r="C463" s="130"/>
    </row>
    <row r="464" spans="1:6" x14ac:dyDescent="0.2">
      <c r="A464" s="310" t="s">
        <v>2401</v>
      </c>
      <c r="B464" t="str">
        <f>IF(ISBLANK(GlobBerMedDisc!$AJ$9),"",GlobBerMedDisc!$AJ$9)</f>
        <v/>
      </c>
      <c r="C464" s="130"/>
    </row>
    <row r="465" spans="1:6" x14ac:dyDescent="0.2">
      <c r="A465" s="310" t="s">
        <v>2402</v>
      </c>
      <c r="B465" t="str">
        <f>IF(ISBLANK(GlobBerMedDisc!$AJ$10),"",GlobBerMedDisc!$AJ$10)</f>
        <v/>
      </c>
      <c r="C465" s="130"/>
    </row>
    <row r="466" spans="1:6" x14ac:dyDescent="0.2">
      <c r="A466" s="310" t="s">
        <v>2403</v>
      </c>
      <c r="B466" t="str">
        <f>IF(ISBLANK(GlobBerMedDisc!$AJ$11),"",GlobBerMedDisc!$AJ$11)</f>
        <v/>
      </c>
      <c r="C466" s="130"/>
    </row>
    <row r="467" spans="1:6" x14ac:dyDescent="0.2">
      <c r="A467" s="310" t="s">
        <v>2404</v>
      </c>
      <c r="B467" t="str">
        <f>IF(ISBLANK(GlobBerMedDisc!$AJ$12),"",GlobBerMedDisc!$AJ$12)</f>
        <v/>
      </c>
      <c r="C467" s="130"/>
      <c r="F467" s="310"/>
    </row>
    <row r="468" spans="1:6" x14ac:dyDescent="0.2">
      <c r="A468" s="310" t="s">
        <v>2405</v>
      </c>
      <c r="B468" t="str">
        <f>IF(ISBLANK(GlobBerMedDisc!$AJ$13),"",GlobBerMedDisc!$AJ$13)</f>
        <v/>
      </c>
      <c r="C468" s="130"/>
    </row>
    <row r="469" spans="1:6" x14ac:dyDescent="0.2">
      <c r="A469" s="310" t="s">
        <v>2406</v>
      </c>
      <c r="B469" t="str">
        <f>IF(ISBLANK(GlobBerMedDisc!$AJ$14),"",GlobBerMedDisc!$AJ$14)</f>
        <v/>
      </c>
      <c r="C469" s="130"/>
    </row>
    <row r="470" spans="1:6" x14ac:dyDescent="0.2">
      <c r="A470" s="310" t="s">
        <v>2407</v>
      </c>
      <c r="B470" t="str">
        <f>IF(ISBLANK(GlobBerMedDisc!$AJ$15),"",GlobBerMedDisc!$AJ$15)</f>
        <v/>
      </c>
      <c r="C470" s="130"/>
    </row>
    <row r="471" spans="1:6" x14ac:dyDescent="0.2">
      <c r="A471" s="310" t="s">
        <v>2408</v>
      </c>
      <c r="B471" t="str">
        <f>IF(ISBLANK(GlobBerMedDisc!$AJ$16),"",GlobBerMedDisc!$AJ$16)</f>
        <v/>
      </c>
      <c r="C471" s="130"/>
    </row>
    <row r="472" spans="1:6" x14ac:dyDescent="0.2">
      <c r="A472" s="310" t="s">
        <v>2409</v>
      </c>
      <c r="B472" t="str">
        <f>IF(ISBLANK(GlobBerMedDisc!$AJ$17),"",GlobBerMedDisc!$AJ$17)</f>
        <v/>
      </c>
      <c r="C472" s="130"/>
    </row>
    <row r="473" spans="1:6" x14ac:dyDescent="0.2">
      <c r="A473" s="310" t="s">
        <v>2410</v>
      </c>
      <c r="B473" t="str">
        <f>IF(ISBLANK(GlobBerMedDisc!$AJ$18),"",GlobBerMedDisc!$AJ$18)</f>
        <v/>
      </c>
      <c r="C473" s="130"/>
    </row>
    <row r="474" spans="1:6" x14ac:dyDescent="0.2">
      <c r="A474" s="310" t="s">
        <v>2411</v>
      </c>
      <c r="B474" t="str">
        <f>IF(ISBLANK(GlobBerMedDisc!$AJ$19),"",GlobBerMedDisc!$AJ$19)</f>
        <v/>
      </c>
      <c r="C474" s="130"/>
    </row>
    <row r="475" spans="1:6" x14ac:dyDescent="0.2">
      <c r="A475" s="310" t="s">
        <v>2412</v>
      </c>
      <c r="B475" t="str">
        <f>IF(ISBLANK(GlobBerMedDisc!$AJ$20),"",GlobBerMedDisc!$AJ$20)</f>
        <v/>
      </c>
      <c r="C475" s="130"/>
    </row>
    <row r="476" spans="1:6" x14ac:dyDescent="0.2">
      <c r="A476" s="310" t="s">
        <v>2413</v>
      </c>
      <c r="B476" t="str">
        <f>IF(ISBLANK(GlobBerMedDisc!$AJ$21),"",GlobBerMedDisc!$AJ$21)</f>
        <v/>
      </c>
      <c r="C476" s="130"/>
    </row>
    <row r="477" spans="1:6" x14ac:dyDescent="0.2">
      <c r="A477" s="310" t="s">
        <v>2414</v>
      </c>
      <c r="B477" t="str">
        <f>IF(ISBLANK(GlobBerMedDisc!$AJ$22),"",GlobBerMedDisc!$AJ$22)</f>
        <v/>
      </c>
      <c r="C477" s="130"/>
    </row>
    <row r="478" spans="1:6" x14ac:dyDescent="0.2">
      <c r="A478" s="310" t="s">
        <v>2415</v>
      </c>
      <c r="B478" t="str">
        <f>IF(ISBLANK(GlobBerMedDisc!$AJ$23),"",GlobBerMedDisc!$AJ$23)</f>
        <v/>
      </c>
      <c r="C478" s="130"/>
    </row>
    <row r="479" spans="1:6" x14ac:dyDescent="0.2">
      <c r="A479" s="310" t="s">
        <v>2416</v>
      </c>
      <c r="B479" t="str">
        <f>IF(ISBLANK(GlobBerMedDisc!$AJ$24),"",GlobBerMedDisc!$AJ$24)</f>
        <v/>
      </c>
      <c r="C479" s="130"/>
    </row>
    <row r="480" spans="1:6" x14ac:dyDescent="0.2">
      <c r="A480" s="310" t="s">
        <v>2417</v>
      </c>
      <c r="B480" t="str">
        <f>IF(ISBLANK(GlobBerMedDisc!$AJ$25),"",GlobBerMedDisc!$AJ$25)</f>
        <v/>
      </c>
      <c r="C480" s="130"/>
    </row>
    <row r="481" spans="1:6" x14ac:dyDescent="0.2">
      <c r="A481" s="310" t="s">
        <v>2418</v>
      </c>
      <c r="B481" t="str">
        <f>IF(ISBLANK(GlobBerMedDisc!$AJ$26),"",GlobBerMedDisc!$AJ$26)</f>
        <v/>
      </c>
      <c r="C481" s="130"/>
    </row>
    <row r="482" spans="1:6" x14ac:dyDescent="0.2">
      <c r="A482" s="310" t="s">
        <v>2419</v>
      </c>
      <c r="B482" t="str">
        <f>IF(ISBLANK(GlobBerMedDisc!$AJ$27),"",GlobBerMedDisc!$AJ$27)</f>
        <v/>
      </c>
      <c r="C482" s="130"/>
    </row>
    <row r="483" spans="1:6" s="310" customFormat="1" x14ac:dyDescent="0.2">
      <c r="A483" s="310" t="s">
        <v>2420</v>
      </c>
      <c r="B483" t="str">
        <f>IF(ISBLANK(GlobBerMedDisc!$AJ$28),"",GlobBerMedDisc!$AJ$28)</f>
        <v/>
      </c>
      <c r="C483" s="130"/>
    </row>
    <row r="484" spans="1:6" x14ac:dyDescent="0.2">
      <c r="A484" s="310" t="s">
        <v>2421</v>
      </c>
      <c r="B484" t="str">
        <f>IF(ISBLANK(GlobBerMedDisc!$AJ$29),"",GlobBerMedDisc!$AJ$29)</f>
        <v/>
      </c>
      <c r="C484" s="130"/>
    </row>
    <row r="485" spans="1:6" x14ac:dyDescent="0.2">
      <c r="A485" s="310" t="s">
        <v>2422</v>
      </c>
      <c r="B485" t="str">
        <f>IF(ISBLANK(GlobBerMedDisc!$AJ$30),"",GlobBerMedDisc!$AJ$30)</f>
        <v/>
      </c>
      <c r="C485" s="130"/>
    </row>
    <row r="486" spans="1:6" x14ac:dyDescent="0.2">
      <c r="A486" s="310" t="s">
        <v>2423</v>
      </c>
      <c r="B486" t="str">
        <f>IF(ISBLANK(GlobBerMedDisc!$AJ$31),"",GlobBerMedDisc!$AJ$31)</f>
        <v/>
      </c>
      <c r="C486" s="130"/>
    </row>
    <row r="487" spans="1:6" x14ac:dyDescent="0.2">
      <c r="A487" s="310" t="s">
        <v>2424</v>
      </c>
      <c r="B487">
        <f>IF(ISBLANK(GlobBerMedDisc!$I$2),"",GlobBerMedDisc!$I$2)</f>
        <v>1</v>
      </c>
      <c r="C487">
        <v>1</v>
      </c>
    </row>
    <row r="488" spans="1:6" x14ac:dyDescent="0.2">
      <c r="A488" s="310" t="s">
        <v>2425</v>
      </c>
      <c r="B488">
        <f>IF(ISBLANK(GlobBerMedDisc!$I$3),"",GlobBerMedDisc!$I$3)</f>
        <v>1</v>
      </c>
      <c r="C488">
        <v>1</v>
      </c>
    </row>
    <row r="489" spans="1:6" x14ac:dyDescent="0.2">
      <c r="A489" s="310" t="s">
        <v>2426</v>
      </c>
      <c r="B489">
        <f>IF(ISBLANK(GlobBerMedDisc!$I$4),"",GlobBerMedDisc!$I$4)</f>
        <v>1</v>
      </c>
      <c r="C489">
        <v>1</v>
      </c>
    </row>
    <row r="490" spans="1:6" x14ac:dyDescent="0.2">
      <c r="A490" s="310" t="s">
        <v>2427</v>
      </c>
      <c r="B490">
        <f>IF(ISBLANK(GlobBerMedDisc!$I$5),"",GlobBerMedDisc!$I$5)</f>
        <v>1</v>
      </c>
      <c r="C490">
        <v>1</v>
      </c>
    </row>
    <row r="491" spans="1:6" x14ac:dyDescent="0.2">
      <c r="A491" s="310" t="s">
        <v>2428</v>
      </c>
      <c r="B491">
        <f>IF(ISBLANK(GlobBerMedDisc!$I$6),"",GlobBerMedDisc!$I$6)</f>
        <v>1</v>
      </c>
      <c r="C491">
        <v>1</v>
      </c>
    </row>
    <row r="492" spans="1:6" x14ac:dyDescent="0.2">
      <c r="A492" s="310" t="s">
        <v>2429</v>
      </c>
      <c r="B492">
        <f>IF(ISBLANK(GlobBerMedDisc!$I$7),"",GlobBerMedDisc!$I$7)</f>
        <v>1</v>
      </c>
      <c r="C492">
        <v>1</v>
      </c>
    </row>
    <row r="493" spans="1:6" x14ac:dyDescent="0.2">
      <c r="A493" s="310" t="s">
        <v>2430</v>
      </c>
      <c r="B493">
        <f>IF(ISBLANK(GlobBerMedDisc!$I$8),"",GlobBerMedDisc!$I$8)</f>
        <v>1</v>
      </c>
      <c r="C493">
        <v>1</v>
      </c>
    </row>
    <row r="494" spans="1:6" x14ac:dyDescent="0.2">
      <c r="A494" s="310" t="s">
        <v>2431</v>
      </c>
      <c r="B494">
        <f>IF(ISBLANK(GlobBerMedDisc!$I$9),"",GlobBerMedDisc!$I$9)</f>
        <v>1</v>
      </c>
      <c r="C494">
        <v>1</v>
      </c>
    </row>
    <row r="495" spans="1:6" x14ac:dyDescent="0.2">
      <c r="A495" s="310" t="s">
        <v>2432</v>
      </c>
      <c r="B495">
        <f>IF(ISBLANK(GlobBerMedDisc!$I$10),"",GlobBerMedDisc!$I$10)</f>
        <v>1</v>
      </c>
      <c r="C495">
        <v>1</v>
      </c>
      <c r="F495" s="310"/>
    </row>
    <row r="496" spans="1:6" x14ac:dyDescent="0.2">
      <c r="A496" s="310" t="s">
        <v>2433</v>
      </c>
      <c r="B496">
        <f>IF(ISBLANK(GlobBerMedDisc!$I$11),"",GlobBerMedDisc!$I$11)</f>
        <v>1</v>
      </c>
      <c r="C496">
        <v>1</v>
      </c>
    </row>
    <row r="497" spans="1:3" x14ac:dyDescent="0.2">
      <c r="A497" s="310" t="s">
        <v>2434</v>
      </c>
      <c r="B497">
        <f>IF(ISBLANK(GlobBerMedDisc!$I$12),"",GlobBerMedDisc!$I$12)</f>
        <v>1</v>
      </c>
      <c r="C497">
        <v>1</v>
      </c>
    </row>
    <row r="498" spans="1:3" x14ac:dyDescent="0.2">
      <c r="A498" s="310" t="s">
        <v>2435</v>
      </c>
      <c r="B498">
        <f>IF(ISBLANK(GlobBerMedDisc!$I$13),"",GlobBerMedDisc!$I$13)</f>
        <v>1</v>
      </c>
      <c r="C498">
        <v>1</v>
      </c>
    </row>
    <row r="499" spans="1:3" x14ac:dyDescent="0.2">
      <c r="A499" s="310" t="s">
        <v>2436</v>
      </c>
      <c r="B499">
        <f>IF(ISBLANK(GlobBerMedDisc!$I$14),"",GlobBerMedDisc!$I$14)</f>
        <v>1</v>
      </c>
      <c r="C499">
        <v>1</v>
      </c>
    </row>
    <row r="500" spans="1:3" x14ac:dyDescent="0.2">
      <c r="A500" s="310" t="s">
        <v>2437</v>
      </c>
      <c r="B500">
        <f>IF(ISBLANK(GlobBerMedDisc!$I$15),"",GlobBerMedDisc!$I$15)</f>
        <v>1</v>
      </c>
      <c r="C500">
        <v>1</v>
      </c>
    </row>
    <row r="501" spans="1:3" x14ac:dyDescent="0.2">
      <c r="A501" s="310" t="s">
        <v>2438</v>
      </c>
      <c r="B501">
        <f>IF(ISBLANK(GlobBerMedDisc!$I$16),"",GlobBerMedDisc!$I$16)</f>
        <v>1</v>
      </c>
      <c r="C501">
        <v>1</v>
      </c>
    </row>
    <row r="502" spans="1:3" x14ac:dyDescent="0.2">
      <c r="A502" s="310" t="s">
        <v>2439</v>
      </c>
      <c r="B502">
        <f>IF(ISBLANK(GlobBerMedDisc!$I$17),"",GlobBerMedDisc!$I$17)</f>
        <v>1</v>
      </c>
      <c r="C502">
        <v>1</v>
      </c>
    </row>
    <row r="503" spans="1:3" x14ac:dyDescent="0.2">
      <c r="A503" s="310" t="s">
        <v>2440</v>
      </c>
      <c r="B503">
        <f>IF(ISBLANK(GlobBerMedDisc!$I$18),"",GlobBerMedDisc!$I$18)</f>
        <v>1</v>
      </c>
      <c r="C503">
        <v>1</v>
      </c>
    </row>
    <row r="504" spans="1:3" x14ac:dyDescent="0.2">
      <c r="A504" s="310" t="s">
        <v>2441</v>
      </c>
      <c r="B504">
        <f>IF(ISBLANK(GlobBerMedDisc!$I$19),"",GlobBerMedDisc!$I$19)</f>
        <v>1</v>
      </c>
      <c r="C504">
        <v>1</v>
      </c>
    </row>
    <row r="505" spans="1:3" x14ac:dyDescent="0.2">
      <c r="A505" s="310" t="s">
        <v>2442</v>
      </c>
      <c r="B505">
        <f>IF(ISBLANK(GlobBerMedDisc!$I$20),"",GlobBerMedDisc!$I$20)</f>
        <v>1</v>
      </c>
      <c r="C505">
        <v>1</v>
      </c>
    </row>
    <row r="506" spans="1:3" x14ac:dyDescent="0.2">
      <c r="A506" s="310" t="s">
        <v>2443</v>
      </c>
      <c r="B506">
        <f>IF(ISBLANK(GlobBerMedDisc!$I$21),"",GlobBerMedDisc!$I$21)</f>
        <v>1</v>
      </c>
      <c r="C506">
        <v>1</v>
      </c>
    </row>
    <row r="507" spans="1:3" x14ac:dyDescent="0.2">
      <c r="A507" s="310" t="s">
        <v>2444</v>
      </c>
      <c r="B507">
        <f>IF(ISBLANK(GlobBerMedDisc!$I$22),"",GlobBerMedDisc!$I$22)</f>
        <v>1</v>
      </c>
      <c r="C507">
        <v>1</v>
      </c>
    </row>
    <row r="508" spans="1:3" x14ac:dyDescent="0.2">
      <c r="A508" s="310" t="s">
        <v>2445</v>
      </c>
      <c r="B508">
        <f>IF(ISBLANK(GlobBerMedDisc!$I$23),"",GlobBerMedDisc!$I$23)</f>
        <v>1</v>
      </c>
      <c r="C508">
        <v>1</v>
      </c>
    </row>
    <row r="509" spans="1:3" x14ac:dyDescent="0.2">
      <c r="A509" s="310" t="s">
        <v>2446</v>
      </c>
      <c r="B509">
        <f>IF(ISBLANK(GlobBerMedDisc!$I$24),"",GlobBerMedDisc!$I$24)</f>
        <v>1</v>
      </c>
      <c r="C509">
        <v>1</v>
      </c>
    </row>
    <row r="510" spans="1:3" x14ac:dyDescent="0.2">
      <c r="A510" s="310" t="s">
        <v>2447</v>
      </c>
      <c r="B510">
        <f>IF(ISBLANK(GlobBerMedDisc!$I$25),"",GlobBerMedDisc!$I$25)</f>
        <v>1</v>
      </c>
      <c r="C510">
        <v>1</v>
      </c>
    </row>
    <row r="511" spans="1:3" x14ac:dyDescent="0.2">
      <c r="A511" s="310" t="s">
        <v>2448</v>
      </c>
      <c r="B511">
        <f>IF(ISBLANK(GlobBerMedDisc!$I$26),"",GlobBerMedDisc!$I$26)</f>
        <v>1</v>
      </c>
      <c r="C511">
        <v>1</v>
      </c>
    </row>
    <row r="512" spans="1:3" x14ac:dyDescent="0.2">
      <c r="A512" s="310" t="s">
        <v>2449</v>
      </c>
      <c r="B512">
        <f>IF(ISBLANK(GlobBerMedDisc!$I$27),"",GlobBerMedDisc!$I$27)</f>
        <v>1</v>
      </c>
      <c r="C512">
        <v>1</v>
      </c>
    </row>
    <row r="513" spans="1:3" x14ac:dyDescent="0.2">
      <c r="A513" s="310" t="s">
        <v>2450</v>
      </c>
      <c r="B513">
        <f>IF(ISBLANK(GlobBerMedDisc!$I$28),"",GlobBerMedDisc!$I$28)</f>
        <v>1</v>
      </c>
      <c r="C513">
        <v>1</v>
      </c>
    </row>
    <row r="514" spans="1:3" x14ac:dyDescent="0.2">
      <c r="A514" s="310" t="s">
        <v>2451</v>
      </c>
      <c r="B514">
        <f>IF(ISBLANK(GlobBerMedDisc!$I$29),"",GlobBerMedDisc!$I$29)</f>
        <v>1</v>
      </c>
      <c r="C514">
        <v>1</v>
      </c>
    </row>
    <row r="515" spans="1:3" x14ac:dyDescent="0.2">
      <c r="A515" s="310" t="s">
        <v>2452</v>
      </c>
      <c r="B515">
        <f>IF(ISBLANK(GlobBerMedDisc!$I$30),"",GlobBerMedDisc!$I$30)</f>
        <v>1</v>
      </c>
      <c r="C515">
        <v>1</v>
      </c>
    </row>
    <row r="516" spans="1:3" x14ac:dyDescent="0.2">
      <c r="A516" s="310" t="s">
        <v>2453</v>
      </c>
      <c r="B516">
        <f>IF(ISBLANK(GlobBerMedDisc!$I$31),"",GlobBerMedDisc!$I$31)</f>
        <v>1</v>
      </c>
      <c r="C516">
        <v>1</v>
      </c>
    </row>
    <row r="517" spans="1:3" x14ac:dyDescent="0.2">
      <c r="A517" s="310" t="s">
        <v>2454</v>
      </c>
      <c r="B517" t="str">
        <f>IF(ISBLANK(GlobBerMedDisc!$L$2),"",GlobBerMedDisc!$L$2)</f>
        <v/>
      </c>
      <c r="C517" s="130"/>
    </row>
    <row r="518" spans="1:3" x14ac:dyDescent="0.2">
      <c r="A518" s="310" t="s">
        <v>2455</v>
      </c>
      <c r="B518" t="str">
        <f>IF(ISBLANK(GlobBerMedDisc!$L$3),"",GlobBerMedDisc!$L$3)</f>
        <v/>
      </c>
      <c r="C518" s="130"/>
    </row>
    <row r="519" spans="1:3" x14ac:dyDescent="0.2">
      <c r="A519" s="310" t="s">
        <v>2456</v>
      </c>
      <c r="B519" t="str">
        <f>IF(ISBLANK(GlobBerMedDisc!$L$4),"",GlobBerMedDisc!$L$4)</f>
        <v/>
      </c>
      <c r="C519" s="130"/>
    </row>
    <row r="520" spans="1:3" x14ac:dyDescent="0.2">
      <c r="A520" s="310" t="s">
        <v>2457</v>
      </c>
      <c r="B520" t="str">
        <f>IF(ISBLANK(GlobBerMedDisc!$L$5),"",GlobBerMedDisc!$L$5)</f>
        <v/>
      </c>
      <c r="C520" s="130"/>
    </row>
    <row r="521" spans="1:3" x14ac:dyDescent="0.2">
      <c r="A521" s="310" t="s">
        <v>2458</v>
      </c>
      <c r="B521" t="str">
        <f>IF(ISBLANK(GlobBerMedDisc!$L$6),"",GlobBerMedDisc!$L$6)</f>
        <v/>
      </c>
      <c r="C521" s="130"/>
    </row>
    <row r="522" spans="1:3" x14ac:dyDescent="0.2">
      <c r="A522" s="310" t="s">
        <v>2459</v>
      </c>
      <c r="B522" t="str">
        <f>IF(ISBLANK(GlobBerMedDisc!$L$7),"",GlobBerMedDisc!$L$7)</f>
        <v/>
      </c>
      <c r="C522" s="130"/>
    </row>
    <row r="523" spans="1:3" x14ac:dyDescent="0.2">
      <c r="A523" s="310" t="s">
        <v>2460</v>
      </c>
      <c r="B523" t="str">
        <f>IF(ISBLANK(GlobBerMedDisc!$L$8),"",GlobBerMedDisc!$L$8)</f>
        <v/>
      </c>
      <c r="C523" s="130"/>
    </row>
    <row r="524" spans="1:3" x14ac:dyDescent="0.2">
      <c r="A524" s="310" t="s">
        <v>2461</v>
      </c>
      <c r="B524" t="str">
        <f>IF(ISBLANK(GlobBerMedDisc!$L$9),"",GlobBerMedDisc!$L$9)</f>
        <v/>
      </c>
      <c r="C524" s="130"/>
    </row>
    <row r="525" spans="1:3" x14ac:dyDescent="0.2">
      <c r="A525" s="310" t="s">
        <v>2462</v>
      </c>
      <c r="B525" t="str">
        <f>IF(ISBLANK(GlobBerMedDisc!$L$10),"",GlobBerMedDisc!$L$10)</f>
        <v/>
      </c>
      <c r="C525" s="130"/>
    </row>
    <row r="526" spans="1:3" x14ac:dyDescent="0.2">
      <c r="A526" s="310" t="s">
        <v>2463</v>
      </c>
      <c r="B526" t="str">
        <f>IF(ISBLANK(GlobBerMedDisc!$L$11),"",GlobBerMedDisc!$L$11)</f>
        <v/>
      </c>
      <c r="C526" s="130"/>
    </row>
    <row r="527" spans="1:3" x14ac:dyDescent="0.2">
      <c r="A527" s="310" t="s">
        <v>2464</v>
      </c>
      <c r="B527" t="str">
        <f>IF(ISBLANK(GlobBerMedDisc!$L$12),"",GlobBerMedDisc!$L$12)</f>
        <v/>
      </c>
      <c r="C527" s="130"/>
    </row>
    <row r="528" spans="1:3" x14ac:dyDescent="0.2">
      <c r="A528" s="310" t="s">
        <v>2465</v>
      </c>
      <c r="B528" t="str">
        <f>IF(ISBLANK(GlobBerMedDisc!$L$13),"",GlobBerMedDisc!$L$13)</f>
        <v/>
      </c>
      <c r="C528" s="130"/>
    </row>
    <row r="529" spans="1:3" x14ac:dyDescent="0.2">
      <c r="A529" s="310" t="s">
        <v>2466</v>
      </c>
      <c r="B529" t="str">
        <f>IF(ISBLANK(GlobBerMedDisc!$L$14),"",GlobBerMedDisc!$L$14)</f>
        <v/>
      </c>
      <c r="C529" s="130"/>
    </row>
    <row r="530" spans="1:3" x14ac:dyDescent="0.2">
      <c r="A530" s="310" t="s">
        <v>2467</v>
      </c>
      <c r="B530" t="str">
        <f>IF(ISBLANK(GlobBerMedDisc!$L$15),"",GlobBerMedDisc!$L$15)</f>
        <v/>
      </c>
      <c r="C530" s="130"/>
    </row>
    <row r="531" spans="1:3" x14ac:dyDescent="0.2">
      <c r="A531" s="310" t="s">
        <v>2468</v>
      </c>
      <c r="B531" t="str">
        <f>IF(ISBLANK(GlobBerMedDisc!$L$16),"",GlobBerMedDisc!$L$16)</f>
        <v/>
      </c>
      <c r="C531" s="130"/>
    </row>
    <row r="532" spans="1:3" x14ac:dyDescent="0.2">
      <c r="A532" s="310" t="s">
        <v>2469</v>
      </c>
      <c r="B532" t="str">
        <f>IF(ISBLANK(GlobBerMedDisc!$L$17),"",GlobBerMedDisc!$L$17)</f>
        <v/>
      </c>
      <c r="C532" s="130"/>
    </row>
    <row r="533" spans="1:3" x14ac:dyDescent="0.2">
      <c r="A533" s="310" t="s">
        <v>2470</v>
      </c>
      <c r="B533" t="str">
        <f>IF(ISBLANK(GlobBerMedDisc!$L$18),"",GlobBerMedDisc!$L$18)</f>
        <v/>
      </c>
      <c r="C533" s="130"/>
    </row>
    <row r="534" spans="1:3" x14ac:dyDescent="0.2">
      <c r="A534" s="310" t="s">
        <v>2471</v>
      </c>
      <c r="B534" t="str">
        <f>IF(ISBLANK(GlobBerMedDisc!$L$19),"",GlobBerMedDisc!$L$19)</f>
        <v/>
      </c>
      <c r="C534" s="130"/>
    </row>
    <row r="535" spans="1:3" x14ac:dyDescent="0.2">
      <c r="A535" s="310" t="s">
        <v>2472</v>
      </c>
      <c r="B535" t="str">
        <f>IF(ISBLANK(GlobBerMedDisc!$L$20),"",GlobBerMedDisc!$L$20)</f>
        <v/>
      </c>
      <c r="C535" s="130"/>
    </row>
    <row r="536" spans="1:3" x14ac:dyDescent="0.2">
      <c r="A536" s="310" t="s">
        <v>2473</v>
      </c>
      <c r="B536" t="str">
        <f>IF(ISBLANK(GlobBerMedDisc!$L$21),"",GlobBerMedDisc!$L$21)</f>
        <v/>
      </c>
      <c r="C536" s="130"/>
    </row>
    <row r="537" spans="1:3" x14ac:dyDescent="0.2">
      <c r="A537" s="310" t="s">
        <v>2474</v>
      </c>
      <c r="B537" t="str">
        <f>IF(ISBLANK(GlobBerMedDisc!$L$22),"",GlobBerMedDisc!$L$22)</f>
        <v/>
      </c>
      <c r="C537" s="130"/>
    </row>
    <row r="538" spans="1:3" x14ac:dyDescent="0.2">
      <c r="A538" s="310" t="s">
        <v>2475</v>
      </c>
      <c r="B538" t="str">
        <f>IF(ISBLANK(GlobBerMedDisc!$L$23),"",GlobBerMedDisc!$L$23)</f>
        <v/>
      </c>
      <c r="C538" s="130"/>
    </row>
    <row r="539" spans="1:3" x14ac:dyDescent="0.2">
      <c r="A539" s="310" t="s">
        <v>2476</v>
      </c>
      <c r="B539" t="str">
        <f>IF(ISBLANK(GlobBerMedDisc!$L$24),"",GlobBerMedDisc!$L$24)</f>
        <v/>
      </c>
      <c r="C539" s="130"/>
    </row>
    <row r="540" spans="1:3" x14ac:dyDescent="0.2">
      <c r="A540" s="310" t="s">
        <v>2477</v>
      </c>
      <c r="B540" t="str">
        <f>IF(ISBLANK(GlobBerMedDisc!$L$25),"",GlobBerMedDisc!$L$25)</f>
        <v/>
      </c>
      <c r="C540" s="130"/>
    </row>
    <row r="541" spans="1:3" x14ac:dyDescent="0.2">
      <c r="A541" s="310" t="s">
        <v>2478</v>
      </c>
      <c r="B541" t="str">
        <f>IF(ISBLANK(GlobBerMedDisc!$L$26),"",GlobBerMedDisc!$L$26)</f>
        <v/>
      </c>
      <c r="C541" s="130"/>
    </row>
    <row r="542" spans="1:3" x14ac:dyDescent="0.2">
      <c r="A542" s="310" t="s">
        <v>2479</v>
      </c>
      <c r="B542" t="str">
        <f>IF(ISBLANK(GlobBerMedDisc!$L$27),"",GlobBerMedDisc!$L$27)</f>
        <v/>
      </c>
      <c r="C542" s="130"/>
    </row>
    <row r="543" spans="1:3" x14ac:dyDescent="0.2">
      <c r="A543" s="310" t="s">
        <v>2480</v>
      </c>
      <c r="B543" t="str">
        <f>IF(ISBLANK(GlobBerMedDisc!$L$28),"",GlobBerMedDisc!$L$28)</f>
        <v/>
      </c>
      <c r="C543" s="130"/>
    </row>
    <row r="544" spans="1:3" x14ac:dyDescent="0.2">
      <c r="A544" s="310" t="s">
        <v>2481</v>
      </c>
      <c r="B544" t="str">
        <f>IF(ISBLANK(GlobBerMedDisc!$L$29),"",GlobBerMedDisc!$L$29)</f>
        <v/>
      </c>
      <c r="C544" s="130"/>
    </row>
    <row r="545" spans="1:3" x14ac:dyDescent="0.2">
      <c r="A545" s="310" t="s">
        <v>2482</v>
      </c>
      <c r="B545" t="str">
        <f>IF(ISBLANK(GlobBerMedDisc!$L$30),"",GlobBerMedDisc!$L$30)</f>
        <v/>
      </c>
      <c r="C545" s="130"/>
    </row>
    <row r="546" spans="1:3" x14ac:dyDescent="0.2">
      <c r="A546" s="310" t="s">
        <v>2483</v>
      </c>
      <c r="B546" t="str">
        <f>IF(ISBLANK(GlobBerMedDisc!$L$31),"",GlobBerMedDisc!$L$31)</f>
        <v/>
      </c>
      <c r="C546" s="130"/>
    </row>
    <row r="547" spans="1:3" s="310" customFormat="1" x14ac:dyDescent="0.2">
      <c r="A547" s="310" t="s">
        <v>3951</v>
      </c>
      <c r="B547" s="310" t="str">
        <f>IF(ISBLANK(GlobBerMedDisc!$C$2),"",GlobBerMedDisc!$C$2)</f>
        <v/>
      </c>
      <c r="C547" s="130"/>
    </row>
    <row r="548" spans="1:3" s="310" customFormat="1" x14ac:dyDescent="0.2">
      <c r="A548" s="310" t="s">
        <v>3952</v>
      </c>
      <c r="B548" s="310" t="str">
        <f>IF(ISBLANK(GlobBerMedDisc!$C$3),"",GlobBerMedDisc!$C$3)</f>
        <v/>
      </c>
      <c r="C548" s="130"/>
    </row>
    <row r="549" spans="1:3" s="310" customFormat="1" x14ac:dyDescent="0.2">
      <c r="A549" s="310" t="s">
        <v>3953</v>
      </c>
      <c r="B549" s="310" t="str">
        <f>IF(ISBLANK(GlobBerMedDisc!$C$4),"",GlobBerMedDisc!$C$4)</f>
        <v/>
      </c>
      <c r="C549" s="130"/>
    </row>
    <row r="550" spans="1:3" s="310" customFormat="1" x14ac:dyDescent="0.2">
      <c r="A550" s="310" t="s">
        <v>3954</v>
      </c>
      <c r="B550" s="310" t="str">
        <f>IF(ISBLANK(GlobBerMedDisc!$C$5),"",GlobBerMedDisc!$C$5)</f>
        <v/>
      </c>
      <c r="C550" s="130"/>
    </row>
    <row r="551" spans="1:3" s="310" customFormat="1" x14ac:dyDescent="0.2">
      <c r="A551" s="310" t="s">
        <v>3955</v>
      </c>
      <c r="B551" s="310" t="str">
        <f>IF(ISBLANK(GlobBerMedDisc!$C$6),"",GlobBerMedDisc!$C$6)</f>
        <v/>
      </c>
      <c r="C551" s="130"/>
    </row>
    <row r="552" spans="1:3" s="310" customFormat="1" x14ac:dyDescent="0.2">
      <c r="A552" s="310" t="s">
        <v>3956</v>
      </c>
      <c r="B552" s="310" t="str">
        <f>IF(ISBLANK(GlobBerMedDisc!$C$7),"",GlobBerMedDisc!$C$7)</f>
        <v/>
      </c>
      <c r="C552" s="130"/>
    </row>
    <row r="553" spans="1:3" s="310" customFormat="1" x14ac:dyDescent="0.2">
      <c r="A553" s="310" t="s">
        <v>3957</v>
      </c>
      <c r="B553" s="310" t="str">
        <f>IF(ISBLANK(GlobBerMedDisc!$C$8),"",GlobBerMedDisc!$C$8)</f>
        <v/>
      </c>
      <c r="C553" s="130"/>
    </row>
    <row r="554" spans="1:3" s="310" customFormat="1" x14ac:dyDescent="0.2">
      <c r="A554" s="310" t="s">
        <v>3958</v>
      </c>
      <c r="B554" s="310" t="str">
        <f>IF(ISBLANK(GlobBerMedDisc!$C$9),"",GlobBerMedDisc!$C$9)</f>
        <v/>
      </c>
      <c r="C554" s="130"/>
    </row>
    <row r="555" spans="1:3" s="310" customFormat="1" x14ac:dyDescent="0.2">
      <c r="A555" s="310" t="s">
        <v>3959</v>
      </c>
      <c r="B555" s="310" t="str">
        <f>IF(ISBLANK(GlobBerMedDisc!$C$10),"",GlobBerMedDisc!$C$10)</f>
        <v/>
      </c>
      <c r="C555" s="130"/>
    </row>
    <row r="556" spans="1:3" s="310" customFormat="1" x14ac:dyDescent="0.2">
      <c r="A556" s="310" t="s">
        <v>3960</v>
      </c>
      <c r="B556" s="310" t="str">
        <f>IF(ISBLANK(GlobBerMedDisc!$C$11),"",GlobBerMedDisc!$C$11)</f>
        <v/>
      </c>
      <c r="C556" s="130"/>
    </row>
    <row r="557" spans="1:3" s="310" customFormat="1" x14ac:dyDescent="0.2">
      <c r="A557" s="310" t="s">
        <v>3961</v>
      </c>
      <c r="B557" s="310" t="str">
        <f>IF(ISBLANK(GlobBerMedDisc!$C$12),"",GlobBerMedDisc!$C$12)</f>
        <v/>
      </c>
      <c r="C557" s="130"/>
    </row>
    <row r="558" spans="1:3" s="310" customFormat="1" x14ac:dyDescent="0.2">
      <c r="A558" s="310" t="s">
        <v>3962</v>
      </c>
      <c r="B558" s="310" t="str">
        <f>IF(ISBLANK(GlobBerMedDisc!$C$13),"",GlobBerMedDisc!$C$13)</f>
        <v/>
      </c>
      <c r="C558" s="130"/>
    </row>
    <row r="559" spans="1:3" s="310" customFormat="1" x14ac:dyDescent="0.2">
      <c r="A559" s="310" t="s">
        <v>3963</v>
      </c>
      <c r="B559" s="310" t="str">
        <f>IF(ISBLANK(GlobBerMedDisc!$C$14),"",GlobBerMedDisc!$C$14)</f>
        <v/>
      </c>
      <c r="C559" s="130"/>
    </row>
    <row r="560" spans="1:3" s="310" customFormat="1" x14ac:dyDescent="0.2">
      <c r="A560" s="310" t="s">
        <v>3964</v>
      </c>
      <c r="B560" s="310" t="str">
        <f>IF(ISBLANK(GlobBerMedDisc!$C$15),"",GlobBerMedDisc!$C$15)</f>
        <v/>
      </c>
      <c r="C560" s="130"/>
    </row>
    <row r="561" spans="1:3" s="310" customFormat="1" x14ac:dyDescent="0.2">
      <c r="A561" s="310" t="s">
        <v>3965</v>
      </c>
      <c r="B561" s="310" t="str">
        <f>IF(ISBLANK(GlobBerMedDisc!$C$16),"",GlobBerMedDisc!$C$16)</f>
        <v/>
      </c>
      <c r="C561" s="130"/>
    </row>
    <row r="562" spans="1:3" s="310" customFormat="1" x14ac:dyDescent="0.2">
      <c r="A562" s="310" t="s">
        <v>3966</v>
      </c>
      <c r="B562" s="310" t="str">
        <f>IF(ISBLANK(GlobBerMedDisc!$C$17),"",GlobBerMedDisc!$C$17)</f>
        <v/>
      </c>
      <c r="C562" s="130"/>
    </row>
    <row r="563" spans="1:3" s="310" customFormat="1" x14ac:dyDescent="0.2">
      <c r="A563" s="310" t="s">
        <v>3967</v>
      </c>
      <c r="B563" s="310" t="str">
        <f>IF(ISBLANK(GlobBerMedDisc!$C$18),"",GlobBerMedDisc!$C$18)</f>
        <v/>
      </c>
      <c r="C563" s="130"/>
    </row>
    <row r="564" spans="1:3" s="310" customFormat="1" x14ac:dyDescent="0.2">
      <c r="A564" s="310" t="s">
        <v>3968</v>
      </c>
      <c r="B564" s="310" t="str">
        <f>IF(ISBLANK(GlobBerMedDisc!$C$19),"",GlobBerMedDisc!$C$19)</f>
        <v/>
      </c>
      <c r="C564" s="130"/>
    </row>
    <row r="565" spans="1:3" s="310" customFormat="1" x14ac:dyDescent="0.2">
      <c r="A565" s="310" t="s">
        <v>3969</v>
      </c>
      <c r="B565" s="310" t="str">
        <f>IF(ISBLANK(GlobBerMedDisc!$C$20),"",GlobBerMedDisc!$C$20)</f>
        <v/>
      </c>
      <c r="C565" s="130"/>
    </row>
    <row r="566" spans="1:3" s="310" customFormat="1" x14ac:dyDescent="0.2">
      <c r="A566" s="310" t="s">
        <v>3970</v>
      </c>
      <c r="B566" s="310" t="str">
        <f>IF(ISBLANK(GlobBerMedDisc!$C$21),"",GlobBerMedDisc!$C$21)</f>
        <v/>
      </c>
      <c r="C566" s="130"/>
    </row>
    <row r="567" spans="1:3" s="310" customFormat="1" x14ac:dyDescent="0.2">
      <c r="A567" s="310" t="s">
        <v>3971</v>
      </c>
      <c r="B567" s="310" t="str">
        <f>IF(ISBLANK(GlobBerMedDisc!$C$22),"",GlobBerMedDisc!$C$22)</f>
        <v/>
      </c>
      <c r="C567" s="130"/>
    </row>
    <row r="568" spans="1:3" s="310" customFormat="1" x14ac:dyDescent="0.2">
      <c r="A568" s="310" t="s">
        <v>3972</v>
      </c>
      <c r="B568" s="310" t="str">
        <f>IF(ISBLANK(GlobBerMedDisc!$C$23),"",GlobBerMedDisc!$C$23)</f>
        <v/>
      </c>
      <c r="C568" s="130"/>
    </row>
    <row r="569" spans="1:3" s="310" customFormat="1" x14ac:dyDescent="0.2">
      <c r="A569" s="310" t="s">
        <v>3973</v>
      </c>
      <c r="B569" s="310" t="str">
        <f>IF(ISBLANK(GlobBerMedDisc!$C$24),"",GlobBerMedDisc!$C$24)</f>
        <v/>
      </c>
      <c r="C569" s="130"/>
    </row>
    <row r="570" spans="1:3" s="310" customFormat="1" x14ac:dyDescent="0.2">
      <c r="A570" s="310" t="s">
        <v>3974</v>
      </c>
      <c r="B570" s="310" t="str">
        <f>IF(ISBLANK(GlobBerMedDisc!$C$25),"",GlobBerMedDisc!$C$25)</f>
        <v/>
      </c>
      <c r="C570" s="130"/>
    </row>
    <row r="571" spans="1:3" s="310" customFormat="1" x14ac:dyDescent="0.2">
      <c r="A571" s="310" t="s">
        <v>3975</v>
      </c>
      <c r="B571" s="310" t="str">
        <f>IF(ISBLANK(GlobBerMedDisc!$C$26),"",GlobBerMedDisc!$C$26)</f>
        <v/>
      </c>
      <c r="C571" s="130"/>
    </row>
    <row r="572" spans="1:3" s="310" customFormat="1" x14ac:dyDescent="0.2">
      <c r="A572" s="310" t="s">
        <v>3976</v>
      </c>
      <c r="B572" s="310" t="str">
        <f>IF(ISBLANK(GlobBerMedDisc!$C$27),"",GlobBerMedDisc!$C$27)</f>
        <v/>
      </c>
      <c r="C572" s="130"/>
    </row>
    <row r="573" spans="1:3" s="310" customFormat="1" x14ac:dyDescent="0.2">
      <c r="A573" s="310" t="s">
        <v>3977</v>
      </c>
      <c r="B573" s="310" t="str">
        <f>IF(ISBLANK(GlobBerMedDisc!$C$28),"",GlobBerMedDisc!$C$28)</f>
        <v/>
      </c>
      <c r="C573" s="130"/>
    </row>
    <row r="574" spans="1:3" s="310" customFormat="1" x14ac:dyDescent="0.2">
      <c r="A574" s="310" t="s">
        <v>3978</v>
      </c>
      <c r="B574" s="310" t="str">
        <f>IF(ISBLANK(GlobBerMedDisc!$C$29),"",GlobBerMedDisc!$C$29)</f>
        <v/>
      </c>
      <c r="C574" s="130"/>
    </row>
    <row r="575" spans="1:3" s="310" customFormat="1" x14ac:dyDescent="0.2">
      <c r="A575" s="310" t="s">
        <v>3979</v>
      </c>
      <c r="B575" s="310" t="str">
        <f>IF(ISBLANK(GlobBerMedDisc!$C$30),"",GlobBerMedDisc!$C$30)</f>
        <v/>
      </c>
      <c r="C575" s="130"/>
    </row>
    <row r="576" spans="1:3" s="310" customFormat="1" x14ac:dyDescent="0.2">
      <c r="A576" s="310" t="s">
        <v>3980</v>
      </c>
      <c r="B576" s="310" t="str">
        <f>IF(ISBLANK(GlobBerMedDisc!$C$31),"",GlobBerMedDisc!$C$31)</f>
        <v/>
      </c>
      <c r="C576" s="130"/>
    </row>
    <row r="577" spans="1:3" s="310" customFormat="1" x14ac:dyDescent="0.2">
      <c r="A577" s="310" t="s">
        <v>4642</v>
      </c>
      <c r="B577" s="310">
        <f>IF(ISBLANK(GlobTblEnt!$B$39),"",GlobTblEnt!$B$39)</f>
        <v>0</v>
      </c>
      <c r="C577" s="675">
        <v>0</v>
      </c>
    </row>
    <row r="578" spans="1:3" s="310" customFormat="1" x14ac:dyDescent="0.2">
      <c r="A578" s="310" t="s">
        <v>4644</v>
      </c>
      <c r="B578" s="310">
        <f>IF(ISBLANK(GlobTblEnt!$C$39),"",GlobTblEnt!$C$39)</f>
        <v>0</v>
      </c>
      <c r="C578" s="675">
        <v>0</v>
      </c>
    </row>
    <row r="579" spans="1:3" s="310" customFormat="1" x14ac:dyDescent="0.2">
      <c r="A579" s="310" t="s">
        <v>4646</v>
      </c>
      <c r="B579" s="310">
        <f>IF(ISBLANK(GlobTblEnt!$D$39),"",GlobTblEnt!$D$39)</f>
        <v>0</v>
      </c>
      <c r="C579" s="675">
        <v>0</v>
      </c>
    </row>
    <row r="580" spans="1:3" s="310" customFormat="1" x14ac:dyDescent="0.2">
      <c r="A580" s="310" t="s">
        <v>4648</v>
      </c>
      <c r="B580" s="310">
        <f>IF(ISBLANK(GlobTblEnt!$E$39),"",GlobTblEnt!$E$39)</f>
        <v>0</v>
      </c>
      <c r="C580" s="675">
        <v>0</v>
      </c>
    </row>
    <row r="581" spans="1:3" s="310" customFormat="1" x14ac:dyDescent="0.2">
      <c r="A581" s="310" t="s">
        <v>4650</v>
      </c>
      <c r="B581" s="310">
        <f>IF(ISBLANK(GlobTblEnt!$F$39),"",GlobTblEnt!$F$39)</f>
        <v>0</v>
      </c>
      <c r="C581" s="675">
        <v>0</v>
      </c>
    </row>
    <row r="582" spans="1:3" s="310" customFormat="1" x14ac:dyDescent="0.2">
      <c r="A582" s="310" t="s">
        <v>4652</v>
      </c>
      <c r="B582" s="310">
        <f>IF(ISBLANK(GlobTblEnt!$G$39),"",GlobTblEnt!$G$39)</f>
        <v>0</v>
      </c>
      <c r="C582" s="675">
        <v>0</v>
      </c>
    </row>
    <row r="583" spans="1:3" s="310" customFormat="1" x14ac:dyDescent="0.2">
      <c r="A583" s="310" t="s">
        <v>4654</v>
      </c>
      <c r="B583" s="310">
        <f>IF(ISBLANK(GlobTblEnt!$H$39),"",GlobTblEnt!$H$39)</f>
        <v>0</v>
      </c>
      <c r="C583" s="675">
        <v>0</v>
      </c>
    </row>
    <row r="584" spans="1:3" s="310" customFormat="1" x14ac:dyDescent="0.2">
      <c r="A584" s="310" t="s">
        <v>4656</v>
      </c>
      <c r="B584" s="310">
        <f>IF(ISBLANK(GlobTblEnt!$I$39),"",GlobTblEnt!$I$39)</f>
        <v>0</v>
      </c>
      <c r="C584" s="675">
        <v>0</v>
      </c>
    </row>
    <row r="585" spans="1:3" s="310" customFormat="1" x14ac:dyDescent="0.2">
      <c r="A585" s="310" t="s">
        <v>4658</v>
      </c>
      <c r="B585" s="310">
        <f>IF(ISBLANK(GlobTblEnt!$J$39),"",GlobTblEnt!$J$39)</f>
        <v>0</v>
      </c>
      <c r="C585" s="675">
        <v>0</v>
      </c>
    </row>
    <row r="586" spans="1:3" s="310" customFormat="1" x14ac:dyDescent="0.2">
      <c r="A586" s="310" t="s">
        <v>4660</v>
      </c>
      <c r="B586" s="310">
        <f>IF(ISBLANK(GlobTblEnt!$K$39),"",GlobTblEnt!$K$39)</f>
        <v>0</v>
      </c>
      <c r="C586" s="675">
        <v>0</v>
      </c>
    </row>
    <row r="587" spans="1:3" s="310" customFormat="1" x14ac:dyDescent="0.2">
      <c r="A587" s="310" t="s">
        <v>4662</v>
      </c>
      <c r="B587" s="310">
        <f>IF(ISBLANK(GlobTblEnt!$L$39),"",GlobTblEnt!$L$39)</f>
        <v>0</v>
      </c>
      <c r="C587" s="675">
        <v>0</v>
      </c>
    </row>
    <row r="588" spans="1:3" s="310" customFormat="1" x14ac:dyDescent="0.2">
      <c r="A588" s="310" t="s">
        <v>4664</v>
      </c>
      <c r="B588" s="310">
        <f>IF(ISBLANK(GlobTblEnt!$M$39),"",GlobTblEnt!$M$39)</f>
        <v>0</v>
      </c>
      <c r="C588" s="675">
        <v>0</v>
      </c>
    </row>
    <row r="589" spans="1:3" x14ac:dyDescent="0.2">
      <c r="A589" s="310" t="s">
        <v>4349</v>
      </c>
      <c r="B589">
        <f>IF(ISBLANK(NeoDataInfB!$D$2),"",NeoDataInfB!$D$2)</f>
        <v>0</v>
      </c>
      <c r="C589" s="17">
        <v>0</v>
      </c>
    </row>
    <row r="590" spans="1:3" x14ac:dyDescent="0.2">
      <c r="A590" s="310" t="s">
        <v>5123</v>
      </c>
      <c r="B590">
        <f>IF(ISBLANK(NeoDataInfB!$D$3),"",NeoDataInfB!$D$3)</f>
        <v>1</v>
      </c>
      <c r="C590" s="310">
        <v>1</v>
      </c>
    </row>
    <row r="591" spans="1:3" x14ac:dyDescent="0.2">
      <c r="A591" s="310" t="s">
        <v>5124</v>
      </c>
      <c r="B591">
        <f>IF(ISBLANK(NeoDataInfB!$D$4),"",NeoDataInfB!$D$4)</f>
        <v>1</v>
      </c>
      <c r="C591" s="310">
        <v>1</v>
      </c>
    </row>
    <row r="592" spans="1:3" x14ac:dyDescent="0.2">
      <c r="A592" s="310" t="s">
        <v>5125</v>
      </c>
      <c r="B592">
        <f>IF(ISBLANK(NeoDataInfB!$D$5),"",NeoDataInfB!$D$5)</f>
        <v>1</v>
      </c>
      <c r="C592" s="310">
        <v>1</v>
      </c>
    </row>
    <row r="593" spans="1:3" x14ac:dyDescent="0.2">
      <c r="A593" s="310" t="s">
        <v>5126</v>
      </c>
      <c r="B593">
        <f>IF(ISBLANK(NeoDataInfB!$D$6),"",NeoDataInfB!$D$6)</f>
        <v>1</v>
      </c>
      <c r="C593" s="310">
        <v>1</v>
      </c>
    </row>
    <row r="594" spans="1:3" x14ac:dyDescent="0.2">
      <c r="A594" s="310" t="s">
        <v>5127</v>
      </c>
      <c r="B594">
        <f>IF(ISBLANK(NeoDataInfB!$D$7),"",NeoDataInfB!$D$7)</f>
        <v>1</v>
      </c>
      <c r="C594" s="310">
        <v>1</v>
      </c>
    </row>
    <row r="595" spans="1:3" x14ac:dyDescent="0.2">
      <c r="A595" s="310" t="s">
        <v>5128</v>
      </c>
      <c r="B595">
        <f>IF(ISBLANK(NeoDataInfB!$D$8),"",NeoDataInfB!$D$8)</f>
        <v>1</v>
      </c>
      <c r="C595" s="310">
        <v>1</v>
      </c>
    </row>
    <row r="596" spans="1:3" x14ac:dyDescent="0.2">
      <c r="A596" s="310" t="s">
        <v>5129</v>
      </c>
      <c r="B596">
        <f>IF(ISBLANK(NeoDataInfB!$D$9),"",NeoDataInfB!$D$9)</f>
        <v>1</v>
      </c>
      <c r="C596" s="310">
        <v>1</v>
      </c>
    </row>
    <row r="597" spans="1:3" x14ac:dyDescent="0.2">
      <c r="A597" s="310" t="s">
        <v>5130</v>
      </c>
      <c r="B597">
        <f>IF(ISBLANK(NeoDataInfB!$D$10),"",NeoDataInfB!$D$10)</f>
        <v>1</v>
      </c>
      <c r="C597" s="310">
        <v>1</v>
      </c>
    </row>
    <row r="598" spans="1:3" x14ac:dyDescent="0.2">
      <c r="A598" s="310" t="s">
        <v>5131</v>
      </c>
      <c r="B598">
        <f>IF(ISBLANK(NeoDataInfB!$D$11),"",NeoDataInfB!$D$11)</f>
        <v>1</v>
      </c>
      <c r="C598" s="310">
        <v>1</v>
      </c>
    </row>
    <row r="599" spans="1:3" x14ac:dyDescent="0.2">
      <c r="A599" s="310" t="s">
        <v>5132</v>
      </c>
      <c r="B599" s="310">
        <f>IF(ISBLANK(NeoDataInfB!$D$12),"",NeoDataInfB!$D$12)</f>
        <v>1</v>
      </c>
      <c r="C599" s="310">
        <v>1</v>
      </c>
    </row>
    <row r="600" spans="1:3" x14ac:dyDescent="0.2">
      <c r="A600" s="310" t="s">
        <v>4837</v>
      </c>
      <c r="B600">
        <f>IF(ISBLANK(NeoDataInfB!$D$13),"",NeoDataInfB!$D$13)</f>
        <v>0</v>
      </c>
      <c r="C600" s="312">
        <v>0</v>
      </c>
    </row>
    <row r="601" spans="1:3" x14ac:dyDescent="0.2">
      <c r="A601" s="310" t="s">
        <v>4838</v>
      </c>
      <c r="B601">
        <f>IF(ISBLANK(NeoDataInfB!$D$14),"",NeoDataInfB!$D$14)</f>
        <v>0</v>
      </c>
      <c r="C601" s="312">
        <v>0</v>
      </c>
    </row>
    <row r="602" spans="1:3" x14ac:dyDescent="0.2">
      <c r="A602" s="310" t="s">
        <v>4839</v>
      </c>
      <c r="B602" s="310">
        <f>IF(ISBLANK(NeoDataInfB!$D$15),"",NeoDataInfB!$D$15)</f>
        <v>0</v>
      </c>
      <c r="C602" s="312">
        <v>0</v>
      </c>
    </row>
    <row r="603" spans="1:3" x14ac:dyDescent="0.2">
      <c r="A603" s="310" t="s">
        <v>4840</v>
      </c>
      <c r="B603">
        <f>IF(ISBLANK(NeoDataInfB!$D$16),"",NeoDataInfB!$D$16)</f>
        <v>0</v>
      </c>
      <c r="C603" s="312">
        <v>0</v>
      </c>
    </row>
    <row r="604" spans="1:3" x14ac:dyDescent="0.2">
      <c r="A604" s="310" t="s">
        <v>4841</v>
      </c>
      <c r="B604">
        <f>IF(ISBLANK(NeoDataInfB!$D$17),"",NeoDataInfB!$D$17)</f>
        <v>0</v>
      </c>
      <c r="C604" s="312">
        <v>0</v>
      </c>
    </row>
    <row r="605" spans="1:3" x14ac:dyDescent="0.2">
      <c r="A605" s="310" t="s">
        <v>4842</v>
      </c>
      <c r="B605">
        <f>IF(ISBLANK(NeoDataInfB!$D$18),"",NeoDataInfB!$D$18)</f>
        <v>0</v>
      </c>
      <c r="C605" s="312">
        <v>0</v>
      </c>
    </row>
    <row r="606" spans="1:3" x14ac:dyDescent="0.2">
      <c r="A606" s="310" t="s">
        <v>4843</v>
      </c>
      <c r="B606">
        <f>IF(ISBLANK(NeoDataInfB!$D$19),"",NeoDataInfB!$D$19)</f>
        <v>0</v>
      </c>
      <c r="C606" s="312">
        <v>0</v>
      </c>
    </row>
    <row r="607" spans="1:3" x14ac:dyDescent="0.2">
      <c r="A607" s="310" t="s">
        <v>4844</v>
      </c>
      <c r="B607">
        <f>IF(ISBLANK(NeoDataInfB!$D$20),"",NeoDataInfB!$D$20)</f>
        <v>0</v>
      </c>
      <c r="C607" s="312">
        <v>0</v>
      </c>
    </row>
    <row r="608" spans="1:3" x14ac:dyDescent="0.2">
      <c r="A608" s="310" t="s">
        <v>4845</v>
      </c>
      <c r="B608">
        <f>IF(ISBLANK(NeoDataInfB!$D$21),"",NeoDataInfB!$D$21)</f>
        <v>0</v>
      </c>
      <c r="C608" s="312">
        <v>0</v>
      </c>
    </row>
    <row r="609" spans="1:6" x14ac:dyDescent="0.2">
      <c r="A609" s="310" t="s">
        <v>4846</v>
      </c>
      <c r="B609" s="310">
        <f>IF(ISBLANK(NeoDataInfB!$D$22),"",NeoDataInfB!$D$22)</f>
        <v>0</v>
      </c>
      <c r="C609" s="312">
        <v>0</v>
      </c>
    </row>
    <row r="610" spans="1:6" x14ac:dyDescent="0.2">
      <c r="A610" s="310" t="s">
        <v>4350</v>
      </c>
      <c r="B610" t="str">
        <f>IF(ISBLANK(NeoDataInfB!$D$23),"",NeoDataInfB!$D$23)</f>
        <v/>
      </c>
      <c r="C610" s="130" t="s">
        <v>4006</v>
      </c>
    </row>
    <row r="611" spans="1:6" x14ac:dyDescent="0.2">
      <c r="A611" s="310" t="s">
        <v>4351</v>
      </c>
      <c r="B611" t="str">
        <f>IF(ISBLANK(NeoDataInfB!$D$24),"",NeoDataInfB!$D$24)</f>
        <v/>
      </c>
      <c r="C611" s="130" t="s">
        <v>4006</v>
      </c>
    </row>
    <row r="612" spans="1:6" x14ac:dyDescent="0.2">
      <c r="A612" s="310" t="s">
        <v>4847</v>
      </c>
      <c r="B612">
        <f>IF(ISBLANK(NeoDataInfB!$D$25),"",NeoDataInfB!$D$25)</f>
        <v>0</v>
      </c>
      <c r="C612" s="312">
        <v>0</v>
      </c>
      <c r="F612" s="310"/>
    </row>
    <row r="613" spans="1:6" x14ac:dyDescent="0.2">
      <c r="A613" s="310" t="s">
        <v>4848</v>
      </c>
      <c r="B613">
        <f>IF(ISBLANK(NeoDataInfB!$D$26),"",NeoDataInfB!$D$26)</f>
        <v>0</v>
      </c>
      <c r="C613" s="312">
        <v>0</v>
      </c>
    </row>
    <row r="614" spans="1:6" x14ac:dyDescent="0.2">
      <c r="A614" s="310" t="s">
        <v>4849</v>
      </c>
      <c r="B614">
        <f>IF(ISBLANK(NeoDataInfB!$D$27),"",NeoDataInfB!$D$27)</f>
        <v>0</v>
      </c>
      <c r="C614" s="312">
        <v>0</v>
      </c>
    </row>
    <row r="615" spans="1:6" x14ac:dyDescent="0.2">
      <c r="A615" s="310" t="s">
        <v>4850</v>
      </c>
      <c r="B615">
        <f>IF(ISBLANK(NeoDataInfB!$D$28),"",NeoDataInfB!$D$28)</f>
        <v>0</v>
      </c>
      <c r="C615" s="312">
        <v>0</v>
      </c>
    </row>
    <row r="616" spans="1:6" x14ac:dyDescent="0.2">
      <c r="A616" s="310" t="s">
        <v>4851</v>
      </c>
      <c r="B616">
        <f>IF(ISBLANK(NeoDataInfB!$D$29),"",NeoDataInfB!$D$29)</f>
        <v>0</v>
      </c>
      <c r="C616" s="312">
        <v>0</v>
      </c>
    </row>
    <row r="617" spans="1:6" x14ac:dyDescent="0.2">
      <c r="A617" s="310" t="s">
        <v>4852</v>
      </c>
      <c r="B617">
        <f>IF(ISBLANK(NeoDataInfB!$D$30),"",NeoDataInfB!$D$30)</f>
        <v>0</v>
      </c>
      <c r="C617" s="312">
        <v>0</v>
      </c>
    </row>
    <row r="618" spans="1:6" x14ac:dyDescent="0.2">
      <c r="A618" s="310" t="s">
        <v>4853</v>
      </c>
      <c r="B618">
        <f>IF(ISBLANK(NeoDataInfB!$D$31),"",NeoDataInfB!$D$31)</f>
        <v>0</v>
      </c>
      <c r="C618" s="312">
        <v>0</v>
      </c>
    </row>
    <row r="619" spans="1:6" x14ac:dyDescent="0.2">
      <c r="A619" s="310" t="s">
        <v>4854</v>
      </c>
      <c r="B619">
        <f>IF(ISBLANK(NeoDataInfB!$D$32),"",NeoDataInfB!$D$32)</f>
        <v>0</v>
      </c>
      <c r="C619" s="312">
        <v>0</v>
      </c>
    </row>
    <row r="620" spans="1:6" x14ac:dyDescent="0.2">
      <c r="A620" s="310" t="s">
        <v>4855</v>
      </c>
      <c r="B620">
        <f>IF(ISBLANK(NeoDataInfB!$D$33),"",NeoDataInfB!$D$33)</f>
        <v>0</v>
      </c>
      <c r="C620" s="312">
        <v>0</v>
      </c>
    </row>
    <row r="621" spans="1:6" x14ac:dyDescent="0.2">
      <c r="A621" s="310" t="s">
        <v>4856</v>
      </c>
      <c r="B621" s="310">
        <f>IF(ISBLANK(NeoDataInfB!$D$34),"",NeoDataInfB!$D$34)</f>
        <v>0</v>
      </c>
      <c r="C621" s="312">
        <v>0</v>
      </c>
    </row>
    <row r="622" spans="1:6" x14ac:dyDescent="0.2">
      <c r="A622" s="310" t="s">
        <v>4352</v>
      </c>
      <c r="B622">
        <f>IF(ISBLANK(NeoDataInfB!$D$35),"",NeoDataInfB!$D$35)</f>
        <v>1</v>
      </c>
      <c r="C622" s="17">
        <v>1</v>
      </c>
      <c r="F622" s="310"/>
    </row>
    <row r="623" spans="1:6" x14ac:dyDescent="0.2">
      <c r="A623" s="310" t="s">
        <v>4353</v>
      </c>
      <c r="B623">
        <f>IF(ISBLANK(NeoDataInfB!$D$36),"",NeoDataInfB!$D$36)</f>
        <v>1</v>
      </c>
      <c r="C623" s="17">
        <v>1</v>
      </c>
      <c r="F623" s="310"/>
    </row>
    <row r="624" spans="1:6" x14ac:dyDescent="0.2">
      <c r="A624" s="310" t="s">
        <v>4354</v>
      </c>
      <c r="B624">
        <f>IF(ISBLANK(NeoDataInfB!$D$37),"",NeoDataInfB!$D$37)</f>
        <v>1</v>
      </c>
      <c r="C624" s="17">
        <v>1</v>
      </c>
      <c r="F624" s="310"/>
    </row>
    <row r="625" spans="1:6" x14ac:dyDescent="0.2">
      <c r="A625" s="310" t="s">
        <v>4355</v>
      </c>
      <c r="B625">
        <f>IF(ISBLANK(NeoDataInfB!$D$38),"",NeoDataInfB!$D$38)</f>
        <v>1</v>
      </c>
      <c r="C625" s="17">
        <v>1</v>
      </c>
      <c r="F625" s="310"/>
    </row>
    <row r="626" spans="1:6" x14ac:dyDescent="0.2">
      <c r="A626" s="310" t="s">
        <v>4356</v>
      </c>
      <c r="B626">
        <f>IF(ISBLANK(NeoDataInfB!$D$39),"",NeoDataInfB!$D$39)</f>
        <v>1</v>
      </c>
      <c r="C626" s="17">
        <v>1</v>
      </c>
      <c r="F626" s="310"/>
    </row>
    <row r="627" spans="1:6" x14ac:dyDescent="0.2">
      <c r="A627" s="310" t="s">
        <v>4357</v>
      </c>
      <c r="B627">
        <f>IF(ISBLANK(NeoDataInfB!$D$40),"",NeoDataInfB!$D$40)</f>
        <v>1</v>
      </c>
      <c r="C627" s="17">
        <v>1</v>
      </c>
      <c r="F627" s="310"/>
    </row>
    <row r="628" spans="1:6" x14ac:dyDescent="0.2">
      <c r="A628" s="310" t="s">
        <v>4358</v>
      </c>
      <c r="B628">
        <f>IF(ISBLANK(NeoDataInfB!$D$41),"",NeoDataInfB!$D$41)</f>
        <v>1</v>
      </c>
      <c r="C628" s="17">
        <v>1</v>
      </c>
      <c r="F628" s="310"/>
    </row>
    <row r="629" spans="1:6" x14ac:dyDescent="0.2">
      <c r="A629" s="310" t="s">
        <v>4359</v>
      </c>
      <c r="B629">
        <f>IF(ISBLANK(NeoDataInfB!$D$42),"",NeoDataInfB!$D$42)</f>
        <v>1</v>
      </c>
      <c r="C629" s="17">
        <v>1</v>
      </c>
      <c r="F629" s="310"/>
    </row>
    <row r="630" spans="1:6" x14ac:dyDescent="0.2">
      <c r="A630" s="310" t="s">
        <v>4360</v>
      </c>
      <c r="B630">
        <f>IF(ISBLANK(NeoDataInfB!$D$43),"",NeoDataInfB!$D$43)</f>
        <v>1</v>
      </c>
      <c r="C630" s="17">
        <v>1</v>
      </c>
      <c r="F630" s="310"/>
    </row>
    <row r="631" spans="1:6" x14ac:dyDescent="0.2">
      <c r="A631" s="310" t="s">
        <v>4361</v>
      </c>
      <c r="B631">
        <f>IF(ISBLANK(NeoDataInfB!$D$44),"",NeoDataInfB!$D$44)</f>
        <v>1</v>
      </c>
      <c r="C631" s="17">
        <v>1</v>
      </c>
    </row>
    <row r="632" spans="1:6" x14ac:dyDescent="0.2">
      <c r="A632" s="310" t="s">
        <v>4362</v>
      </c>
      <c r="B632">
        <f>IF(ISBLANK(NeoDataInfB!$D$45),"",NeoDataInfB!$D$45)</f>
        <v>1</v>
      </c>
      <c r="C632" s="17">
        <v>1</v>
      </c>
    </row>
    <row r="633" spans="1:6" x14ac:dyDescent="0.2">
      <c r="A633" s="310" t="s">
        <v>4363</v>
      </c>
      <c r="B633">
        <f>IF(ISBLANK(NeoDataInfB!$D$46),"",NeoDataInfB!$D$46)</f>
        <v>1</v>
      </c>
      <c r="C633" s="17">
        <v>1</v>
      </c>
    </row>
    <row r="634" spans="1:6" x14ac:dyDescent="0.2">
      <c r="A634" s="310" t="s">
        <v>4857</v>
      </c>
      <c r="B634" s="310">
        <f>IF(ISBLANK(NeoDataInfB!$D$47),"",NeoDataInfB!$D$47)</f>
        <v>1</v>
      </c>
      <c r="C634" s="17">
        <v>1</v>
      </c>
    </row>
    <row r="635" spans="1:6" x14ac:dyDescent="0.2">
      <c r="A635" s="310" t="s">
        <v>4364</v>
      </c>
      <c r="B635">
        <f>IF(ISBLANK(NeoDataInfB!$D$48),"",NeoDataInfB!$D$48)</f>
        <v>0</v>
      </c>
      <c r="C635" s="312">
        <v>0</v>
      </c>
    </row>
    <row r="636" spans="1:6" x14ac:dyDescent="0.2">
      <c r="A636" s="310" t="s">
        <v>4365</v>
      </c>
      <c r="B636">
        <f>IF(ISBLANK(NeoDataInfB!$D$49),"",NeoDataInfB!$D$49)</f>
        <v>0</v>
      </c>
      <c r="C636" s="312">
        <v>0</v>
      </c>
    </row>
    <row r="637" spans="1:6" x14ac:dyDescent="0.2">
      <c r="A637" s="310" t="s">
        <v>4366</v>
      </c>
      <c r="B637">
        <f>IF(ISBLANK(NeoDataInfB!$D$50),"",NeoDataInfB!$D$50)</f>
        <v>0</v>
      </c>
      <c r="C637" s="312">
        <v>0</v>
      </c>
    </row>
    <row r="638" spans="1:6" x14ac:dyDescent="0.2">
      <c r="A638" s="310" t="s">
        <v>4367</v>
      </c>
      <c r="B638">
        <f>IF(ISBLANK(NeoDataInfB!$D$51),"",NeoDataInfB!$D$51)</f>
        <v>0</v>
      </c>
      <c r="C638" s="312">
        <v>0</v>
      </c>
    </row>
    <row r="639" spans="1:6" x14ac:dyDescent="0.2">
      <c r="A639" s="310" t="s">
        <v>4368</v>
      </c>
      <c r="B639">
        <f>IF(ISBLANK(NeoDataInfB!$D$52),"",NeoDataInfB!$D$52)</f>
        <v>0</v>
      </c>
      <c r="C639" s="312">
        <v>0</v>
      </c>
    </row>
    <row r="640" spans="1:6" x14ac:dyDescent="0.2">
      <c r="A640" s="310" t="s">
        <v>4369</v>
      </c>
      <c r="B640">
        <f>IF(ISBLANK(NeoDataInfB!$D$53),"",NeoDataInfB!$D$53)</f>
        <v>0</v>
      </c>
      <c r="C640" s="312">
        <v>0</v>
      </c>
    </row>
    <row r="641" spans="1:3" x14ac:dyDescent="0.2">
      <c r="A641" s="310" t="s">
        <v>4370</v>
      </c>
      <c r="B641">
        <f>IF(ISBLANK(NeoDataInfB!$D$54),"",NeoDataInfB!$D$54)</f>
        <v>0</v>
      </c>
      <c r="C641" s="312">
        <v>0</v>
      </c>
    </row>
    <row r="642" spans="1:3" x14ac:dyDescent="0.2">
      <c r="A642" s="310" t="s">
        <v>4371</v>
      </c>
      <c r="B642">
        <f>IF(ISBLANK(NeoDataInfB!$D$55),"",NeoDataInfB!$D$55)</f>
        <v>0</v>
      </c>
      <c r="C642" s="312">
        <v>0</v>
      </c>
    </row>
    <row r="643" spans="1:3" x14ac:dyDescent="0.2">
      <c r="A643" s="310" t="s">
        <v>4372</v>
      </c>
      <c r="B643" s="17">
        <f>IF(ISBLANK(NeoDataInfB!$D$56),"",NeoDataInfB!$D$56)</f>
        <v>0</v>
      </c>
      <c r="C643" s="312">
        <v>0</v>
      </c>
    </row>
    <row r="644" spans="1:3" x14ac:dyDescent="0.2">
      <c r="A644" s="310" t="s">
        <v>4373</v>
      </c>
      <c r="B644">
        <f>IF(ISBLANK(NeoDataInfB!$D$57),"",NeoDataInfB!$D$57)</f>
        <v>0</v>
      </c>
      <c r="C644" s="312">
        <v>0</v>
      </c>
    </row>
    <row r="645" spans="1:3" x14ac:dyDescent="0.2">
      <c r="A645" s="310" t="s">
        <v>4374</v>
      </c>
      <c r="B645">
        <f>IF(ISBLANK(NeoDataInfB!$D$58),"",NeoDataInfB!$D$58)</f>
        <v>0</v>
      </c>
      <c r="C645" s="312">
        <v>0</v>
      </c>
    </row>
    <row r="646" spans="1:3" x14ac:dyDescent="0.2">
      <c r="A646" s="310" t="s">
        <v>4375</v>
      </c>
      <c r="B646">
        <f>IF(ISBLANK(NeoDataInfB!$D$59),"",NeoDataInfB!$D$59)</f>
        <v>0</v>
      </c>
      <c r="C646" s="312">
        <v>0</v>
      </c>
    </row>
    <row r="647" spans="1:3" x14ac:dyDescent="0.2">
      <c r="A647" s="310" t="s">
        <v>4858</v>
      </c>
      <c r="B647" s="310">
        <f>IF(ISBLANK(NeoDataInfB!$D$60),"",NeoDataInfB!$D$60)</f>
        <v>0</v>
      </c>
      <c r="C647" s="312">
        <v>0</v>
      </c>
    </row>
    <row r="648" spans="1:3" x14ac:dyDescent="0.2">
      <c r="A648" s="310" t="s">
        <v>4376</v>
      </c>
      <c r="B648" t="b">
        <f>IF(ISBLANK(NeoDataInfB!$D$61),"",NeoDataInfB!$D$61)</f>
        <v>0</v>
      </c>
      <c r="C648" s="17" t="b">
        <v>0</v>
      </c>
    </row>
    <row r="649" spans="1:3" x14ac:dyDescent="0.2">
      <c r="A649" s="310" t="s">
        <v>4377</v>
      </c>
      <c r="B649" t="b">
        <f>IF(ISBLANK(NeoDataInfB!$D$62),"",NeoDataInfB!$D$62)</f>
        <v>0</v>
      </c>
      <c r="C649" s="17" t="b">
        <v>0</v>
      </c>
    </row>
    <row r="650" spans="1:3" x14ac:dyDescent="0.2">
      <c r="A650" s="310" t="s">
        <v>4378</v>
      </c>
      <c r="B650" t="b">
        <f>IF(ISBLANK(NeoDataInfB!$D$63),"",NeoDataInfB!$D$63)</f>
        <v>0</v>
      </c>
      <c r="C650" s="17" t="b">
        <v>0</v>
      </c>
    </row>
    <row r="651" spans="1:3" x14ac:dyDescent="0.2">
      <c r="A651" s="310" t="s">
        <v>4379</v>
      </c>
      <c r="B651" t="b">
        <f>IF(ISBLANK(NeoDataInfB!$D$64),"",NeoDataInfB!$D$64)</f>
        <v>0</v>
      </c>
      <c r="C651" s="17" t="b">
        <v>0</v>
      </c>
    </row>
    <row r="652" spans="1:3" x14ac:dyDescent="0.2">
      <c r="A652" s="310" t="s">
        <v>4380</v>
      </c>
      <c r="B652" t="b">
        <f>IF(ISBLANK(NeoDataInfB!$D$65),"",NeoDataInfB!$D$65)</f>
        <v>0</v>
      </c>
      <c r="C652" s="17" t="b">
        <v>0</v>
      </c>
    </row>
    <row r="653" spans="1:3" x14ac:dyDescent="0.2">
      <c r="A653" s="310" t="s">
        <v>4381</v>
      </c>
      <c r="B653" t="b">
        <f>IF(ISBLANK(NeoDataInfB!$D$66),"",NeoDataInfB!$D$66)</f>
        <v>0</v>
      </c>
      <c r="C653" s="17" t="b">
        <v>0</v>
      </c>
    </row>
    <row r="654" spans="1:3" x14ac:dyDescent="0.2">
      <c r="A654" s="310" t="s">
        <v>4382</v>
      </c>
      <c r="B654" t="b">
        <f>IF(ISBLANK(NeoDataInfB!$D$67),"",NeoDataInfB!$D$67)</f>
        <v>0</v>
      </c>
      <c r="C654" s="17" t="b">
        <v>0</v>
      </c>
    </row>
    <row r="655" spans="1:3" x14ac:dyDescent="0.2">
      <c r="A655" s="310" t="s">
        <v>4383</v>
      </c>
      <c r="B655" t="b">
        <f>IF(ISBLANK(NeoDataInfB!$D$68),"",NeoDataInfB!$D$68)</f>
        <v>0</v>
      </c>
      <c r="C655" s="17" t="b">
        <v>0</v>
      </c>
    </row>
    <row r="656" spans="1:3" x14ac:dyDescent="0.2">
      <c r="A656" s="310" t="s">
        <v>4384</v>
      </c>
      <c r="B656" t="b">
        <f>IF(ISBLANK(NeoDataInfB!$D$69),"",NeoDataInfB!$D$69)</f>
        <v>0</v>
      </c>
      <c r="C656" s="17" t="b">
        <v>0</v>
      </c>
    </row>
    <row r="657" spans="1:3" x14ac:dyDescent="0.2">
      <c r="A657" s="310" t="s">
        <v>4385</v>
      </c>
      <c r="B657" t="b">
        <f>IF(ISBLANK(NeoDataInfB!$D$70),"",NeoDataInfB!$D$70)</f>
        <v>0</v>
      </c>
      <c r="C657" s="17" t="b">
        <v>0</v>
      </c>
    </row>
    <row r="658" spans="1:3" x14ac:dyDescent="0.2">
      <c r="A658" s="310" t="s">
        <v>4386</v>
      </c>
      <c r="B658" t="b">
        <f>IF(ISBLANK(NeoDataInfB!$D$71),"",NeoDataInfB!$D$71)</f>
        <v>0</v>
      </c>
      <c r="C658" s="310" t="b">
        <v>0</v>
      </c>
    </row>
    <row r="659" spans="1:3" x14ac:dyDescent="0.2">
      <c r="A659" s="310" t="s">
        <v>4387</v>
      </c>
      <c r="B659" t="b">
        <f>IF(ISBLANK(NeoDataInfB!$D$72),"",NeoDataInfB!$D$72)</f>
        <v>0</v>
      </c>
      <c r="C659" s="310" t="b">
        <v>0</v>
      </c>
    </row>
    <row r="660" spans="1:3" x14ac:dyDescent="0.2">
      <c r="A660" s="310" t="s">
        <v>4388</v>
      </c>
      <c r="B660" t="b">
        <f>IF(ISBLANK(NeoDataInfB!$D$73),"",NeoDataInfB!$D$73)</f>
        <v>0</v>
      </c>
      <c r="C660" s="310" t="b">
        <v>0</v>
      </c>
    </row>
    <row r="661" spans="1:3" x14ac:dyDescent="0.2">
      <c r="A661" s="310" t="s">
        <v>4389</v>
      </c>
      <c r="B661" t="b">
        <f>IF(ISBLANK(NeoDataInfB!$D$74),"",NeoDataInfB!$D$74)</f>
        <v>0</v>
      </c>
      <c r="C661" s="310" t="b">
        <v>0</v>
      </c>
    </row>
    <row r="662" spans="1:3" s="310" customFormat="1" x14ac:dyDescent="0.2">
      <c r="A662" s="311" t="s">
        <v>5134</v>
      </c>
      <c r="B662" s="310">
        <f>IF(ISBLANK(NeoDataInfB!$D$75),"",NeoDataInfB!$D$75)</f>
        <v>2</v>
      </c>
      <c r="C662" s="310">
        <v>2</v>
      </c>
    </row>
    <row r="663" spans="1:3" x14ac:dyDescent="0.2">
      <c r="A663" s="310" t="s">
        <v>4390</v>
      </c>
      <c r="B663">
        <f>IF(ISBLANK(NeoDataInfB!$D$76),"",NeoDataInfB!$D$76)</f>
        <v>0</v>
      </c>
      <c r="C663" s="17">
        <v>0</v>
      </c>
    </row>
    <row r="664" spans="1:3" x14ac:dyDescent="0.2">
      <c r="A664" s="310" t="s">
        <v>4391</v>
      </c>
      <c r="B664">
        <f>IF(ISBLANK(NeoDataInfB!$D$77),"",NeoDataInfB!$D$77)</f>
        <v>0</v>
      </c>
      <c r="C664" s="17">
        <v>0</v>
      </c>
    </row>
    <row r="665" spans="1:3" x14ac:dyDescent="0.2">
      <c r="A665" s="310" t="s">
        <v>4392</v>
      </c>
      <c r="B665">
        <f>IF(ISBLANK(NeoDataInfB!$D$78),"",NeoDataInfB!$D$78)</f>
        <v>0</v>
      </c>
      <c r="C665" s="312">
        <v>0</v>
      </c>
    </row>
    <row r="666" spans="1:3" x14ac:dyDescent="0.2">
      <c r="A666" s="310" t="s">
        <v>4393</v>
      </c>
      <c r="B666">
        <f>IF(ISBLANK(NeoDataInfB!$D$79),"",NeoDataInfB!$D$79)</f>
        <v>0</v>
      </c>
      <c r="C666" s="312">
        <v>0</v>
      </c>
    </row>
    <row r="667" spans="1:3" x14ac:dyDescent="0.2">
      <c r="A667" s="310" t="s">
        <v>4394</v>
      </c>
      <c r="B667">
        <f>IF(ISBLANK(NeoDataInfB!$D$80),"",NeoDataInfB!$D$80)</f>
        <v>1</v>
      </c>
      <c r="C667" s="17">
        <v>1</v>
      </c>
    </row>
    <row r="668" spans="1:3" x14ac:dyDescent="0.2">
      <c r="A668" s="310" t="s">
        <v>4395</v>
      </c>
      <c r="B668">
        <f>IF(ISBLANK(NeoDataInfB!$D$81),"",NeoDataInfB!$D$81)</f>
        <v>1</v>
      </c>
      <c r="C668" s="17">
        <v>1</v>
      </c>
    </row>
    <row r="669" spans="1:3" x14ac:dyDescent="0.2">
      <c r="A669" s="310" t="s">
        <v>4396</v>
      </c>
      <c r="B669">
        <f>IF(ISBLANK(NeoDataInfB!$D$82),"",NeoDataInfB!$D$82)</f>
        <v>1</v>
      </c>
      <c r="C669" s="17">
        <v>1</v>
      </c>
    </row>
    <row r="670" spans="1:3" x14ac:dyDescent="0.2">
      <c r="A670" s="310" t="s">
        <v>4397</v>
      </c>
      <c r="B670">
        <f>IF(ISBLANK(NeoDataInfB!$D$83),"",NeoDataInfB!$D$83)</f>
        <v>1</v>
      </c>
      <c r="C670" s="17">
        <v>1</v>
      </c>
    </row>
    <row r="671" spans="1:3" x14ac:dyDescent="0.2">
      <c r="A671" s="310" t="s">
        <v>4398</v>
      </c>
      <c r="B671">
        <f>IF(ISBLANK(NeoDataInfB!$D$84),"",NeoDataInfB!$D$84)</f>
        <v>1</v>
      </c>
      <c r="C671" s="17">
        <v>1</v>
      </c>
    </row>
    <row r="672" spans="1:3" x14ac:dyDescent="0.2">
      <c r="A672" s="310" t="s">
        <v>4399</v>
      </c>
      <c r="B672">
        <f>IF(ISBLANK(NeoDataInfB!$D$85),"",NeoDataInfB!$D$85)</f>
        <v>1</v>
      </c>
      <c r="C672" s="17">
        <v>1</v>
      </c>
    </row>
    <row r="673" spans="1:3" x14ac:dyDescent="0.2">
      <c r="A673" s="310" t="s">
        <v>4400</v>
      </c>
      <c r="B673">
        <f>IF(ISBLANK(NeoDataInfB!$D$86),"",NeoDataInfB!$D$86)</f>
        <v>1</v>
      </c>
      <c r="C673" s="17">
        <v>1</v>
      </c>
    </row>
    <row r="674" spans="1:3" x14ac:dyDescent="0.2">
      <c r="A674" s="310" t="s">
        <v>4401</v>
      </c>
      <c r="B674">
        <f>IF(ISBLANK(NeoDataInfB!$D$87),"",NeoDataInfB!$D$87)</f>
        <v>1</v>
      </c>
      <c r="C674" s="17">
        <v>1</v>
      </c>
    </row>
    <row r="675" spans="1:3" x14ac:dyDescent="0.2">
      <c r="A675" s="310" t="s">
        <v>4402</v>
      </c>
      <c r="B675">
        <f>IF(ISBLANK(NeoDataInfB!$D$88),"",NeoDataInfB!$D$88)</f>
        <v>1</v>
      </c>
      <c r="C675" s="17">
        <v>1</v>
      </c>
    </row>
    <row r="676" spans="1:3" x14ac:dyDescent="0.2">
      <c r="A676" s="310" t="s">
        <v>4403</v>
      </c>
      <c r="B676">
        <f>IF(ISBLANK(NeoDataInfB!$D$89),"",NeoDataInfB!$D$89)</f>
        <v>1</v>
      </c>
      <c r="C676" s="17">
        <v>1</v>
      </c>
    </row>
    <row r="677" spans="1:3" x14ac:dyDescent="0.2">
      <c r="A677" s="310" t="s">
        <v>4404</v>
      </c>
      <c r="B677">
        <f>IF(ISBLANK(NeoDataInfB!$D$90),"",NeoDataInfB!$D$90)</f>
        <v>1</v>
      </c>
      <c r="C677" s="17">
        <v>1</v>
      </c>
    </row>
    <row r="678" spans="1:3" s="310" customFormat="1" x14ac:dyDescent="0.2">
      <c r="A678" s="310" t="s">
        <v>4405</v>
      </c>
      <c r="B678">
        <f>IF(ISBLANK(NeoDataInfB!$D$91),"",NeoDataInfB!$D$91)</f>
        <v>1</v>
      </c>
      <c r="C678" s="17">
        <v>1</v>
      </c>
    </row>
    <row r="679" spans="1:3" x14ac:dyDescent="0.2">
      <c r="A679" s="310" t="s">
        <v>4406</v>
      </c>
      <c r="B679">
        <f>IF(ISBLANK(NeoDataInfB!$D$92),"",NeoDataInfB!$D$92)</f>
        <v>1</v>
      </c>
      <c r="C679" s="17">
        <v>1</v>
      </c>
    </row>
    <row r="680" spans="1:3" x14ac:dyDescent="0.2">
      <c r="A680" s="310" t="s">
        <v>4407</v>
      </c>
      <c r="B680">
        <f>IF(ISBLANK(NeoDataInfB!$D$93),"",NeoDataInfB!$D$93)</f>
        <v>1</v>
      </c>
      <c r="C680" s="17">
        <v>1</v>
      </c>
    </row>
    <row r="681" spans="1:3" x14ac:dyDescent="0.2">
      <c r="A681" s="310" t="s">
        <v>4408</v>
      </c>
      <c r="B681">
        <f>IF(ISBLANK(NeoDataInfB!$D$94),"",NeoDataInfB!$D$94)</f>
        <v>1</v>
      </c>
      <c r="C681" s="17">
        <v>1</v>
      </c>
    </row>
    <row r="682" spans="1:3" x14ac:dyDescent="0.2">
      <c r="A682" s="310" t="s">
        <v>4409</v>
      </c>
      <c r="B682">
        <f>IF(ISBLANK(NeoDataInfB!$D$95),"",NeoDataInfB!$D$95)</f>
        <v>1</v>
      </c>
      <c r="C682" s="17">
        <v>1</v>
      </c>
    </row>
    <row r="683" spans="1:3" x14ac:dyDescent="0.2">
      <c r="A683" s="310" t="s">
        <v>4410</v>
      </c>
      <c r="B683">
        <f>IF(ISBLANK(NeoDataInfB!$D$96),"",NeoDataInfB!$D$96)</f>
        <v>1</v>
      </c>
      <c r="C683" s="17">
        <v>1</v>
      </c>
    </row>
    <row r="684" spans="1:3" x14ac:dyDescent="0.2">
      <c r="A684" s="310" t="s">
        <v>4411</v>
      </c>
      <c r="B684" s="310">
        <f>IF(ISBLANK(NeoDataInfB!$D$97),"",NeoDataInfB!$D$97)</f>
        <v>1</v>
      </c>
      <c r="C684" s="310">
        <v>1</v>
      </c>
    </row>
    <row r="685" spans="1:3" x14ac:dyDescent="0.2">
      <c r="A685" s="310" t="s">
        <v>4412</v>
      </c>
      <c r="B685">
        <f>IF(ISBLANK(NeoDataInfB!$D$98),"",NeoDataInfB!$D$98)</f>
        <v>5000</v>
      </c>
      <c r="C685" s="310">
        <v>5000</v>
      </c>
    </row>
    <row r="686" spans="1:3" x14ac:dyDescent="0.2">
      <c r="A686" s="310" t="s">
        <v>4413</v>
      </c>
      <c r="B686">
        <f>IF(ISBLANK(NeoDataInfB!$D$99),"",NeoDataInfB!$D$99)</f>
        <v>1</v>
      </c>
      <c r="C686" s="310">
        <v>1</v>
      </c>
    </row>
    <row r="687" spans="1:3" x14ac:dyDescent="0.2">
      <c r="A687" s="310" t="s">
        <v>4414</v>
      </c>
      <c r="B687">
        <f>IF(ISBLANK(NeoDataInfB!$D$100),"",NeoDataInfB!$D$100)</f>
        <v>2</v>
      </c>
      <c r="C687" s="310">
        <v>2</v>
      </c>
    </row>
    <row r="688" spans="1:3" x14ac:dyDescent="0.2">
      <c r="A688" s="310" t="s">
        <v>4415</v>
      </c>
      <c r="B688">
        <f>IF(ISBLANK(NeoDataInfB!$D$101),"",NeoDataInfB!$D$101)</f>
        <v>2</v>
      </c>
      <c r="C688" s="310">
        <v>2</v>
      </c>
    </row>
    <row r="689" spans="1:3" x14ac:dyDescent="0.2">
      <c r="A689" s="310" t="s">
        <v>4416</v>
      </c>
      <c r="B689">
        <f>IF(ISBLANK(NeoDataInfB!$D$102),"",NeoDataInfB!$D$102)</f>
        <v>5000</v>
      </c>
      <c r="C689" s="310">
        <v>5000</v>
      </c>
    </row>
    <row r="690" spans="1:3" x14ac:dyDescent="0.2">
      <c r="A690" s="310" t="s">
        <v>4417</v>
      </c>
      <c r="B690">
        <f>IF(ISBLANK(NeoDataInfB!$D$103),"",NeoDataInfB!$D$103)</f>
        <v>5000</v>
      </c>
      <c r="C690" s="310">
        <v>5000</v>
      </c>
    </row>
    <row r="691" spans="1:3" x14ac:dyDescent="0.2">
      <c r="A691" s="310" t="s">
        <v>4418</v>
      </c>
      <c r="B691">
        <f>IF(ISBLANK(NeoDataInfB!$D$104),"",NeoDataInfB!$D$104)</f>
        <v>1</v>
      </c>
      <c r="C691" s="310">
        <v>1</v>
      </c>
    </row>
    <row r="692" spans="1:3" x14ac:dyDescent="0.2">
      <c r="A692" s="310" t="s">
        <v>4419</v>
      </c>
      <c r="B692">
        <f>IF(ISBLANK(NeoDataInfB!$D$105),"",NeoDataInfB!$D$105)</f>
        <v>5000</v>
      </c>
      <c r="C692" s="310">
        <v>5000</v>
      </c>
    </row>
    <row r="693" spans="1:3" x14ac:dyDescent="0.2">
      <c r="A693" s="310" t="s">
        <v>4420</v>
      </c>
      <c r="B693">
        <f>IF(ISBLANK(NeoDataInfB!$D$106),"",NeoDataInfB!$D$106)</f>
        <v>5000</v>
      </c>
      <c r="C693" s="310">
        <v>5000</v>
      </c>
    </row>
    <row r="694" spans="1:3" x14ac:dyDescent="0.2">
      <c r="A694" s="310" t="s">
        <v>4421</v>
      </c>
      <c r="B694">
        <f>IF(ISBLANK(NeoDataInfB!$D$107),"",NeoDataInfB!$D$107)</f>
        <v>5000</v>
      </c>
      <c r="C694" s="310">
        <v>5000</v>
      </c>
    </row>
    <row r="695" spans="1:3" x14ac:dyDescent="0.2">
      <c r="A695" s="310" t="s">
        <v>4422</v>
      </c>
      <c r="B695">
        <f>IF(ISBLANK(NeoDataInfB!$D$108),"",NeoDataInfB!$D$108)</f>
        <v>5000</v>
      </c>
      <c r="C695" s="310">
        <v>5000</v>
      </c>
    </row>
    <row r="696" spans="1:3" x14ac:dyDescent="0.2">
      <c r="A696" s="310" t="s">
        <v>4423</v>
      </c>
      <c r="B696" t="b">
        <f>IF(ISBLANK(NeoDataInfB!$D$109),"",NeoDataInfB!$D$109)</f>
        <v>0</v>
      </c>
      <c r="C696" s="310" t="b">
        <v>0</v>
      </c>
    </row>
    <row r="697" spans="1:3" x14ac:dyDescent="0.2">
      <c r="A697" s="310" t="s">
        <v>4424</v>
      </c>
      <c r="B697">
        <f>IF(ISBLANK(NeoDataInfB!$D$110),"",NeoDataInfB!$D$110)</f>
        <v>5000</v>
      </c>
      <c r="C697" s="310">
        <v>5000</v>
      </c>
    </row>
    <row r="698" spans="1:3" x14ac:dyDescent="0.2">
      <c r="A698" s="310" t="s">
        <v>4425</v>
      </c>
      <c r="B698">
        <f>IF(ISBLANK(NeoDataInfB!$D$111),"",NeoDataInfB!$D$111)</f>
        <v>5000</v>
      </c>
      <c r="C698" s="310">
        <v>5000</v>
      </c>
    </row>
    <row r="699" spans="1:3" x14ac:dyDescent="0.2">
      <c r="A699" s="310" t="s">
        <v>4426</v>
      </c>
      <c r="B699">
        <f>IF(ISBLANK(NeoDataInfB!$D$112),"",NeoDataInfB!$D$112)</f>
        <v>5000</v>
      </c>
      <c r="C699" s="310">
        <v>5000</v>
      </c>
    </row>
    <row r="700" spans="1:3" x14ac:dyDescent="0.2">
      <c r="A700" s="310" t="s">
        <v>1768</v>
      </c>
      <c r="B700" t="b">
        <f>IF(ISBLANK(NeoBerAfspr!$B$22),"",NeoBerAfspr!$B$22)</f>
        <v>0</v>
      </c>
      <c r="C700" t="b">
        <v>0</v>
      </c>
    </row>
    <row r="701" spans="1:3" x14ac:dyDescent="0.2">
      <c r="A701" s="310" t="s">
        <v>1769</v>
      </c>
      <c r="B701" t="b">
        <f>IF(ISBLANK(NeoBerAfspr!$D$11),"",NeoBerAfspr!$D$11)</f>
        <v>0</v>
      </c>
      <c r="C701" s="310" t="b">
        <v>0</v>
      </c>
    </row>
    <row r="702" spans="1:3" x14ac:dyDescent="0.2">
      <c r="A702" s="310" t="s">
        <v>1770</v>
      </c>
      <c r="B702" t="b">
        <f>IF(ISBLANK(NeoBerAfspr!$D$12),"",NeoBerAfspr!$D$12)</f>
        <v>0</v>
      </c>
      <c r="C702" s="310" t="b">
        <v>0</v>
      </c>
    </row>
    <row r="703" spans="1:3" x14ac:dyDescent="0.2">
      <c r="A703" s="310" t="s">
        <v>1771</v>
      </c>
      <c r="B703" t="b">
        <f>IF(ISBLANK(NeoBerAfspr!$D$13),"",NeoBerAfspr!$D$13)</f>
        <v>0</v>
      </c>
      <c r="C703" s="310" t="b">
        <v>0</v>
      </c>
    </row>
    <row r="704" spans="1:3" x14ac:dyDescent="0.2">
      <c r="A704" s="310" t="s">
        <v>1772</v>
      </c>
      <c r="B704" t="b">
        <f>IF(ISBLANK(NeoBerAfspr!$D$14),"",NeoBerAfspr!$D$14)</f>
        <v>0</v>
      </c>
      <c r="C704" s="310" t="b">
        <v>0</v>
      </c>
    </row>
    <row r="705" spans="1:3" x14ac:dyDescent="0.2">
      <c r="A705" s="310" t="s">
        <v>1773</v>
      </c>
      <c r="B705" t="b">
        <f>IF(ISBLANK(NeoBerAfspr!$F$7),"",NeoBerAfspr!$F$7)</f>
        <v>0</v>
      </c>
      <c r="C705" s="310" t="b">
        <v>0</v>
      </c>
    </row>
    <row r="706" spans="1:3" x14ac:dyDescent="0.2">
      <c r="A706" s="310" t="s">
        <v>1774</v>
      </c>
      <c r="B706" t="b">
        <f>IF(ISBLANK(NeoBerAfspr!$J$7),"",NeoBerAfspr!$J$7)</f>
        <v>0</v>
      </c>
      <c r="C706" s="310" t="b">
        <v>0</v>
      </c>
    </row>
    <row r="707" spans="1:3" x14ac:dyDescent="0.2">
      <c r="A707" s="310" t="s">
        <v>1775</v>
      </c>
      <c r="B707" t="b">
        <f>IF(ISBLANK(NeoBerAfspr!$B$23),"",NeoBerAfspr!$B$23)</f>
        <v>0</v>
      </c>
      <c r="C707" s="310" t="b">
        <v>0</v>
      </c>
    </row>
    <row r="708" spans="1:3" x14ac:dyDescent="0.2">
      <c r="A708" s="310" t="s">
        <v>1776</v>
      </c>
      <c r="B708" t="b">
        <f>IF(ISBLANK(NeoBerAfspr!$B$24),"",NeoBerAfspr!$B$24)</f>
        <v>0</v>
      </c>
      <c r="C708" s="310" t="b">
        <v>0</v>
      </c>
    </row>
    <row r="709" spans="1:3" x14ac:dyDescent="0.2">
      <c r="A709" s="310" t="s">
        <v>1777</v>
      </c>
      <c r="B709" t="b">
        <f>IF(ISBLANK(NeoBerAfspr!$B$25),"",NeoBerAfspr!$B$25)</f>
        <v>0</v>
      </c>
      <c r="C709" s="310" t="b">
        <v>0</v>
      </c>
    </row>
    <row r="710" spans="1:3" x14ac:dyDescent="0.2">
      <c r="A710" s="310" t="s">
        <v>1778</v>
      </c>
      <c r="B710" t="b">
        <f>IF(ISBLANK(NeoBerAfspr!$B$26),"",NeoBerAfspr!$B$26)</f>
        <v>0</v>
      </c>
      <c r="C710" s="310" t="b">
        <v>0</v>
      </c>
    </row>
    <row r="711" spans="1:3" x14ac:dyDescent="0.2">
      <c r="A711" s="310" t="s">
        <v>1779</v>
      </c>
      <c r="B711" t="b">
        <f>IF(ISBLANK(NeoBerAfspr!$H$8),"",NeoBerAfspr!$H$8)</f>
        <v>0</v>
      </c>
      <c r="C711" s="310" t="b">
        <v>0</v>
      </c>
    </row>
    <row r="712" spans="1:3" x14ac:dyDescent="0.2">
      <c r="A712" s="310" t="s">
        <v>1780</v>
      </c>
      <c r="B712" t="b">
        <f>IF(ISBLANK(NeoBerAfspr!$F$8),"",NeoBerAfspr!$F$8)</f>
        <v>0</v>
      </c>
      <c r="C712" s="310" t="b">
        <v>0</v>
      </c>
    </row>
    <row r="713" spans="1:3" x14ac:dyDescent="0.2">
      <c r="A713" s="310" t="s">
        <v>1781</v>
      </c>
      <c r="B713" t="b">
        <f>IF(ISBLANK(NeoBerAfspr!$H$9),"",NeoBerAfspr!$H$9)</f>
        <v>0</v>
      </c>
      <c r="C713" s="310" t="b">
        <v>0</v>
      </c>
    </row>
    <row r="714" spans="1:3" x14ac:dyDescent="0.2">
      <c r="A714" s="310" t="s">
        <v>1782</v>
      </c>
      <c r="B714" t="b">
        <f>IF(ISBLANK(NeoBerAfspr!$H$10),"",NeoBerAfspr!$H$10)</f>
        <v>0</v>
      </c>
      <c r="C714" s="310" t="b">
        <v>0</v>
      </c>
    </row>
    <row r="715" spans="1:3" x14ac:dyDescent="0.2">
      <c r="A715" s="310" t="s">
        <v>1783</v>
      </c>
      <c r="B715" t="b">
        <f>IF(ISBLANK(NeoBerAfspr!$H$11),"",NeoBerAfspr!$H$11)</f>
        <v>0</v>
      </c>
      <c r="C715" s="310" t="b">
        <v>0</v>
      </c>
    </row>
    <row r="716" spans="1:3" s="310" customFormat="1" x14ac:dyDescent="0.2">
      <c r="A716" s="310" t="s">
        <v>1784</v>
      </c>
      <c r="B716" t="b">
        <f>IF(ISBLANK(NeoBerAfspr!$B$7),"",NeoBerAfspr!$B$7)</f>
        <v>0</v>
      </c>
      <c r="C716" s="310" t="b">
        <v>0</v>
      </c>
    </row>
    <row r="717" spans="1:3" x14ac:dyDescent="0.2">
      <c r="A717" s="310" t="s">
        <v>1785</v>
      </c>
      <c r="B717" t="b">
        <f>IF(ISBLANK(NeoBerAfspr!$J$29),"",NeoBerAfspr!$J$29)</f>
        <v>0</v>
      </c>
      <c r="C717" s="310" t="b">
        <v>0</v>
      </c>
    </row>
    <row r="718" spans="1:3" x14ac:dyDescent="0.2">
      <c r="A718" s="310" t="s">
        <v>1786</v>
      </c>
      <c r="B718" t="b">
        <f>IF(ISBLANK(NeoBerAfspr!$J$8),"",NeoBerAfspr!$J$8)</f>
        <v>0</v>
      </c>
      <c r="C718" s="310" t="b">
        <v>0</v>
      </c>
    </row>
    <row r="719" spans="1:3" x14ac:dyDescent="0.2">
      <c r="A719" s="310" t="s">
        <v>1787</v>
      </c>
      <c r="B719" t="b">
        <f>IF(ISBLANK(NeoBerAfspr!$J$9),"",NeoBerAfspr!$J$9)</f>
        <v>0</v>
      </c>
      <c r="C719" s="310" t="b">
        <v>0</v>
      </c>
    </row>
    <row r="720" spans="1:3" x14ac:dyDescent="0.2">
      <c r="A720" s="310" t="s">
        <v>1788</v>
      </c>
      <c r="B720" t="b">
        <f>IF(ISBLANK(NeoBerAfspr!$B$8),"",NeoBerAfspr!$B$8)</f>
        <v>0</v>
      </c>
      <c r="C720" s="310" t="b">
        <v>0</v>
      </c>
    </row>
    <row r="721" spans="1:3" s="310" customFormat="1" x14ac:dyDescent="0.2">
      <c r="A721" s="310" t="s">
        <v>1789</v>
      </c>
      <c r="B721" t="b">
        <f>IF(ISBLANK(NeoBerAfspr!$J$10),"",NeoBerAfspr!$J$10)</f>
        <v>0</v>
      </c>
      <c r="C721" s="310" t="b">
        <v>0</v>
      </c>
    </row>
    <row r="722" spans="1:3" s="310" customFormat="1" x14ac:dyDescent="0.2">
      <c r="A722" s="310" t="s">
        <v>1790</v>
      </c>
      <c r="B722" t="b">
        <f>IF(ISBLANK(NeoBerAfspr!$J$11),"",NeoBerAfspr!$J$11)</f>
        <v>0</v>
      </c>
      <c r="C722" s="310" t="b">
        <v>0</v>
      </c>
    </row>
    <row r="723" spans="1:3" s="310" customFormat="1" x14ac:dyDescent="0.2">
      <c r="A723" s="310" t="s">
        <v>1791</v>
      </c>
      <c r="B723" t="b">
        <f>IF(ISBLANK(NeoBerAfspr!$F$12),"",NeoBerAfspr!$F$12)</f>
        <v>0</v>
      </c>
      <c r="C723" s="310" t="b">
        <v>0</v>
      </c>
    </row>
    <row r="724" spans="1:3" s="310" customFormat="1" x14ac:dyDescent="0.2">
      <c r="A724" s="310" t="s">
        <v>1792</v>
      </c>
      <c r="B724" t="b">
        <f>IF(ISBLANK(NeoBerAfspr!$B$9),"",NeoBerAfspr!$B$9)</f>
        <v>0</v>
      </c>
      <c r="C724" s="310" t="b">
        <v>0</v>
      </c>
    </row>
    <row r="725" spans="1:3" x14ac:dyDescent="0.2">
      <c r="A725" s="310" t="s">
        <v>1793</v>
      </c>
      <c r="B725" t="b">
        <f>IF(ISBLANK(NeoBerAfspr!$B$46),"",NeoBerAfspr!$B$46)</f>
        <v>0</v>
      </c>
      <c r="C725" s="310" t="b">
        <v>0</v>
      </c>
    </row>
    <row r="726" spans="1:3" x14ac:dyDescent="0.2">
      <c r="A726" s="310" t="s">
        <v>1794</v>
      </c>
      <c r="B726" t="b">
        <f>IF(ISBLANK(NeoBerAfspr!$J$12),"",NeoBerAfspr!$J$12)</f>
        <v>0</v>
      </c>
      <c r="C726" s="310" t="b">
        <v>0</v>
      </c>
    </row>
    <row r="727" spans="1:3" x14ac:dyDescent="0.2">
      <c r="A727" s="310" t="s">
        <v>1795</v>
      </c>
      <c r="B727" t="b">
        <f>IF(ISBLANK(NeoBerAfspr!$B$10),"",NeoBerAfspr!$B$10)</f>
        <v>0</v>
      </c>
      <c r="C727" s="310" t="b">
        <v>0</v>
      </c>
    </row>
    <row r="728" spans="1:3" x14ac:dyDescent="0.2">
      <c r="A728" s="310" t="s">
        <v>1796</v>
      </c>
      <c r="B728" t="b">
        <f>IF(ISBLANK(NeoBerAfspr!$B$27),"",NeoBerAfspr!$B$27)</f>
        <v>0</v>
      </c>
      <c r="C728" s="310" t="b">
        <v>0</v>
      </c>
    </row>
    <row r="729" spans="1:3" x14ac:dyDescent="0.2">
      <c r="A729" s="310" t="s">
        <v>1797</v>
      </c>
      <c r="B729" t="b">
        <f>IF(ISBLANK(NeoBerAfspr!$F$13),"",NeoBerAfspr!$F$13)</f>
        <v>0</v>
      </c>
      <c r="C729" s="310" t="b">
        <v>0</v>
      </c>
    </row>
    <row r="730" spans="1:3" x14ac:dyDescent="0.2">
      <c r="A730" s="310" t="s">
        <v>1798</v>
      </c>
      <c r="B730" t="b">
        <f>IF(ISBLANK(NeoBerAfspr!$H$13),"",NeoBerAfspr!$H$13)</f>
        <v>0</v>
      </c>
      <c r="C730" s="310" t="b">
        <v>0</v>
      </c>
    </row>
    <row r="731" spans="1:3" x14ac:dyDescent="0.2">
      <c r="A731" s="310" t="s">
        <v>1799</v>
      </c>
      <c r="B731" t="b">
        <f>IF(ISBLANK(NeoBerAfspr!$B$11),"",NeoBerAfspr!$B$11)</f>
        <v>0</v>
      </c>
      <c r="C731" s="310" t="b">
        <v>0</v>
      </c>
    </row>
    <row r="732" spans="1:3" x14ac:dyDescent="0.2">
      <c r="A732" s="310" t="s">
        <v>1800</v>
      </c>
      <c r="B732" t="b">
        <f>IF(ISBLANK(NeoBerAfspr!$B$15),"",NeoBerAfspr!$B$15)</f>
        <v>0</v>
      </c>
      <c r="C732" s="310" t="b">
        <v>0</v>
      </c>
    </row>
    <row r="733" spans="1:3" x14ac:dyDescent="0.2">
      <c r="A733" s="310" t="s">
        <v>1801</v>
      </c>
      <c r="B733" t="b">
        <f>IF(ISBLANK(NeoBerAfspr!$B$28),"",NeoBerAfspr!$B$28)</f>
        <v>0</v>
      </c>
      <c r="C733" s="310" t="b">
        <v>0</v>
      </c>
    </row>
    <row r="734" spans="1:3" x14ac:dyDescent="0.2">
      <c r="A734" s="310" t="s">
        <v>1802</v>
      </c>
      <c r="B734" t="b">
        <f>IF(ISBLANK(NeoBerAfspr!$B$29),"",NeoBerAfspr!$B$29)</f>
        <v>0</v>
      </c>
      <c r="C734" s="310" t="b">
        <v>0</v>
      </c>
    </row>
    <row r="735" spans="1:3" x14ac:dyDescent="0.2">
      <c r="A735" s="310" t="s">
        <v>1803</v>
      </c>
      <c r="B735" t="b">
        <f>IF(ISBLANK(NeoBerAfspr!$B$30),"",NeoBerAfspr!$B$30)</f>
        <v>0</v>
      </c>
      <c r="C735" s="310" t="b">
        <v>0</v>
      </c>
    </row>
    <row r="736" spans="1:3" x14ac:dyDescent="0.2">
      <c r="A736" s="310" t="s">
        <v>1804</v>
      </c>
      <c r="B736" t="b">
        <f>IF(ISBLANK(NeoBerAfspr!$J$15),"",NeoBerAfspr!$J$15)</f>
        <v>0</v>
      </c>
      <c r="C736" s="310" t="b">
        <v>0</v>
      </c>
    </row>
    <row r="737" spans="1:3" x14ac:dyDescent="0.2">
      <c r="A737" s="310" t="s">
        <v>1805</v>
      </c>
      <c r="B737" t="b">
        <f>IF(ISBLANK(NeoBerAfspr!$J$13),"",NeoBerAfspr!$J$13)</f>
        <v>0</v>
      </c>
      <c r="C737" s="310" t="b">
        <v>0</v>
      </c>
    </row>
    <row r="738" spans="1:3" x14ac:dyDescent="0.2">
      <c r="A738" s="310" t="s">
        <v>1806</v>
      </c>
      <c r="B738" t="b">
        <f>IF(ISBLANK(NeoBerAfspr!$J$14),"",NeoBerAfspr!$J$14)</f>
        <v>0</v>
      </c>
      <c r="C738" s="310" t="b">
        <v>0</v>
      </c>
    </row>
    <row r="739" spans="1:3" x14ac:dyDescent="0.2">
      <c r="A739" s="310" t="s">
        <v>1807</v>
      </c>
      <c r="B739" t="b">
        <f>IF(ISBLANK(NeoBerAfspr!$F$14),"",NeoBerAfspr!$F$14)</f>
        <v>0</v>
      </c>
      <c r="C739" s="310" t="b">
        <v>0</v>
      </c>
    </row>
    <row r="740" spans="1:3" x14ac:dyDescent="0.2">
      <c r="A740" s="310" t="s">
        <v>1808</v>
      </c>
      <c r="B740" t="b">
        <f>IF(ISBLANK(NeoBerAfspr!$H$16),"",NeoBerAfspr!$H$16)</f>
        <v>0</v>
      </c>
      <c r="C740" s="310" t="b">
        <v>0</v>
      </c>
    </row>
    <row r="741" spans="1:3" x14ac:dyDescent="0.2">
      <c r="A741" s="310" t="s">
        <v>1809</v>
      </c>
      <c r="B741" s="310" t="b">
        <f>IF(ISBLANK(NeoBerAfspr!$F$15),"",NeoBerAfspr!$F$15)</f>
        <v>0</v>
      </c>
      <c r="C741" s="310" t="b">
        <v>0</v>
      </c>
    </row>
    <row r="742" spans="1:3" x14ac:dyDescent="0.2">
      <c r="A742" s="310" t="s">
        <v>1810</v>
      </c>
      <c r="B742" s="310" t="b">
        <f>IF(ISBLANK(NeoBerAfspr!$H$15),"",NeoBerAfspr!$H$15)</f>
        <v>0</v>
      </c>
      <c r="C742" s="310" t="b">
        <v>0</v>
      </c>
    </row>
    <row r="743" spans="1:3" x14ac:dyDescent="0.2">
      <c r="A743" s="310" t="s">
        <v>1811</v>
      </c>
      <c r="B743" s="310" t="b">
        <f>IF(ISBLANK(NeoBerAfspr!$J$16),"",NeoBerAfspr!$J$16)</f>
        <v>0</v>
      </c>
      <c r="C743" s="310" t="b">
        <v>0</v>
      </c>
    </row>
    <row r="744" spans="1:3" x14ac:dyDescent="0.2">
      <c r="A744" s="310" t="s">
        <v>1812</v>
      </c>
      <c r="B744" s="310" t="b">
        <f>IF(ISBLANK(NeoBerAfspr!$B$43),"",NeoBerAfspr!$B$43)</f>
        <v>0</v>
      </c>
      <c r="C744" s="310" t="b">
        <v>0</v>
      </c>
    </row>
    <row r="745" spans="1:3" x14ac:dyDescent="0.2">
      <c r="A745" s="310" t="s">
        <v>1813</v>
      </c>
      <c r="B745" s="310" t="b">
        <f>IF(ISBLANK(NeoBerAfspr!$D$43),"",NeoBerAfspr!$D$43)</f>
        <v>0</v>
      </c>
      <c r="C745" s="310" t="b">
        <v>0</v>
      </c>
    </row>
    <row r="746" spans="1:3" s="310" customFormat="1" x14ac:dyDescent="0.2">
      <c r="A746" s="310" t="s">
        <v>1814</v>
      </c>
      <c r="B746" s="310" t="b">
        <f>IF(ISBLANK(NeoBerAfspr!$B$44),"",NeoBerAfspr!$B$44)</f>
        <v>0</v>
      </c>
      <c r="C746" s="310" t="b">
        <v>0</v>
      </c>
    </row>
    <row r="747" spans="1:3" x14ac:dyDescent="0.2">
      <c r="A747" s="310" t="s">
        <v>1815</v>
      </c>
      <c r="B747" s="310" t="b">
        <f>IF(ISBLANK(NeoBerAfspr!$D$44),"",NeoBerAfspr!$D$44)</f>
        <v>0</v>
      </c>
      <c r="C747" s="310" t="b">
        <v>0</v>
      </c>
    </row>
    <row r="748" spans="1:3" x14ac:dyDescent="0.2">
      <c r="A748" s="310" t="s">
        <v>1816</v>
      </c>
      <c r="B748" s="310" t="b">
        <f>IF(ISBLANK(NeoBerAfspr!$B$45),"",NeoBerAfspr!$B$45)</f>
        <v>0</v>
      </c>
      <c r="C748" s="310" t="b">
        <v>0</v>
      </c>
    </row>
    <row r="749" spans="1:3" x14ac:dyDescent="0.2">
      <c r="A749" s="310" t="s">
        <v>1817</v>
      </c>
      <c r="B749" s="310" t="b">
        <f>IF(ISBLANK(NeoBerAfspr!$D$45),"",NeoBerAfspr!$D$45)</f>
        <v>0</v>
      </c>
      <c r="C749" s="310" t="b">
        <v>0</v>
      </c>
    </row>
    <row r="750" spans="1:3" x14ac:dyDescent="0.2">
      <c r="A750" s="310" t="s">
        <v>1818</v>
      </c>
      <c r="B750" s="310" t="b">
        <f>IF(ISBLANK(NeoBerAfspr!$J$17),"",NeoBerAfspr!$J$17)</f>
        <v>0</v>
      </c>
      <c r="C750" s="310" t="b">
        <v>0</v>
      </c>
    </row>
    <row r="751" spans="1:3" s="310" customFormat="1" x14ac:dyDescent="0.2">
      <c r="A751" s="310" t="s">
        <v>1819</v>
      </c>
      <c r="B751" t="b">
        <f>IF(ISBLANK(NeoBerAfspr!$J$18),"",NeoBerAfspr!$J$18)</f>
        <v>0</v>
      </c>
      <c r="C751" s="310" t="b">
        <v>0</v>
      </c>
    </row>
    <row r="752" spans="1:3" s="310" customFormat="1" x14ac:dyDescent="0.2">
      <c r="A752" s="310" t="s">
        <v>1820</v>
      </c>
      <c r="B752" t="b">
        <f>IF(ISBLANK(NeoBerAfspr!$F$17),"",NeoBerAfspr!$F$17)</f>
        <v>0</v>
      </c>
      <c r="C752" s="310" t="b">
        <v>0</v>
      </c>
    </row>
    <row r="753" spans="1:3" s="310" customFormat="1" x14ac:dyDescent="0.2">
      <c r="A753" s="310" t="s">
        <v>1821</v>
      </c>
      <c r="B753" t="b">
        <f>IF(ISBLANK(NeoBerAfspr!$B$16),"",NeoBerAfspr!$B$16)</f>
        <v>0</v>
      </c>
      <c r="C753" s="310" t="b">
        <v>0</v>
      </c>
    </row>
    <row r="754" spans="1:3" s="310" customFormat="1" x14ac:dyDescent="0.2">
      <c r="A754" s="310" t="s">
        <v>1822</v>
      </c>
      <c r="B754" t="b">
        <f>IF(ISBLANK(NeoBerAfspr!$B$17),"",NeoBerAfspr!$B$17)</f>
        <v>0</v>
      </c>
      <c r="C754" s="310" t="b">
        <v>0</v>
      </c>
    </row>
    <row r="755" spans="1:3" x14ac:dyDescent="0.2">
      <c r="A755" s="310" t="s">
        <v>1823</v>
      </c>
      <c r="B755" t="b">
        <f>IF(ISBLANK(NeoBerAfspr!$B$18),"",NeoBerAfspr!$B$18)</f>
        <v>0</v>
      </c>
      <c r="C755" s="310" t="b">
        <v>0</v>
      </c>
    </row>
    <row r="756" spans="1:3" x14ac:dyDescent="0.2">
      <c r="A756" s="310" t="s">
        <v>1824</v>
      </c>
      <c r="B756" t="b">
        <f>IF(ISBLANK(NeoBerAfspr!$H$18),"",NeoBerAfspr!$H$18)</f>
        <v>0</v>
      </c>
      <c r="C756" s="310" t="b">
        <v>0</v>
      </c>
    </row>
    <row r="757" spans="1:3" x14ac:dyDescent="0.2">
      <c r="A757" s="310" t="s">
        <v>1825</v>
      </c>
      <c r="B757" t="b">
        <f>IF(ISBLANK(NeoBerAfspr!$F$18),"",NeoBerAfspr!$F$18)</f>
        <v>0</v>
      </c>
      <c r="C757" s="310" t="b">
        <v>0</v>
      </c>
    </row>
    <row r="758" spans="1:3" x14ac:dyDescent="0.2">
      <c r="A758" s="310" t="s">
        <v>1826</v>
      </c>
      <c r="B758" t="b">
        <f>IF(ISBLANK(NeoBerAfspr!$H$19),"",NeoBerAfspr!$H$19)</f>
        <v>0</v>
      </c>
      <c r="C758" s="310" t="b">
        <v>0</v>
      </c>
    </row>
    <row r="759" spans="1:3" x14ac:dyDescent="0.2">
      <c r="A759" s="310" t="s">
        <v>1827</v>
      </c>
      <c r="B759" t="b">
        <f>IF(ISBLANK(NeoBerAfspr!$H$20),"",NeoBerAfspr!$H$20)</f>
        <v>0</v>
      </c>
      <c r="C759" s="310" t="b">
        <v>0</v>
      </c>
    </row>
    <row r="760" spans="1:3" x14ac:dyDescent="0.2">
      <c r="A760" s="310" t="s">
        <v>1828</v>
      </c>
      <c r="B760" t="b">
        <f>IF(ISBLANK(NeoBerAfspr!$B$34),"",NeoBerAfspr!$B$34)</f>
        <v>0</v>
      </c>
      <c r="C760" s="310" t="b">
        <v>0</v>
      </c>
    </row>
    <row r="761" spans="1:3" x14ac:dyDescent="0.2">
      <c r="A761" s="310" t="s">
        <v>1829</v>
      </c>
      <c r="B761" t="b">
        <f>IF(ISBLANK(NeoBerAfspr!$B$37),"",NeoBerAfspr!$B$37)</f>
        <v>0</v>
      </c>
      <c r="C761" s="310" t="b">
        <v>0</v>
      </c>
    </row>
    <row r="762" spans="1:3" x14ac:dyDescent="0.2">
      <c r="A762" s="310" t="s">
        <v>1830</v>
      </c>
      <c r="B762" t="b">
        <f>IF(ISBLANK(NeoBerAfspr!$B$40),"",NeoBerAfspr!$B$40)</f>
        <v>0</v>
      </c>
      <c r="C762" s="310" t="b">
        <v>0</v>
      </c>
    </row>
    <row r="763" spans="1:3" x14ac:dyDescent="0.2">
      <c r="A763" s="310" t="s">
        <v>1831</v>
      </c>
      <c r="B763" t="b">
        <f>IF(ISBLANK(NeoBerAfspr!$F$21),"",NeoBerAfspr!$F$21)</f>
        <v>0</v>
      </c>
      <c r="C763" s="310" t="b">
        <v>0</v>
      </c>
    </row>
    <row r="764" spans="1:3" x14ac:dyDescent="0.2">
      <c r="A764" s="310" t="s">
        <v>1832</v>
      </c>
      <c r="B764" t="b">
        <f>IF(ISBLANK(NeoBerAfspr!$F$23),"",NeoBerAfspr!$F$23)</f>
        <v>0</v>
      </c>
      <c r="C764" s="310" t="b">
        <v>0</v>
      </c>
    </row>
    <row r="765" spans="1:3" x14ac:dyDescent="0.2">
      <c r="A765" s="310" t="s">
        <v>1833</v>
      </c>
      <c r="B765" t="b">
        <f>IF(ISBLANK(NeoBerAfspr!$H$27),"",NeoBerAfspr!$H$27)</f>
        <v>0</v>
      </c>
      <c r="C765" s="310" t="b">
        <v>0</v>
      </c>
    </row>
    <row r="766" spans="1:3" x14ac:dyDescent="0.2">
      <c r="A766" s="310" t="s">
        <v>1834</v>
      </c>
      <c r="B766" s="307" t="b">
        <f>IF(ISBLANK(NeoBerAfspr!$H$28),"",NeoBerAfspr!$H$28)</f>
        <v>0</v>
      </c>
      <c r="C766" s="310" t="b">
        <v>0</v>
      </c>
    </row>
    <row r="767" spans="1:3" x14ac:dyDescent="0.2">
      <c r="A767" s="310" t="s">
        <v>1835</v>
      </c>
      <c r="B767" s="307" t="b">
        <f>IF(ISBLANK(NeoBerAfspr!$F$22),"",NeoBerAfspr!$F$22)</f>
        <v>0</v>
      </c>
      <c r="C767" s="310" t="b">
        <v>0</v>
      </c>
    </row>
    <row r="768" spans="1:3" x14ac:dyDescent="0.2">
      <c r="A768" s="310" t="s">
        <v>1836</v>
      </c>
      <c r="B768" s="307" t="b">
        <f>IF(ISBLANK(NeoBerAfspr!$H$22),"",NeoBerAfspr!$H$22)</f>
        <v>0</v>
      </c>
      <c r="C768" s="310" t="b">
        <v>0</v>
      </c>
    </row>
    <row r="769" spans="1:3" x14ac:dyDescent="0.2">
      <c r="A769" s="310" t="s">
        <v>1837</v>
      </c>
      <c r="B769" s="307" t="b">
        <f>IF(ISBLANK(NeoBerAfspr!$H$29),"",NeoBerAfspr!$H$29)</f>
        <v>0</v>
      </c>
      <c r="C769" s="310" t="b">
        <v>0</v>
      </c>
    </row>
    <row r="770" spans="1:3" x14ac:dyDescent="0.2">
      <c r="A770" s="310" t="s">
        <v>1838</v>
      </c>
      <c r="B770" s="307" t="b">
        <f>IF(ISBLANK(NeoBerAfspr!$H$23),"",NeoBerAfspr!$H$23)</f>
        <v>0</v>
      </c>
      <c r="C770" s="310" t="b">
        <v>0</v>
      </c>
    </row>
    <row r="771" spans="1:3" x14ac:dyDescent="0.2">
      <c r="A771" s="310" t="s">
        <v>1839</v>
      </c>
      <c r="B771" s="307" t="b">
        <f>IF(ISBLANK(NeoBerAfspr!$H$30),"",NeoBerAfspr!$H$30)</f>
        <v>0</v>
      </c>
      <c r="C771" s="310" t="b">
        <v>0</v>
      </c>
    </row>
    <row r="772" spans="1:3" x14ac:dyDescent="0.2">
      <c r="A772" s="310" t="s">
        <v>1840</v>
      </c>
      <c r="B772" s="307" t="b">
        <f>IF(ISBLANK(NeoBerAfspr!$H$24),"",NeoBerAfspr!$H$24)</f>
        <v>0</v>
      </c>
      <c r="C772" s="310" t="b">
        <v>0</v>
      </c>
    </row>
    <row r="773" spans="1:3" x14ac:dyDescent="0.2">
      <c r="A773" s="310" t="s">
        <v>1841</v>
      </c>
      <c r="B773" s="307" t="b">
        <f>IF(ISBLANK(NeoBerAfspr!$H$25),"",NeoBerAfspr!$H$25)</f>
        <v>0</v>
      </c>
      <c r="C773" s="310" t="b">
        <v>0</v>
      </c>
    </row>
    <row r="774" spans="1:3" x14ac:dyDescent="0.2">
      <c r="A774" s="310" t="s">
        <v>1842</v>
      </c>
      <c r="B774" s="307" t="b">
        <f>IF(ISBLANK(NeoBerAfspr!$H$26),"",NeoBerAfspr!$H$26)</f>
        <v>0</v>
      </c>
      <c r="C774" s="310" t="b">
        <v>0</v>
      </c>
    </row>
    <row r="775" spans="1:3" x14ac:dyDescent="0.2">
      <c r="A775" s="310" t="s">
        <v>1843</v>
      </c>
      <c r="B775" s="307" t="b">
        <f>IF(ISBLANK(NeoBerAfspr!$J$19),"",NeoBerAfspr!$J$19)</f>
        <v>0</v>
      </c>
      <c r="C775" s="310" t="b">
        <v>0</v>
      </c>
    </row>
    <row r="776" spans="1:3" x14ac:dyDescent="0.2">
      <c r="A776" s="310" t="s">
        <v>1844</v>
      </c>
      <c r="B776" s="307" t="b">
        <f>IF(ISBLANK(NeoBerAfspr!$J$20),"",NeoBerAfspr!$J$20)</f>
        <v>0</v>
      </c>
      <c r="C776" s="310" t="b">
        <v>0</v>
      </c>
    </row>
    <row r="777" spans="1:3" x14ac:dyDescent="0.2">
      <c r="A777" s="310" t="s">
        <v>1845</v>
      </c>
      <c r="B777" s="307" t="b">
        <f>IF(ISBLANK(NeoBerAfspr!$L$23),"",NeoBerAfspr!$L$23)</f>
        <v>0</v>
      </c>
      <c r="C777" s="310" t="b">
        <v>0</v>
      </c>
    </row>
    <row r="778" spans="1:3" x14ac:dyDescent="0.2">
      <c r="A778" s="310" t="s">
        <v>1846</v>
      </c>
      <c r="B778" s="307" t="b">
        <f>IF(ISBLANK(NeoBerAfspr!$L$22),"",NeoBerAfspr!$L$22)</f>
        <v>0</v>
      </c>
      <c r="C778" s="310" t="b">
        <v>0</v>
      </c>
    </row>
    <row r="779" spans="1:3" x14ac:dyDescent="0.2">
      <c r="A779" s="310" t="s">
        <v>1847</v>
      </c>
      <c r="B779" s="307" t="b">
        <f>IF(ISBLANK(NeoBerAfspr!$L$21),"",NeoBerAfspr!$L$21)</f>
        <v>0</v>
      </c>
      <c r="C779" s="310" t="b">
        <v>0</v>
      </c>
    </row>
    <row r="780" spans="1:3" x14ac:dyDescent="0.2">
      <c r="A780" s="310" t="s">
        <v>1848</v>
      </c>
      <c r="B780" s="307" t="b">
        <f>IF(ISBLANK(NeoBerAfspr!$J$24),"",NeoBerAfspr!$J$24)</f>
        <v>0</v>
      </c>
      <c r="C780" s="310" t="b">
        <v>0</v>
      </c>
    </row>
    <row r="781" spans="1:3" x14ac:dyDescent="0.2">
      <c r="A781" s="310" t="s">
        <v>1849</v>
      </c>
      <c r="B781" s="307" t="b">
        <f>IF(ISBLANK(NeoBerAfspr!$L$24),"",NeoBerAfspr!$L$24)</f>
        <v>0</v>
      </c>
      <c r="C781" s="310" t="b">
        <v>0</v>
      </c>
    </row>
    <row r="782" spans="1:3" x14ac:dyDescent="0.2">
      <c r="A782" s="310" t="s">
        <v>1850</v>
      </c>
      <c r="B782" s="307" t="b">
        <f>IF(ISBLANK(NeoBerAfspr!$L$25),"",NeoBerAfspr!$L$25)</f>
        <v>0</v>
      </c>
      <c r="C782" s="310" t="b">
        <v>0</v>
      </c>
    </row>
    <row r="783" spans="1:3" x14ac:dyDescent="0.2">
      <c r="A783" s="310" t="s">
        <v>1851</v>
      </c>
      <c r="B783" s="307" t="b">
        <f>IF(ISBLANK(NeoBerAfspr!$L$26),"",NeoBerAfspr!$L$26)</f>
        <v>0</v>
      </c>
      <c r="C783" s="310" t="b">
        <v>0</v>
      </c>
    </row>
    <row r="784" spans="1:3" x14ac:dyDescent="0.2">
      <c r="A784" s="310" t="s">
        <v>1852</v>
      </c>
      <c r="B784" s="307" t="b">
        <f>IF(ISBLANK(NeoBerAfspr!$L$27),"",NeoBerAfspr!$L$27)</f>
        <v>0</v>
      </c>
      <c r="C784" s="310" t="b">
        <v>0</v>
      </c>
    </row>
    <row r="785" spans="1:6" x14ac:dyDescent="0.2">
      <c r="A785" s="310" t="s">
        <v>1853</v>
      </c>
      <c r="B785" s="307" t="b">
        <f>IF(ISBLANK(NeoBerAfspr!$B$19),"",NeoBerAfspr!$B$19)</f>
        <v>0</v>
      </c>
      <c r="C785" s="310" t="b">
        <v>0</v>
      </c>
    </row>
    <row r="786" spans="1:6" x14ac:dyDescent="0.2">
      <c r="A786" s="310" t="s">
        <v>1767</v>
      </c>
      <c r="B786" s="307" t="b">
        <f>IF(ISBLANK(NeoBerAfspr!$G$31),"",NeoBerAfspr!$G$31)</f>
        <v>0</v>
      </c>
      <c r="C786" s="130"/>
    </row>
    <row r="787" spans="1:6" x14ac:dyDescent="0.2">
      <c r="A787" s="310" t="s">
        <v>1854</v>
      </c>
      <c r="B787" s="307" t="b">
        <f>IF(ISBLANK(NeoBerAfspr!$B$31),"",NeoBerAfspr!$B$31)</f>
        <v>0</v>
      </c>
      <c r="C787" s="310" t="b">
        <v>0</v>
      </c>
    </row>
    <row r="788" spans="1:6" x14ac:dyDescent="0.2">
      <c r="A788" s="310" t="s">
        <v>1855</v>
      </c>
      <c r="B788" s="307" t="b">
        <f>IF(ISBLANK(NeoBerAfspr!$B$32),"",NeoBerAfspr!$B$32)</f>
        <v>0</v>
      </c>
      <c r="C788" s="310" t="b">
        <v>0</v>
      </c>
    </row>
    <row r="789" spans="1:6" x14ac:dyDescent="0.2">
      <c r="A789" s="310" t="s">
        <v>1856</v>
      </c>
      <c r="B789" s="307">
        <f>IF(ISBLANK(NeoBerAfspr!$K$29),"",NeoBerAfspr!$K$29)</f>
        <v>0</v>
      </c>
      <c r="C789">
        <v>0</v>
      </c>
    </row>
    <row r="790" spans="1:6" x14ac:dyDescent="0.2">
      <c r="A790" s="310" t="s">
        <v>1857</v>
      </c>
      <c r="B790" s="307">
        <f>IF(ISBLANK(NeoBerAfspr!$D$22),"",NeoBerAfspr!$D$22)</f>
        <v>1</v>
      </c>
      <c r="C790">
        <v>1</v>
      </c>
    </row>
    <row r="791" spans="1:6" x14ac:dyDescent="0.2">
      <c r="A791" s="310" t="s">
        <v>1858</v>
      </c>
      <c r="B791" s="307">
        <f>IF(ISBLANK(NeoBerAfspr!$C$8),"",NeoBerAfspr!$C$8)</f>
        <v>0</v>
      </c>
      <c r="C791">
        <v>0</v>
      </c>
    </row>
    <row r="792" spans="1:6" x14ac:dyDescent="0.2">
      <c r="A792" s="310" t="s">
        <v>1859</v>
      </c>
      <c r="B792" s="307">
        <f>IF(ISBLANK(NeoBerAfspr!$D$8),"",NeoBerAfspr!$D$8)</f>
        <v>1</v>
      </c>
      <c r="C792">
        <v>1</v>
      </c>
    </row>
    <row r="793" spans="1:6" x14ac:dyDescent="0.2">
      <c r="A793" s="310" t="s">
        <v>1860</v>
      </c>
      <c r="B793" s="307">
        <f>IF(ISBLANK(NeoBerAfspr!$C$9),"",NeoBerAfspr!$C$9)</f>
        <v>0</v>
      </c>
      <c r="C793">
        <v>0</v>
      </c>
    </row>
    <row r="794" spans="1:6" x14ac:dyDescent="0.2">
      <c r="A794" s="310" t="s">
        <v>1861</v>
      </c>
      <c r="B794" s="307">
        <f>IF(ISBLANK(NeoBerAfspr!$D$9),"",NeoBerAfspr!$D$9)</f>
        <v>1</v>
      </c>
      <c r="C794">
        <v>1</v>
      </c>
    </row>
    <row r="795" spans="1:6" x14ac:dyDescent="0.2">
      <c r="A795" s="310" t="s">
        <v>1862</v>
      </c>
      <c r="B795" s="307">
        <f>IF(ISBLANK(NeoBerAfspr!$D$47),"",NeoBerAfspr!$D$47)</f>
        <v>0</v>
      </c>
      <c r="C795">
        <v>0</v>
      </c>
    </row>
    <row r="796" spans="1:6" x14ac:dyDescent="0.2">
      <c r="A796" s="310" t="s">
        <v>1863</v>
      </c>
      <c r="B796" s="307">
        <f>IF(ISBLANK(NeoBerAfspr!$D$46),"",NeoBerAfspr!$D$46)</f>
        <v>1</v>
      </c>
      <c r="C796">
        <v>1</v>
      </c>
    </row>
    <row r="797" spans="1:6" x14ac:dyDescent="0.2">
      <c r="A797" s="310" t="s">
        <v>1864</v>
      </c>
      <c r="B797" s="307">
        <f>IF(ISBLANK(NeoBerAfspr!$B$12),"",NeoBerAfspr!$B$12)</f>
        <v>0</v>
      </c>
      <c r="C797">
        <v>0</v>
      </c>
    </row>
    <row r="798" spans="1:6" x14ac:dyDescent="0.2">
      <c r="A798" s="310" t="s">
        <v>1865</v>
      </c>
      <c r="B798" s="307">
        <f>IF(ISBLANK(NeoBerAfspr!$K$17),"",NeoBerAfspr!$K$17)</f>
        <v>0</v>
      </c>
      <c r="C798">
        <v>0</v>
      </c>
    </row>
    <row r="799" spans="1:6" x14ac:dyDescent="0.2">
      <c r="A799" s="310" t="s">
        <v>1866</v>
      </c>
      <c r="B799" s="307">
        <f>IF(ISBLANK(NeoBerAfspr!$L$17),"",NeoBerAfspr!$L$17)</f>
        <v>0</v>
      </c>
      <c r="C799">
        <v>0</v>
      </c>
    </row>
    <row r="800" spans="1:6" x14ac:dyDescent="0.2">
      <c r="A800" s="310" t="s">
        <v>1867</v>
      </c>
      <c r="B800" s="307">
        <f>IF(ISBLANK(NeoBerAfspr!$C$18),"",NeoBerAfspr!$C$18)</f>
        <v>0</v>
      </c>
      <c r="C800">
        <v>0</v>
      </c>
      <c r="F800" s="310"/>
    </row>
    <row r="801" spans="1:6" x14ac:dyDescent="0.2">
      <c r="A801" s="310" t="s">
        <v>1868</v>
      </c>
      <c r="B801" s="307">
        <f>IF(ISBLANK(NeoBerAfspr!$D$18),"",NeoBerAfspr!$D$18)</f>
        <v>1</v>
      </c>
      <c r="C801">
        <v>1</v>
      </c>
      <c r="F801" s="310"/>
    </row>
    <row r="802" spans="1:6" x14ac:dyDescent="0.2">
      <c r="A802" s="310" t="s">
        <v>1869</v>
      </c>
      <c r="B802" s="307">
        <f>IF(ISBLANK(NeoBerAfspr!$D$36),"",NeoBerAfspr!$D$36)</f>
        <v>1</v>
      </c>
      <c r="C802">
        <v>1</v>
      </c>
      <c r="F802" s="310"/>
    </row>
    <row r="803" spans="1:6" x14ac:dyDescent="0.2">
      <c r="A803" s="310" t="s">
        <v>1870</v>
      </c>
      <c r="B803" s="307">
        <f>IF(ISBLANK(NeoBerAfspr!$D$34),"",NeoBerAfspr!$D$34)</f>
        <v>1</v>
      </c>
      <c r="C803">
        <v>1</v>
      </c>
      <c r="F803" s="310"/>
    </row>
    <row r="804" spans="1:6" x14ac:dyDescent="0.2">
      <c r="A804" s="310" t="s">
        <v>1871</v>
      </c>
      <c r="B804" s="307">
        <f>IF(ISBLANK(NeoBerAfspr!$D$35),"",NeoBerAfspr!$D$35)</f>
        <v>1</v>
      </c>
      <c r="C804">
        <v>1</v>
      </c>
      <c r="F804" s="310"/>
    </row>
    <row r="805" spans="1:6" x14ac:dyDescent="0.2">
      <c r="A805" s="310" t="s">
        <v>1872</v>
      </c>
      <c r="B805" s="307">
        <f>IF(ISBLANK(NeoBerAfspr!$D$39),"",NeoBerAfspr!$D$39)</f>
        <v>1</v>
      </c>
      <c r="C805">
        <v>1</v>
      </c>
      <c r="F805" s="310"/>
    </row>
    <row r="806" spans="1:6" x14ac:dyDescent="0.2">
      <c r="A806" s="310" t="s">
        <v>1873</v>
      </c>
      <c r="B806" s="307">
        <f>IF(ISBLANK(NeoBerAfspr!$D$37),"",NeoBerAfspr!$D$37)</f>
        <v>1</v>
      </c>
      <c r="C806">
        <v>1</v>
      </c>
      <c r="F806" s="310"/>
    </row>
    <row r="807" spans="1:6" x14ac:dyDescent="0.2">
      <c r="A807" s="310" t="s">
        <v>1874</v>
      </c>
      <c r="B807" s="307">
        <f>IF(ISBLANK(NeoBerAfspr!$D$38),"",NeoBerAfspr!$D$38)</f>
        <v>1</v>
      </c>
      <c r="C807">
        <v>1</v>
      </c>
      <c r="F807" s="310"/>
    </row>
    <row r="808" spans="1:6" x14ac:dyDescent="0.2">
      <c r="A808" s="310" t="s">
        <v>1875</v>
      </c>
      <c r="B808" s="307">
        <f>IF(ISBLANK(NeoBerAfspr!$D$42),"",NeoBerAfspr!$D$42)</f>
        <v>1</v>
      </c>
      <c r="C808">
        <v>1</v>
      </c>
      <c r="F808" s="310"/>
    </row>
    <row r="809" spans="1:6" x14ac:dyDescent="0.2">
      <c r="A809" s="310" t="s">
        <v>1876</v>
      </c>
      <c r="B809" s="307">
        <f>IF(ISBLANK(NeoBerAfspr!$D$40),"",NeoBerAfspr!$D$40)</f>
        <v>1</v>
      </c>
      <c r="C809">
        <v>1</v>
      </c>
      <c r="F809" s="310"/>
    </row>
    <row r="810" spans="1:6" x14ac:dyDescent="0.2">
      <c r="A810" s="310" t="s">
        <v>1877</v>
      </c>
      <c r="B810" s="307">
        <f>IF(ISBLANK(NeoBerAfspr!$D$41),"",NeoBerAfspr!$D$41)</f>
        <v>1</v>
      </c>
      <c r="C810">
        <v>1</v>
      </c>
    </row>
    <row r="811" spans="1:6" x14ac:dyDescent="0.2">
      <c r="A811" s="310" t="s">
        <v>1878</v>
      </c>
      <c r="B811" s="307">
        <f>IF(ISBLANK(NeoBerAfspr!$K$20),"",NeoBerAfspr!$K$20)</f>
        <v>0</v>
      </c>
      <c r="C811">
        <v>0</v>
      </c>
    </row>
    <row r="812" spans="1:6" x14ac:dyDescent="0.2">
      <c r="A812" s="310" t="s">
        <v>1879</v>
      </c>
      <c r="B812" s="307">
        <f>IF(ISBLANK(NeoBerAfspr!$D$27),"",NeoBerAfspr!$D$27)</f>
        <v>50</v>
      </c>
      <c r="C812">
        <v>50</v>
      </c>
    </row>
    <row r="813" spans="1:6" x14ac:dyDescent="0.2">
      <c r="A813" s="310" t="s">
        <v>1880</v>
      </c>
      <c r="B813" s="307" t="b">
        <f>IF(ISBLANK(NeoBerAfspr!$G$31),"",NeoBerAfspr!$G$31)</f>
        <v>0</v>
      </c>
      <c r="C813" s="484" t="b">
        <v>0</v>
      </c>
    </row>
    <row r="814" spans="1:6" x14ac:dyDescent="0.2">
      <c r="A814" s="310" t="s">
        <v>1755</v>
      </c>
      <c r="B814" s="307">
        <f>IF(ISBLANK(NeoBerAfspr!$D$27),"",NeoBerAfspr!$D$27)</f>
        <v>50</v>
      </c>
      <c r="C814">
        <v>50</v>
      </c>
    </row>
    <row r="815" spans="1:6" x14ac:dyDescent="0.2">
      <c r="A815" s="310" t="s">
        <v>4427</v>
      </c>
      <c r="B815" s="307">
        <f>IF(ISBLANK(NeoDataInfB!$B$2),"",NeoDataInfB!$B$2)</f>
        <v>0</v>
      </c>
      <c r="C815" s="17">
        <v>0</v>
      </c>
    </row>
    <row r="816" spans="1:6" x14ac:dyDescent="0.2">
      <c r="A816" s="310" t="s">
        <v>4864</v>
      </c>
      <c r="B816" s="307">
        <f>IF(ISBLANK(NeoDataInfB!$B$3),"",NeoDataInfB!$B$3)</f>
        <v>1</v>
      </c>
      <c r="C816">
        <v>1</v>
      </c>
    </row>
    <row r="817" spans="1:5" x14ac:dyDescent="0.2">
      <c r="A817" s="310" t="s">
        <v>4865</v>
      </c>
      <c r="B817" s="307">
        <f>IF(ISBLANK(NeoDataInfB!$B$4),"",NeoDataInfB!$B$4)</f>
        <v>1</v>
      </c>
      <c r="C817">
        <v>1</v>
      </c>
    </row>
    <row r="818" spans="1:5" x14ac:dyDescent="0.2">
      <c r="A818" s="310" t="s">
        <v>4866</v>
      </c>
      <c r="B818" s="307">
        <f>IF(ISBLANK(NeoDataInfB!$B$5),"",NeoDataInfB!$B$5)</f>
        <v>1</v>
      </c>
      <c r="C818">
        <v>1</v>
      </c>
    </row>
    <row r="819" spans="1:5" x14ac:dyDescent="0.2">
      <c r="A819" s="310" t="s">
        <v>4867</v>
      </c>
      <c r="B819" s="307">
        <f>IF(ISBLANK(NeoDataInfB!$B$6),"",NeoDataInfB!$B$6)</f>
        <v>1</v>
      </c>
      <c r="C819">
        <v>1</v>
      </c>
      <c r="D819" s="310"/>
    </row>
    <row r="820" spans="1:5" x14ac:dyDescent="0.2">
      <c r="A820" s="310" t="s">
        <v>4868</v>
      </c>
      <c r="B820" s="307">
        <f>IF(ISBLANK(NeoDataInfB!$B$7),"",NeoDataInfB!$B$7)</f>
        <v>1</v>
      </c>
      <c r="C820">
        <v>1</v>
      </c>
    </row>
    <row r="821" spans="1:5" x14ac:dyDescent="0.2">
      <c r="A821" s="310" t="s">
        <v>4869</v>
      </c>
      <c r="B821" s="307">
        <f>IF(ISBLANK(NeoDataInfB!$B$8),"",NeoDataInfB!$B$8)</f>
        <v>1</v>
      </c>
      <c r="C821">
        <v>1</v>
      </c>
    </row>
    <row r="822" spans="1:5" x14ac:dyDescent="0.2">
      <c r="A822" s="310" t="s">
        <v>4870</v>
      </c>
      <c r="B822" s="307">
        <f>IF(ISBLANK(NeoDataInfB!$B$9),"",NeoDataInfB!$B$9)</f>
        <v>1</v>
      </c>
      <c r="C822">
        <v>1</v>
      </c>
    </row>
    <row r="823" spans="1:5" x14ac:dyDescent="0.2">
      <c r="A823" s="310" t="s">
        <v>4871</v>
      </c>
      <c r="B823" s="307">
        <f>IF(ISBLANK(NeoDataInfB!$B$10),"",NeoDataInfB!$B$10)</f>
        <v>1</v>
      </c>
      <c r="C823">
        <v>1</v>
      </c>
    </row>
    <row r="824" spans="1:5" x14ac:dyDescent="0.2">
      <c r="A824" s="310" t="s">
        <v>4872</v>
      </c>
      <c r="B824" s="307">
        <f>IF(ISBLANK(NeoDataInfB!$B$11),"",NeoDataInfB!$B$11)</f>
        <v>1</v>
      </c>
      <c r="C824">
        <v>1</v>
      </c>
    </row>
    <row r="825" spans="1:5" x14ac:dyDescent="0.2">
      <c r="A825" s="310" t="s">
        <v>4873</v>
      </c>
      <c r="B825" s="307">
        <f>IF(ISBLANK(NeoDataInfB!$B$12),"",NeoDataInfB!$B$12)</f>
        <v>1</v>
      </c>
      <c r="C825" s="310">
        <v>1</v>
      </c>
    </row>
    <row r="826" spans="1:5" x14ac:dyDescent="0.2">
      <c r="A826" s="310" t="s">
        <v>4874</v>
      </c>
      <c r="B826" s="307">
        <f>IF(ISBLANK(NeoDataInfB!$B$13),"",NeoDataInfB!$B$13)</f>
        <v>0</v>
      </c>
      <c r="C826" s="312">
        <v>0</v>
      </c>
    </row>
    <row r="827" spans="1:5" x14ac:dyDescent="0.2">
      <c r="A827" s="310" t="s">
        <v>4875</v>
      </c>
      <c r="B827" s="307">
        <f>IF(ISBLANK(NeoDataInfB!$B$14),"",NeoDataInfB!$B$14)</f>
        <v>0</v>
      </c>
      <c r="C827" s="312">
        <v>0</v>
      </c>
      <c r="E827" s="310"/>
    </row>
    <row r="828" spans="1:5" x14ac:dyDescent="0.2">
      <c r="A828" s="310" t="s">
        <v>4876</v>
      </c>
      <c r="B828" s="307">
        <f>IF(ISBLANK(NeoDataInfB!$B$15),"",NeoDataInfB!$B$15)</f>
        <v>0</v>
      </c>
      <c r="C828" s="312">
        <v>0</v>
      </c>
      <c r="E828" s="310"/>
    </row>
    <row r="829" spans="1:5" x14ac:dyDescent="0.2">
      <c r="A829" s="310" t="s">
        <v>4877</v>
      </c>
      <c r="B829" s="307">
        <f>IF(ISBLANK(NeoDataInfB!$B$16),"",NeoDataInfB!$B$16)</f>
        <v>0</v>
      </c>
      <c r="C829" s="312">
        <v>0</v>
      </c>
      <c r="E829" s="310"/>
    </row>
    <row r="830" spans="1:5" x14ac:dyDescent="0.2">
      <c r="A830" s="310" t="s">
        <v>4878</v>
      </c>
      <c r="B830" s="307">
        <f>IF(ISBLANK(NeoDataInfB!$B$17),"",NeoDataInfB!$B$17)</f>
        <v>0</v>
      </c>
      <c r="C830" s="312">
        <v>0</v>
      </c>
      <c r="E830" s="310"/>
    </row>
    <row r="831" spans="1:5" x14ac:dyDescent="0.2">
      <c r="A831" s="310" t="s">
        <v>4879</v>
      </c>
      <c r="B831" s="307">
        <f>IF(ISBLANK(NeoDataInfB!$B$18),"",NeoDataInfB!$B$18)</f>
        <v>0</v>
      </c>
      <c r="C831" s="312">
        <v>0</v>
      </c>
      <c r="E831" s="310"/>
    </row>
    <row r="832" spans="1:5" x14ac:dyDescent="0.2">
      <c r="A832" s="310" t="s">
        <v>4880</v>
      </c>
      <c r="B832" s="307">
        <f>IF(ISBLANK(NeoDataInfB!$B$19),"",NeoDataInfB!$B$19)</f>
        <v>0</v>
      </c>
      <c r="C832" s="312">
        <v>0</v>
      </c>
      <c r="E832" s="310"/>
    </row>
    <row r="833" spans="1:5" x14ac:dyDescent="0.2">
      <c r="A833" s="310" t="s">
        <v>4881</v>
      </c>
      <c r="B833" s="307">
        <f>IF(ISBLANK(NeoDataInfB!$B$20),"",NeoDataInfB!$B$20)</f>
        <v>0</v>
      </c>
      <c r="C833" s="312">
        <v>0</v>
      </c>
      <c r="E833" s="310"/>
    </row>
    <row r="834" spans="1:5" x14ac:dyDescent="0.2">
      <c r="A834" s="310" t="s">
        <v>4882</v>
      </c>
      <c r="B834" s="307">
        <f>IF(ISBLANK(NeoDataInfB!$B$21),"",NeoDataInfB!$B$21)</f>
        <v>0</v>
      </c>
      <c r="C834" s="312">
        <v>0</v>
      </c>
      <c r="E834" s="310"/>
    </row>
    <row r="835" spans="1:5" x14ac:dyDescent="0.2">
      <c r="A835" s="310" t="s">
        <v>4883</v>
      </c>
      <c r="B835" s="307">
        <f>IF(ISBLANK(NeoDataInfB!$B$22),"",NeoDataInfB!$B$22)</f>
        <v>0</v>
      </c>
      <c r="C835" s="312">
        <v>0</v>
      </c>
      <c r="E835" s="310"/>
    </row>
    <row r="836" spans="1:5" x14ac:dyDescent="0.2">
      <c r="A836" s="310" t="s">
        <v>4428</v>
      </c>
      <c r="B836" s="307" t="str">
        <f>IF(ISBLANK(NeoDataInfB!$B$23),"",NeoDataInfB!$B$23)</f>
        <v/>
      </c>
      <c r="C836" s="130" t="s">
        <v>4006</v>
      </c>
    </row>
    <row r="837" spans="1:5" x14ac:dyDescent="0.2">
      <c r="A837" s="310" t="s">
        <v>4429</v>
      </c>
      <c r="B837" s="307" t="str">
        <f>IF(ISBLANK(NeoDataInfB!$B$24),"",NeoDataInfB!$B$24)</f>
        <v/>
      </c>
      <c r="C837" s="130" t="s">
        <v>4006</v>
      </c>
    </row>
    <row r="838" spans="1:5" x14ac:dyDescent="0.2">
      <c r="A838" s="310" t="s">
        <v>4884</v>
      </c>
      <c r="B838" s="307">
        <f>IF(ISBLANK(NeoDataInfB!$B$25),"",NeoDataInfB!$B$25)</f>
        <v>0</v>
      </c>
      <c r="C838" s="312">
        <v>0</v>
      </c>
    </row>
    <row r="839" spans="1:5" x14ac:dyDescent="0.2">
      <c r="A839" s="310" t="s">
        <v>4885</v>
      </c>
      <c r="B839" s="307">
        <f>IF(ISBLANK(NeoDataInfB!$B$26),"",NeoDataInfB!$B$26)</f>
        <v>0</v>
      </c>
      <c r="C839" s="312">
        <v>0</v>
      </c>
      <c r="E839" s="310"/>
    </row>
    <row r="840" spans="1:5" x14ac:dyDescent="0.2">
      <c r="A840" s="310" t="s">
        <v>4886</v>
      </c>
      <c r="B840" s="307">
        <f>IF(ISBLANK(NeoDataInfB!$B$27),"",NeoDataInfB!$B$27)</f>
        <v>0</v>
      </c>
      <c r="C840" s="312">
        <v>0</v>
      </c>
      <c r="E840" s="310"/>
    </row>
    <row r="841" spans="1:5" x14ac:dyDescent="0.2">
      <c r="A841" s="310" t="s">
        <v>4887</v>
      </c>
      <c r="B841" s="307">
        <f>IF(ISBLANK(NeoDataInfB!$B$28),"",NeoDataInfB!$B$28)</f>
        <v>0</v>
      </c>
      <c r="C841" s="312">
        <v>0</v>
      </c>
      <c r="E841" s="310"/>
    </row>
    <row r="842" spans="1:5" x14ac:dyDescent="0.2">
      <c r="A842" s="310" t="s">
        <v>4888</v>
      </c>
      <c r="B842" s="307">
        <f>IF(ISBLANK(NeoDataInfB!$B$29),"",NeoDataInfB!$B$29)</f>
        <v>0</v>
      </c>
      <c r="C842" s="312">
        <v>0</v>
      </c>
      <c r="E842" s="310"/>
    </row>
    <row r="843" spans="1:5" x14ac:dyDescent="0.2">
      <c r="A843" s="310" t="s">
        <v>4889</v>
      </c>
      <c r="B843" s="307">
        <f>IF(ISBLANK(NeoDataInfB!$B$30),"",NeoDataInfB!$B$30)</f>
        <v>0</v>
      </c>
      <c r="C843" s="312">
        <v>0</v>
      </c>
      <c r="E843" s="310"/>
    </row>
    <row r="844" spans="1:5" x14ac:dyDescent="0.2">
      <c r="A844" s="310" t="s">
        <v>4890</v>
      </c>
      <c r="B844" s="307">
        <f>IF(ISBLANK(NeoDataInfB!$B$31),"",NeoDataInfB!$B$31)</f>
        <v>0</v>
      </c>
      <c r="C844" s="312">
        <v>0</v>
      </c>
      <c r="E844" s="310"/>
    </row>
    <row r="845" spans="1:5" x14ac:dyDescent="0.2">
      <c r="A845" s="310" t="s">
        <v>4891</v>
      </c>
      <c r="B845" s="307">
        <f>IF(ISBLANK(NeoDataInfB!$B$32),"",NeoDataInfB!$B$32)</f>
        <v>0</v>
      </c>
      <c r="C845" s="312">
        <v>0</v>
      </c>
      <c r="E845" s="310"/>
    </row>
    <row r="846" spans="1:5" x14ac:dyDescent="0.2">
      <c r="A846" s="310" t="s">
        <v>4892</v>
      </c>
      <c r="B846" s="307">
        <f>IF(ISBLANK(NeoDataInfB!$B$33),"",NeoDataInfB!$B$33)</f>
        <v>0</v>
      </c>
      <c r="C846" s="312">
        <v>0</v>
      </c>
      <c r="E846" s="310"/>
    </row>
    <row r="847" spans="1:5" x14ac:dyDescent="0.2">
      <c r="A847" s="310" t="s">
        <v>4893</v>
      </c>
      <c r="B847" s="307">
        <f>IF(ISBLANK(NeoDataInfB!$B$34),"",NeoDataInfB!$B$34)</f>
        <v>0</v>
      </c>
      <c r="C847" s="312">
        <v>0</v>
      </c>
      <c r="E847" s="310"/>
    </row>
    <row r="848" spans="1:5" x14ac:dyDescent="0.2">
      <c r="A848" s="310" t="s">
        <v>4430</v>
      </c>
      <c r="B848" s="307">
        <f>IF(ISBLANK(NeoDataInfB!$B$35),"",NeoDataInfB!$B$35)</f>
        <v>1</v>
      </c>
      <c r="C848" s="17">
        <v>1</v>
      </c>
    </row>
    <row r="849" spans="1:3" x14ac:dyDescent="0.2">
      <c r="A849" s="310" t="s">
        <v>4431</v>
      </c>
      <c r="B849" s="307">
        <f>IF(ISBLANK(NeoDataInfB!$B$36),"",NeoDataInfB!$B$36)</f>
        <v>1</v>
      </c>
      <c r="C849" s="17">
        <v>1</v>
      </c>
    </row>
    <row r="850" spans="1:3" x14ac:dyDescent="0.2">
      <c r="A850" s="310" t="s">
        <v>4432</v>
      </c>
      <c r="B850" s="307">
        <f>IF(ISBLANK(NeoDataInfB!$B$37),"",NeoDataInfB!$B$37)</f>
        <v>1</v>
      </c>
      <c r="C850" s="17">
        <v>1</v>
      </c>
    </row>
    <row r="851" spans="1:3" x14ac:dyDescent="0.2">
      <c r="A851" s="310" t="s">
        <v>4433</v>
      </c>
      <c r="B851" s="307">
        <f>IF(ISBLANK(NeoDataInfB!$B$38),"",NeoDataInfB!$B$38)</f>
        <v>1</v>
      </c>
      <c r="C851" s="17">
        <v>1</v>
      </c>
    </row>
    <row r="852" spans="1:3" x14ac:dyDescent="0.2">
      <c r="A852" s="310" t="s">
        <v>4434</v>
      </c>
      <c r="B852" s="307">
        <f>IF(ISBLANK(NeoDataInfB!$B$39),"",NeoDataInfB!$B$39)</f>
        <v>1</v>
      </c>
      <c r="C852" s="17">
        <v>1</v>
      </c>
    </row>
    <row r="853" spans="1:3" x14ac:dyDescent="0.2">
      <c r="A853" s="310" t="s">
        <v>4435</v>
      </c>
      <c r="B853" s="307">
        <f>IF(ISBLANK(NeoDataInfB!$B$40),"",NeoDataInfB!$B$40)</f>
        <v>1</v>
      </c>
      <c r="C853" s="17">
        <v>1</v>
      </c>
    </row>
    <row r="854" spans="1:3" x14ac:dyDescent="0.2">
      <c r="A854" s="310" t="s">
        <v>4436</v>
      </c>
      <c r="B854" s="307">
        <f>IF(ISBLANK(NeoDataInfB!$B$41),"",NeoDataInfB!$B$41)</f>
        <v>1</v>
      </c>
      <c r="C854" s="17">
        <v>1</v>
      </c>
    </row>
    <row r="855" spans="1:3" x14ac:dyDescent="0.2">
      <c r="A855" s="310" t="s">
        <v>4437</v>
      </c>
      <c r="B855" s="307">
        <f>IF(ISBLANK(NeoDataInfB!$B$42),"",NeoDataInfB!$B$42)</f>
        <v>1</v>
      </c>
      <c r="C855" s="17">
        <v>1</v>
      </c>
    </row>
    <row r="856" spans="1:3" x14ac:dyDescent="0.2">
      <c r="A856" s="310" t="s">
        <v>4438</v>
      </c>
      <c r="B856" s="307">
        <f>IF(ISBLANK(NeoDataInfB!$B$43),"",NeoDataInfB!$B$43)</f>
        <v>1</v>
      </c>
      <c r="C856" s="17">
        <v>1</v>
      </c>
    </row>
    <row r="857" spans="1:3" x14ac:dyDescent="0.2">
      <c r="A857" s="310" t="s">
        <v>4439</v>
      </c>
      <c r="B857" s="307">
        <f>IF(ISBLANK(NeoDataInfB!$B$44),"",NeoDataInfB!$B$44)</f>
        <v>1</v>
      </c>
      <c r="C857" s="17">
        <v>1</v>
      </c>
    </row>
    <row r="858" spans="1:3" x14ac:dyDescent="0.2">
      <c r="A858" s="310" t="s">
        <v>4440</v>
      </c>
      <c r="B858" s="307">
        <f>IF(ISBLANK(NeoDataInfB!$B$45),"",NeoDataInfB!$B$45)</f>
        <v>1</v>
      </c>
      <c r="C858" s="17">
        <v>1</v>
      </c>
    </row>
    <row r="859" spans="1:3" x14ac:dyDescent="0.2">
      <c r="A859" s="310" t="s">
        <v>4441</v>
      </c>
      <c r="B859" s="307">
        <f>IF(ISBLANK(NeoDataInfB!$B$46),"",NeoDataInfB!$B$46)</f>
        <v>1</v>
      </c>
      <c r="C859" s="17">
        <v>1</v>
      </c>
    </row>
    <row r="860" spans="1:3" x14ac:dyDescent="0.2">
      <c r="A860" s="310" t="s">
        <v>4894</v>
      </c>
      <c r="B860" s="307">
        <f>IF(ISBLANK(NeoDataInfB!$B$47),"",NeoDataInfB!$B$47)</f>
        <v>1</v>
      </c>
      <c r="C860" s="17">
        <v>1</v>
      </c>
    </row>
    <row r="861" spans="1:3" x14ac:dyDescent="0.2">
      <c r="A861" s="310" t="s">
        <v>4442</v>
      </c>
      <c r="B861" s="307">
        <f>IF(ISBLANK(NeoDataInfB!$B$48),"",NeoDataInfB!$B$48)</f>
        <v>0</v>
      </c>
      <c r="C861" s="312">
        <v>0</v>
      </c>
    </row>
    <row r="862" spans="1:3" x14ac:dyDescent="0.2">
      <c r="A862" s="310" t="s">
        <v>4443</v>
      </c>
      <c r="B862" s="307">
        <f>IF(ISBLANK(NeoDataInfB!$B$49),"",NeoDataInfB!$B$49)</f>
        <v>0</v>
      </c>
      <c r="C862" s="312">
        <v>0</v>
      </c>
    </row>
    <row r="863" spans="1:3" x14ac:dyDescent="0.2">
      <c r="A863" s="310" t="s">
        <v>4444</v>
      </c>
      <c r="B863" s="307">
        <f>IF(ISBLANK(NeoDataInfB!$B$50),"",NeoDataInfB!$B$50)</f>
        <v>0</v>
      </c>
      <c r="C863" s="312">
        <v>0</v>
      </c>
    </row>
    <row r="864" spans="1:3" x14ac:dyDescent="0.2">
      <c r="A864" s="310" t="s">
        <v>4445</v>
      </c>
      <c r="B864" s="307">
        <f>IF(ISBLANK(NeoDataInfB!$B$51),"",NeoDataInfB!$B$51)</f>
        <v>0</v>
      </c>
      <c r="C864" s="312">
        <v>0</v>
      </c>
    </row>
    <row r="865" spans="1:4" x14ac:dyDescent="0.2">
      <c r="A865" s="310" t="s">
        <v>4446</v>
      </c>
      <c r="B865" s="307">
        <f>IF(ISBLANK(NeoDataInfB!$B$52),"",NeoDataInfB!$B$52)</f>
        <v>0</v>
      </c>
      <c r="C865" s="312">
        <v>0</v>
      </c>
    </row>
    <row r="866" spans="1:4" x14ac:dyDescent="0.2">
      <c r="A866" s="310" t="s">
        <v>4447</v>
      </c>
      <c r="B866" s="307">
        <f>IF(ISBLANK(NeoDataInfB!$B$53),"",NeoDataInfB!$B$53)</f>
        <v>0</v>
      </c>
      <c r="C866" s="312">
        <v>0</v>
      </c>
    </row>
    <row r="867" spans="1:4" x14ac:dyDescent="0.2">
      <c r="A867" s="310" t="s">
        <v>4448</v>
      </c>
      <c r="B867" s="307">
        <f>IF(ISBLANK(NeoDataInfB!$B$54),"",NeoDataInfB!$B$54)</f>
        <v>0</v>
      </c>
      <c r="C867" s="312">
        <v>0</v>
      </c>
    </row>
    <row r="868" spans="1:4" x14ac:dyDescent="0.2">
      <c r="A868" s="310" t="s">
        <v>4449</v>
      </c>
      <c r="B868" s="307">
        <f>IF(ISBLANK(NeoDataInfB!$B$55),"",NeoDataInfB!$B$55)</f>
        <v>0</v>
      </c>
      <c r="C868" s="312">
        <v>0</v>
      </c>
    </row>
    <row r="869" spans="1:4" x14ac:dyDescent="0.2">
      <c r="A869" s="310" t="s">
        <v>4450</v>
      </c>
      <c r="B869" s="307">
        <f>IF(ISBLANK(NeoDataInfB!$B$56),"",NeoDataInfB!$B$56)</f>
        <v>0</v>
      </c>
      <c r="C869" s="312">
        <v>0</v>
      </c>
    </row>
    <row r="870" spans="1:4" s="310" customFormat="1" x14ac:dyDescent="0.2">
      <c r="A870" s="310" t="s">
        <v>4451</v>
      </c>
      <c r="B870" s="307">
        <f>IF(ISBLANK(NeoDataInfB!$B$57),"",NeoDataInfB!$B$57)</f>
        <v>0</v>
      </c>
      <c r="C870" s="312">
        <v>0</v>
      </c>
      <c r="D870"/>
    </row>
    <row r="871" spans="1:4" x14ac:dyDescent="0.2">
      <c r="A871" s="310" t="s">
        <v>4452</v>
      </c>
      <c r="B871" s="307">
        <f>IF(ISBLANK(NeoDataInfB!$B$58),"",NeoDataInfB!$B$58)</f>
        <v>0</v>
      </c>
      <c r="C871" s="312">
        <v>0</v>
      </c>
      <c r="D871" s="310"/>
    </row>
    <row r="872" spans="1:4" x14ac:dyDescent="0.2">
      <c r="A872" s="310" t="s">
        <v>4453</v>
      </c>
      <c r="B872" s="307">
        <f>IF(ISBLANK(NeoDataInfB!$B$59),"",NeoDataInfB!$B$59)</f>
        <v>0</v>
      </c>
      <c r="C872" s="312">
        <v>0</v>
      </c>
    </row>
    <row r="873" spans="1:4" s="310" customFormat="1" x14ac:dyDescent="0.2">
      <c r="A873" s="310" t="s">
        <v>4895</v>
      </c>
      <c r="B873" s="307">
        <f>IF(ISBLANK(NeoDataInfB!$B$60),"",NeoDataInfB!$B$60)</f>
        <v>0</v>
      </c>
      <c r="C873" s="312">
        <v>0</v>
      </c>
      <c r="D873"/>
    </row>
    <row r="874" spans="1:4" s="310" customFormat="1" x14ac:dyDescent="0.2">
      <c r="A874" s="310" t="s">
        <v>4454</v>
      </c>
      <c r="B874" s="307" t="b">
        <f>IF(ISBLANK(NeoDataInfB!$B$61),"",NeoDataInfB!$B$61)</f>
        <v>0</v>
      </c>
      <c r="C874" s="17" t="b">
        <v>0</v>
      </c>
    </row>
    <row r="875" spans="1:4" x14ac:dyDescent="0.2">
      <c r="A875" s="310" t="s">
        <v>4455</v>
      </c>
      <c r="B875" s="307" t="b">
        <f>IF(ISBLANK(NeoDataInfB!$B$62),"",NeoDataInfB!$B$62)</f>
        <v>0</v>
      </c>
      <c r="C875" s="17" t="b">
        <v>0</v>
      </c>
      <c r="D875" s="310"/>
    </row>
    <row r="876" spans="1:4" x14ac:dyDescent="0.2">
      <c r="A876" s="310" t="s">
        <v>4456</v>
      </c>
      <c r="B876" s="307" t="b">
        <f>IF(ISBLANK(NeoDataInfB!$B$63),"",NeoDataInfB!$B$63)</f>
        <v>0</v>
      </c>
      <c r="C876" s="17" t="b">
        <v>0</v>
      </c>
    </row>
    <row r="877" spans="1:4" x14ac:dyDescent="0.2">
      <c r="A877" s="310" t="s">
        <v>4457</v>
      </c>
      <c r="B877" s="307" t="b">
        <f>IF(ISBLANK(NeoDataInfB!$B$64),"",NeoDataInfB!$B$64)</f>
        <v>0</v>
      </c>
      <c r="C877" s="17" t="b">
        <v>0</v>
      </c>
    </row>
    <row r="878" spans="1:4" x14ac:dyDescent="0.2">
      <c r="A878" s="310" t="s">
        <v>4458</v>
      </c>
      <c r="B878" s="307" t="b">
        <f>IF(ISBLANK(NeoDataInfB!$B$65),"",NeoDataInfB!$B$65)</f>
        <v>0</v>
      </c>
      <c r="C878" s="17" t="b">
        <v>0</v>
      </c>
    </row>
    <row r="879" spans="1:4" s="310" customFormat="1" x14ac:dyDescent="0.2">
      <c r="A879" s="310" t="s">
        <v>4459</v>
      </c>
      <c r="B879" s="307" t="b">
        <f>IF(ISBLANK(NeoDataInfB!$B$66),"",NeoDataInfB!$B$66)</f>
        <v>0</v>
      </c>
      <c r="C879" s="17" t="b">
        <v>0</v>
      </c>
      <c r="D879"/>
    </row>
    <row r="880" spans="1:4" s="310" customFormat="1" x14ac:dyDescent="0.2">
      <c r="A880" s="310" t="s">
        <v>4460</v>
      </c>
      <c r="B880" s="307" t="b">
        <f>IF(ISBLANK(NeoDataInfB!$B$67),"",NeoDataInfB!$B$67)</f>
        <v>0</v>
      </c>
      <c r="C880" s="17" t="b">
        <v>0</v>
      </c>
    </row>
    <row r="881" spans="1:4" x14ac:dyDescent="0.2">
      <c r="A881" s="310" t="s">
        <v>4461</v>
      </c>
      <c r="B881" s="307" t="b">
        <f>IF(ISBLANK(NeoDataInfB!$B$68),"",NeoDataInfB!$B$68)</f>
        <v>0</v>
      </c>
      <c r="C881" s="17" t="b">
        <v>0</v>
      </c>
      <c r="D881" s="310"/>
    </row>
    <row r="882" spans="1:4" x14ac:dyDescent="0.2">
      <c r="A882" s="310" t="s">
        <v>4462</v>
      </c>
      <c r="B882" s="307" t="b">
        <f>IF(ISBLANK(NeoDataInfB!$B$69),"",NeoDataInfB!$B$69)</f>
        <v>0</v>
      </c>
      <c r="C882" s="17" t="b">
        <v>0</v>
      </c>
    </row>
    <row r="883" spans="1:4" x14ac:dyDescent="0.2">
      <c r="A883" s="310" t="s">
        <v>4463</v>
      </c>
      <c r="B883" s="307" t="b">
        <f>IF(ISBLANK(NeoDataInfB!$B$70),"",NeoDataInfB!$B$70)</f>
        <v>0</v>
      </c>
      <c r="C883" s="17" t="b">
        <v>0</v>
      </c>
    </row>
    <row r="884" spans="1:4" x14ac:dyDescent="0.2">
      <c r="A884" s="310" t="s">
        <v>4464</v>
      </c>
      <c r="B884" s="307" t="b">
        <f>IF(ISBLANK(NeoDataInfB!$B$71),"",NeoDataInfB!$B$71)</f>
        <v>0</v>
      </c>
      <c r="C884" s="310" t="b">
        <v>0</v>
      </c>
    </row>
    <row r="885" spans="1:4" x14ac:dyDescent="0.2">
      <c r="A885" s="310" t="s">
        <v>4465</v>
      </c>
      <c r="B885" s="154" t="b">
        <f>IF(ISBLANK(NeoDataInfB!$B$72),"",NeoDataInfB!$B$72)</f>
        <v>0</v>
      </c>
      <c r="C885" s="310" t="b">
        <v>0</v>
      </c>
    </row>
    <row r="886" spans="1:4" x14ac:dyDescent="0.2">
      <c r="A886" s="310" t="s">
        <v>4466</v>
      </c>
      <c r="B886" s="154" t="b">
        <f>IF(ISBLANK(NeoDataInfB!$B$73),"",NeoDataInfB!$B$73)</f>
        <v>0</v>
      </c>
      <c r="C886" t="b">
        <v>0</v>
      </c>
    </row>
    <row r="887" spans="1:4" x14ac:dyDescent="0.2">
      <c r="A887" s="310" t="s">
        <v>4467</v>
      </c>
      <c r="B887" s="154" t="b">
        <f>IF(ISBLANK(NeoDataInfB!$B$74),"",NeoDataInfB!$B$74)</f>
        <v>0</v>
      </c>
      <c r="C887" t="b">
        <v>0</v>
      </c>
    </row>
    <row r="888" spans="1:4" s="310" customFormat="1" x14ac:dyDescent="0.2">
      <c r="A888" s="311" t="s">
        <v>5142</v>
      </c>
      <c r="B888" s="454">
        <f>IF(ISBLANK(NeoDataInfB!$B$75),"",NeoDataInfB!$B$75)</f>
        <v>2</v>
      </c>
      <c r="C888" s="310">
        <v>2</v>
      </c>
    </row>
    <row r="889" spans="1:4" x14ac:dyDescent="0.2">
      <c r="A889" s="310" t="s">
        <v>4468</v>
      </c>
      <c r="B889" s="154">
        <f>IF(ISBLANK(NeoDataInfB!$B$76),"",NeoDataInfB!$B$76)</f>
        <v>0</v>
      </c>
      <c r="C889" s="17">
        <v>0</v>
      </c>
    </row>
    <row r="890" spans="1:4" x14ac:dyDescent="0.2">
      <c r="A890" s="310" t="s">
        <v>4469</v>
      </c>
      <c r="B890" s="154">
        <f>IF(ISBLANK(NeoDataInfB!$B$77),"",NeoDataInfB!$B$77)</f>
        <v>0</v>
      </c>
      <c r="C890" s="17">
        <v>0</v>
      </c>
    </row>
    <row r="891" spans="1:4" x14ac:dyDescent="0.2">
      <c r="A891" s="310" t="s">
        <v>4470</v>
      </c>
      <c r="B891" s="154">
        <f>IF(ISBLANK(NeoDataInfB!$B$78),"",NeoDataInfB!$B$78)</f>
        <v>0</v>
      </c>
      <c r="C891" s="312">
        <v>0</v>
      </c>
    </row>
    <row r="892" spans="1:4" x14ac:dyDescent="0.2">
      <c r="A892" s="310" t="s">
        <v>4471</v>
      </c>
      <c r="B892" s="154">
        <f>IF(ISBLANK(NeoDataInfB!$B$79),"",NeoDataInfB!$B$79)</f>
        <v>0</v>
      </c>
      <c r="C892" s="312">
        <v>0</v>
      </c>
    </row>
    <row r="893" spans="1:4" x14ac:dyDescent="0.2">
      <c r="A893" s="310" t="s">
        <v>4472</v>
      </c>
      <c r="B893" s="154">
        <f>IF(ISBLANK(NeoDataInfB!$B$80),"",NeoDataInfB!$B$80)</f>
        <v>1</v>
      </c>
      <c r="C893" s="17">
        <v>1</v>
      </c>
    </row>
    <row r="894" spans="1:4" x14ac:dyDescent="0.2">
      <c r="A894" s="310" t="s">
        <v>4473</v>
      </c>
      <c r="B894" s="154">
        <f>IF(ISBLANK(NeoDataInfB!$B$81),"",NeoDataInfB!$B$81)</f>
        <v>1</v>
      </c>
      <c r="C894" s="17">
        <v>1</v>
      </c>
    </row>
    <row r="895" spans="1:4" x14ac:dyDescent="0.2">
      <c r="A895" s="310" t="s">
        <v>4474</v>
      </c>
      <c r="B895" s="154">
        <f>IF(ISBLANK(NeoDataInfB!$B$82),"",NeoDataInfB!$B$82)</f>
        <v>1</v>
      </c>
      <c r="C895" s="17">
        <v>1</v>
      </c>
    </row>
    <row r="896" spans="1:4" x14ac:dyDescent="0.2">
      <c r="A896" s="310" t="s">
        <v>4475</v>
      </c>
      <c r="B896" s="154">
        <f>IF(ISBLANK(NeoDataInfB!$B$83),"",NeoDataInfB!$B$83)</f>
        <v>1</v>
      </c>
      <c r="C896" s="17">
        <v>1</v>
      </c>
    </row>
    <row r="897" spans="1:3" x14ac:dyDescent="0.2">
      <c r="A897" s="310" t="s">
        <v>4476</v>
      </c>
      <c r="B897" s="154">
        <f>IF(ISBLANK(NeoDataInfB!$B$84),"",NeoDataInfB!$B$84)</f>
        <v>1</v>
      </c>
      <c r="C897" s="17">
        <v>1</v>
      </c>
    </row>
    <row r="898" spans="1:3" x14ac:dyDescent="0.2">
      <c r="A898" s="310" t="s">
        <v>4477</v>
      </c>
      <c r="B898" s="154">
        <f>IF(ISBLANK(NeoDataInfB!$B$85),"",NeoDataInfB!$B$85)</f>
        <v>1</v>
      </c>
      <c r="C898" s="17">
        <v>1</v>
      </c>
    </row>
    <row r="899" spans="1:3" x14ac:dyDescent="0.2">
      <c r="A899" s="310" t="s">
        <v>4478</v>
      </c>
      <c r="B899">
        <f>IF(ISBLANK(NeoDataInfB!$B$86),"",NeoDataInfB!$B$86)</f>
        <v>1</v>
      </c>
      <c r="C899" s="17">
        <v>1</v>
      </c>
    </row>
    <row r="900" spans="1:3" x14ac:dyDescent="0.2">
      <c r="A900" s="310" t="s">
        <v>4479</v>
      </c>
      <c r="B900">
        <f>IF(ISBLANK(NeoDataInfB!$B$87),"",NeoDataInfB!$B$87)</f>
        <v>1</v>
      </c>
      <c r="C900" s="17">
        <v>1</v>
      </c>
    </row>
    <row r="901" spans="1:3" x14ac:dyDescent="0.2">
      <c r="A901" s="310" t="s">
        <v>4480</v>
      </c>
      <c r="B901">
        <f>IF(ISBLANK(NeoDataInfB!$B$88),"",NeoDataInfB!$B$88)</f>
        <v>1</v>
      </c>
      <c r="C901" s="17">
        <v>1</v>
      </c>
    </row>
    <row r="902" spans="1:3" x14ac:dyDescent="0.2">
      <c r="A902" s="310" t="s">
        <v>4481</v>
      </c>
      <c r="B902">
        <f>IF(ISBLANK(NeoDataInfB!$B$89),"",NeoDataInfB!$B$89)</f>
        <v>1</v>
      </c>
      <c r="C902" s="17">
        <v>1</v>
      </c>
    </row>
    <row r="903" spans="1:3" x14ac:dyDescent="0.2">
      <c r="A903" s="310" t="s">
        <v>4482</v>
      </c>
      <c r="B903">
        <f>IF(ISBLANK(NeoDataInfB!$B$90),"",NeoDataInfB!$B$90)</f>
        <v>1</v>
      </c>
      <c r="C903" s="17">
        <v>1</v>
      </c>
    </row>
    <row r="904" spans="1:3" x14ac:dyDescent="0.2">
      <c r="A904" s="310" t="s">
        <v>4483</v>
      </c>
      <c r="B904">
        <f>IF(ISBLANK(NeoDataInfB!$B$91),"",NeoDataInfB!$B$91)</f>
        <v>1</v>
      </c>
      <c r="C904" s="17">
        <v>1</v>
      </c>
    </row>
    <row r="905" spans="1:3" x14ac:dyDescent="0.2">
      <c r="A905" s="310" t="s">
        <v>4484</v>
      </c>
      <c r="B905">
        <f>IF(ISBLANK(NeoDataInfB!$B$92),"",NeoDataInfB!$B$92)</f>
        <v>1</v>
      </c>
      <c r="C905" s="17">
        <v>1</v>
      </c>
    </row>
    <row r="906" spans="1:3" x14ac:dyDescent="0.2">
      <c r="A906" s="310" t="s">
        <v>4485</v>
      </c>
      <c r="B906">
        <f>IF(ISBLANK(NeoDataInfB!$B$93),"",NeoDataInfB!$B$93)</f>
        <v>1</v>
      </c>
      <c r="C906" s="17">
        <v>1</v>
      </c>
    </row>
    <row r="907" spans="1:3" x14ac:dyDescent="0.2">
      <c r="A907" s="310" t="s">
        <v>4486</v>
      </c>
      <c r="B907">
        <f>IF(ISBLANK(NeoDataInfB!$B$94),"",NeoDataInfB!$B$94)</f>
        <v>1</v>
      </c>
      <c r="C907" s="17">
        <v>1</v>
      </c>
    </row>
    <row r="908" spans="1:3" x14ac:dyDescent="0.2">
      <c r="A908" s="310" t="s">
        <v>4487</v>
      </c>
      <c r="B908">
        <f>IF(ISBLANK(NeoDataInfB!$B$95),"",NeoDataInfB!$B$95)</f>
        <v>1</v>
      </c>
      <c r="C908" s="17">
        <v>1</v>
      </c>
    </row>
    <row r="909" spans="1:3" x14ac:dyDescent="0.2">
      <c r="A909" s="310" t="s">
        <v>4488</v>
      </c>
      <c r="B909" s="310">
        <f>IF(ISBLANK(NeoDataInfB!$B$96),"",NeoDataInfB!$B$96)</f>
        <v>1</v>
      </c>
      <c r="C909" s="17">
        <v>1</v>
      </c>
    </row>
    <row r="910" spans="1:3" x14ac:dyDescent="0.2">
      <c r="A910" s="310" t="s">
        <v>4489</v>
      </c>
      <c r="B910" s="310">
        <f>IF(ISBLANK(NeoDataInfB!$B$97),"",NeoDataInfB!$B$97)</f>
        <v>1</v>
      </c>
      <c r="C910">
        <v>1</v>
      </c>
    </row>
    <row r="911" spans="1:3" x14ac:dyDescent="0.2">
      <c r="A911" s="310" t="s">
        <v>4490</v>
      </c>
      <c r="B911" s="310">
        <f>IF(ISBLANK(NeoDataInfB!$B$98),"",NeoDataInfB!$B$98)</f>
        <v>5000</v>
      </c>
      <c r="C911">
        <v>5000</v>
      </c>
    </row>
    <row r="912" spans="1:3" x14ac:dyDescent="0.2">
      <c r="A912" s="310" t="s">
        <v>4491</v>
      </c>
      <c r="B912" s="310">
        <f>IF(ISBLANK(NeoDataInfB!$B$99),"",NeoDataInfB!$B$99)</f>
        <v>1</v>
      </c>
      <c r="C912">
        <v>1</v>
      </c>
    </row>
    <row r="913" spans="1:4" x14ac:dyDescent="0.2">
      <c r="A913" s="310" t="s">
        <v>4492</v>
      </c>
      <c r="B913" s="310">
        <f>IF(ISBLANK(NeoDataInfB!$B$100),"",NeoDataInfB!$B$100)</f>
        <v>2</v>
      </c>
      <c r="C913">
        <v>2</v>
      </c>
    </row>
    <row r="914" spans="1:4" x14ac:dyDescent="0.2">
      <c r="A914" s="310" t="s">
        <v>4493</v>
      </c>
      <c r="B914" s="310">
        <f>IF(ISBLANK(NeoDataInfB!$B$101),"",NeoDataInfB!$B$101)</f>
        <v>2</v>
      </c>
      <c r="C914">
        <v>2</v>
      </c>
    </row>
    <row r="915" spans="1:4" x14ac:dyDescent="0.2">
      <c r="A915" s="310" t="s">
        <v>4494</v>
      </c>
      <c r="B915" s="310">
        <f>IF(ISBLANK(NeoDataInfB!$B$102),"",NeoDataInfB!$B$102)</f>
        <v>5000</v>
      </c>
      <c r="C915">
        <v>5000</v>
      </c>
    </row>
    <row r="916" spans="1:4" x14ac:dyDescent="0.2">
      <c r="A916" s="310" t="s">
        <v>4495</v>
      </c>
      <c r="B916" s="310">
        <f>IF(ISBLANK(NeoDataInfB!$B$103),"",NeoDataInfB!$B$103)</f>
        <v>5000</v>
      </c>
      <c r="C916">
        <v>5000</v>
      </c>
    </row>
    <row r="917" spans="1:4" x14ac:dyDescent="0.2">
      <c r="A917" s="310" t="s">
        <v>4496</v>
      </c>
      <c r="B917" s="310">
        <f>IF(ISBLANK(NeoDataInfB!$B$104),"",NeoDataInfB!$B$104)</f>
        <v>1</v>
      </c>
      <c r="C917">
        <v>1</v>
      </c>
    </row>
    <row r="918" spans="1:4" x14ac:dyDescent="0.2">
      <c r="A918" s="310" t="s">
        <v>4497</v>
      </c>
      <c r="B918">
        <f>IF(ISBLANK(NeoDataInfB!$B$105),"",NeoDataInfB!$B$105)</f>
        <v>5000</v>
      </c>
      <c r="C918">
        <v>5000</v>
      </c>
    </row>
    <row r="919" spans="1:4" x14ac:dyDescent="0.2">
      <c r="A919" s="310" t="s">
        <v>4498</v>
      </c>
      <c r="B919">
        <f>IF(ISBLANK(NeoDataInfB!$B$106),"",NeoDataInfB!$B$106)</f>
        <v>5000</v>
      </c>
      <c r="C919">
        <v>5000</v>
      </c>
    </row>
    <row r="920" spans="1:4" x14ac:dyDescent="0.2">
      <c r="A920" s="310" t="s">
        <v>4499</v>
      </c>
      <c r="B920">
        <f>IF(ISBLANK(NeoDataInfB!$B$107),"",NeoDataInfB!$B$107)</f>
        <v>5000</v>
      </c>
      <c r="C920">
        <v>5000</v>
      </c>
    </row>
    <row r="921" spans="1:4" s="310" customFormat="1" x14ac:dyDescent="0.2">
      <c r="A921" s="310" t="s">
        <v>4500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310" t="s">
        <v>4501</v>
      </c>
      <c r="B922" t="b">
        <f>IF(ISBLANK(NeoDataInfB!$B$109),"",NeoDataInfB!$B$109)</f>
        <v>0</v>
      </c>
      <c r="C922" t="b">
        <v>0</v>
      </c>
      <c r="D922" s="310"/>
    </row>
    <row r="923" spans="1:4" x14ac:dyDescent="0.2">
      <c r="A923" s="310" t="s">
        <v>4502</v>
      </c>
      <c r="B923">
        <f>IF(ISBLANK(NeoDataInfB!$B$110),"",NeoDataInfB!$B$110)</f>
        <v>5000</v>
      </c>
      <c r="C923">
        <v>5000</v>
      </c>
    </row>
    <row r="924" spans="1:4" x14ac:dyDescent="0.2">
      <c r="A924" s="310" t="s">
        <v>4503</v>
      </c>
      <c r="B924">
        <f>IF(ISBLANK(NeoDataInfB!$B$111),"",NeoDataInfB!$B$111)</f>
        <v>5000</v>
      </c>
      <c r="C924">
        <v>5000</v>
      </c>
    </row>
    <row r="925" spans="1:4" x14ac:dyDescent="0.2">
      <c r="A925" s="310" t="s">
        <v>4504</v>
      </c>
      <c r="B925">
        <f>IF(ISBLANK(NeoDataInfB!$B$112),"",NeoDataInfB!$B$112)</f>
        <v>5000</v>
      </c>
      <c r="C925">
        <v>5000</v>
      </c>
    </row>
    <row r="926" spans="1:4" x14ac:dyDescent="0.2">
      <c r="A926" s="310" t="s">
        <v>2484</v>
      </c>
      <c r="B926" t="b">
        <f>IF(ISBLANK(NeoBerLab!$M$4),"",NeoBerLab!$M$4)</f>
        <v>0</v>
      </c>
      <c r="C926" t="b">
        <v>0</v>
      </c>
    </row>
    <row r="927" spans="1:4" x14ac:dyDescent="0.2">
      <c r="A927" s="310" t="s">
        <v>2485</v>
      </c>
      <c r="B927" t="b">
        <f>IF(ISBLANK(NeoBerLab!$M$5),"",NeoBerLab!$M$5)</f>
        <v>0</v>
      </c>
      <c r="C927" s="310" t="b">
        <v>0</v>
      </c>
    </row>
    <row r="928" spans="1:4" x14ac:dyDescent="0.2">
      <c r="A928" s="310" t="s">
        <v>2486</v>
      </c>
      <c r="B928" t="b">
        <f>IF(ISBLANK(NeoBerLab!$M$6),"",NeoBerLab!$M$6)</f>
        <v>0</v>
      </c>
      <c r="C928" s="310" t="b">
        <v>0</v>
      </c>
    </row>
    <row r="929" spans="1:4" x14ac:dyDescent="0.2">
      <c r="A929" s="310" t="s">
        <v>2487</v>
      </c>
      <c r="B929" t="b">
        <f>IF(ISBLANK(NeoBerLab!$M$7),"",NeoBerLab!$M$7)</f>
        <v>0</v>
      </c>
      <c r="C929" s="310" t="b">
        <v>0</v>
      </c>
    </row>
    <row r="930" spans="1:4" x14ac:dyDescent="0.2">
      <c r="A930" s="310" t="s">
        <v>2488</v>
      </c>
      <c r="B930" t="b">
        <f>IF(ISBLANK(NeoBerLab!$M$8),"",NeoBerLab!$M$8)</f>
        <v>0</v>
      </c>
      <c r="C930" s="310" t="b">
        <v>0</v>
      </c>
    </row>
    <row r="931" spans="1:4" x14ac:dyDescent="0.2">
      <c r="A931" s="310" t="s">
        <v>2489</v>
      </c>
      <c r="B931" t="b">
        <f>IF(ISBLANK(NeoBerLab!$M$9),"",NeoBerLab!$M$9)</f>
        <v>0</v>
      </c>
      <c r="C931" s="310" t="b">
        <v>0</v>
      </c>
    </row>
    <row r="932" spans="1:4" x14ac:dyDescent="0.2">
      <c r="A932" s="310" t="s">
        <v>2490</v>
      </c>
      <c r="B932" t="b">
        <f>IF(ISBLANK(NeoBerLab!$M$10),"",NeoBerLab!$M$10)</f>
        <v>0</v>
      </c>
      <c r="C932" s="310" t="b">
        <v>0</v>
      </c>
    </row>
    <row r="933" spans="1:4" s="310" customFormat="1" x14ac:dyDescent="0.2">
      <c r="A933" s="310" t="s">
        <v>2491</v>
      </c>
      <c r="B933" t="b">
        <f>IF(ISBLANK(NeoBerLab!$M$11),"",NeoBerLab!$M$11)</f>
        <v>0</v>
      </c>
      <c r="C933" s="310" t="b">
        <v>0</v>
      </c>
      <c r="D933"/>
    </row>
    <row r="934" spans="1:4" x14ac:dyDescent="0.2">
      <c r="A934" s="310" t="s">
        <v>2492</v>
      </c>
      <c r="B934" t="b">
        <f>IF(ISBLANK(NeoBerLab!$M$12),"",NeoBerLab!$M$12)</f>
        <v>0</v>
      </c>
      <c r="C934" s="310" t="b">
        <v>0</v>
      </c>
      <c r="D934" s="310"/>
    </row>
    <row r="935" spans="1:4" x14ac:dyDescent="0.2">
      <c r="A935" s="310" t="s">
        <v>2493</v>
      </c>
      <c r="B935" t="b">
        <f>IF(ISBLANK(NeoBerLab!$M$13),"",NeoBerLab!$M$13)</f>
        <v>0</v>
      </c>
      <c r="C935" s="310" t="b">
        <v>0</v>
      </c>
    </row>
    <row r="936" spans="1:4" x14ac:dyDescent="0.2">
      <c r="A936" s="310" t="s">
        <v>2494</v>
      </c>
      <c r="B936" t="b">
        <f>IF(ISBLANK(NeoBerLab!$M$14),"",NeoBerLab!$M$14)</f>
        <v>0</v>
      </c>
      <c r="C936" s="310" t="b">
        <v>0</v>
      </c>
    </row>
    <row r="937" spans="1:4" x14ac:dyDescent="0.2">
      <c r="A937" s="310" t="s">
        <v>2495</v>
      </c>
      <c r="B937" t="b">
        <f>IF(ISBLANK(NeoBerLab!$M$15),"",NeoBerLab!$M$15)</f>
        <v>0</v>
      </c>
      <c r="C937" s="310" t="b">
        <v>0</v>
      </c>
    </row>
    <row r="938" spans="1:4" x14ac:dyDescent="0.2">
      <c r="A938" s="310" t="s">
        <v>2496</v>
      </c>
      <c r="B938" t="b">
        <f>IF(ISBLANK(NeoBerLab!$M$16),"",NeoBerLab!$M$16)</f>
        <v>0</v>
      </c>
      <c r="C938" s="310" t="b">
        <v>0</v>
      </c>
    </row>
    <row r="939" spans="1:4" x14ac:dyDescent="0.2">
      <c r="A939" s="310" t="s">
        <v>2497</v>
      </c>
      <c r="B939" t="b">
        <f>IF(ISBLANK(NeoBerLab!$M$17),"",NeoBerLab!$M$17)</f>
        <v>0</v>
      </c>
      <c r="C939" s="310" t="b">
        <v>0</v>
      </c>
    </row>
    <row r="940" spans="1:4" x14ac:dyDescent="0.2">
      <c r="A940" s="310" t="s">
        <v>2498</v>
      </c>
      <c r="B940" t="b">
        <f>IF(ISBLANK(NeoBerLab!$M$18),"",NeoBerLab!$M$18)</f>
        <v>0</v>
      </c>
      <c r="C940" s="310" t="b">
        <v>0</v>
      </c>
    </row>
    <row r="941" spans="1:4" x14ac:dyDescent="0.2">
      <c r="A941" s="310" t="s">
        <v>2499</v>
      </c>
      <c r="B941" t="b">
        <f>IF(ISBLANK(NeoBerLab!$M$19),"",NeoBerLab!$M$19)</f>
        <v>0</v>
      </c>
      <c r="C941" s="310" t="b">
        <v>0</v>
      </c>
    </row>
    <row r="942" spans="1:4" x14ac:dyDescent="0.2">
      <c r="A942" s="310" t="s">
        <v>2500</v>
      </c>
      <c r="B942" t="b">
        <f>IF(ISBLANK(NeoBerLab!$M$20),"",NeoBerLab!$M$20)</f>
        <v>0</v>
      </c>
      <c r="C942" s="310" t="b">
        <v>0</v>
      </c>
    </row>
    <row r="943" spans="1:4" x14ac:dyDescent="0.2">
      <c r="A943" s="310" t="s">
        <v>2501</v>
      </c>
      <c r="B943" t="b">
        <f>IF(ISBLANK(NeoBerLab!$M$21),"",NeoBerLab!$M$21)</f>
        <v>0</v>
      </c>
      <c r="C943" s="310" t="b">
        <v>0</v>
      </c>
    </row>
    <row r="944" spans="1:4" x14ac:dyDescent="0.2">
      <c r="A944" s="310" t="s">
        <v>2502</v>
      </c>
      <c r="B944" t="b">
        <f>IF(ISBLANK(NeoBerLab!$M$22),"",NeoBerLab!$M$22)</f>
        <v>0</v>
      </c>
      <c r="C944" s="310" t="b">
        <v>0</v>
      </c>
    </row>
    <row r="945" spans="1:3" x14ac:dyDescent="0.2">
      <c r="A945" s="310" t="s">
        <v>2503</v>
      </c>
      <c r="B945" t="b">
        <f>IF(ISBLANK(NeoBerLab!$M$23),"",NeoBerLab!$M$23)</f>
        <v>0</v>
      </c>
      <c r="C945" s="310" t="b">
        <v>0</v>
      </c>
    </row>
    <row r="946" spans="1:3" x14ac:dyDescent="0.2">
      <c r="A946" s="310" t="s">
        <v>2504</v>
      </c>
      <c r="B946" t="b">
        <f>IF(ISBLANK(NeoBerLab!$M$24),"",NeoBerLab!$M$24)</f>
        <v>0</v>
      </c>
      <c r="C946" s="310" t="b">
        <v>0</v>
      </c>
    </row>
    <row r="947" spans="1:3" x14ac:dyDescent="0.2">
      <c r="A947" s="310" t="s">
        <v>2505</v>
      </c>
      <c r="B947" t="b">
        <f>IF(ISBLANK(NeoBerLab!$M$25),"",NeoBerLab!$M$25)</f>
        <v>0</v>
      </c>
      <c r="C947" s="310" t="b">
        <v>0</v>
      </c>
    </row>
    <row r="948" spans="1:3" x14ac:dyDescent="0.2">
      <c r="A948" s="310" t="s">
        <v>2506</v>
      </c>
      <c r="B948" t="b">
        <f>IF(ISBLANK(NeoBerLab!$M$26),"",NeoBerLab!$M$26)</f>
        <v>0</v>
      </c>
      <c r="C948" s="310" t="b">
        <v>0</v>
      </c>
    </row>
    <row r="949" spans="1:3" x14ac:dyDescent="0.2">
      <c r="A949" s="310" t="s">
        <v>2507</v>
      </c>
      <c r="B949" t="b">
        <f>IF(ISBLANK(NeoBerLab!$M$27),"",NeoBerLab!$M$27)</f>
        <v>0</v>
      </c>
      <c r="C949" s="310" t="b">
        <v>0</v>
      </c>
    </row>
    <row r="950" spans="1:3" x14ac:dyDescent="0.2">
      <c r="A950" s="310" t="s">
        <v>2508</v>
      </c>
      <c r="B950" t="b">
        <f>IF(ISBLANK(NeoBerLab!$M$28),"",NeoBerLab!$M$28)</f>
        <v>0</v>
      </c>
      <c r="C950" s="310" t="b">
        <v>0</v>
      </c>
    </row>
    <row r="951" spans="1:3" x14ac:dyDescent="0.2">
      <c r="A951" s="310" t="s">
        <v>2509</v>
      </c>
      <c r="B951" t="b">
        <f>IF(ISBLANK(NeoBerLab!$M$29),"",NeoBerLab!$M$29)</f>
        <v>0</v>
      </c>
      <c r="C951" s="310" t="b">
        <v>0</v>
      </c>
    </row>
    <row r="952" spans="1:3" x14ac:dyDescent="0.2">
      <c r="A952" s="310" t="s">
        <v>2510</v>
      </c>
      <c r="B952" t="b">
        <f>IF(ISBLANK(NeoBerLab!$M$30),"",NeoBerLab!$M$30)</f>
        <v>0</v>
      </c>
      <c r="C952" s="310" t="b">
        <v>0</v>
      </c>
    </row>
    <row r="953" spans="1:3" x14ac:dyDescent="0.2">
      <c r="A953" s="310" t="s">
        <v>2511</v>
      </c>
      <c r="B953" t="b">
        <f>IF(ISBLANK(NeoBerLab!$M$31),"",NeoBerLab!$M$31)</f>
        <v>0</v>
      </c>
      <c r="C953" s="310" t="b">
        <v>0</v>
      </c>
    </row>
    <row r="954" spans="1:3" x14ac:dyDescent="0.2">
      <c r="A954" s="310" t="s">
        <v>2512</v>
      </c>
      <c r="B954" t="b">
        <f>IF(ISBLANK(NeoBerLab!$M$32),"",NeoBerLab!$M$32)</f>
        <v>0</v>
      </c>
      <c r="C954" s="310" t="b">
        <v>0</v>
      </c>
    </row>
    <row r="955" spans="1:3" x14ac:dyDescent="0.2">
      <c r="A955" s="310" t="s">
        <v>2513</v>
      </c>
      <c r="B955" t="b">
        <f>IF(ISBLANK(NeoBerLab!$M$33),"",NeoBerLab!$M$33)</f>
        <v>0</v>
      </c>
      <c r="C955" s="310" t="b">
        <v>0</v>
      </c>
    </row>
    <row r="956" spans="1:3" x14ac:dyDescent="0.2">
      <c r="A956" s="310" t="s">
        <v>2514</v>
      </c>
      <c r="B956" t="b">
        <f>IF(ISBLANK(NeoBerLab!$M$34),"",NeoBerLab!$M$34)</f>
        <v>0</v>
      </c>
      <c r="C956" s="310" t="b">
        <v>0</v>
      </c>
    </row>
    <row r="957" spans="1:3" x14ac:dyDescent="0.2">
      <c r="A957" s="310" t="s">
        <v>2515</v>
      </c>
      <c r="B957" t="b">
        <f>IF(ISBLANK(NeoBerLab!$E$4),"",NeoBerLab!$E$4)</f>
        <v>0</v>
      </c>
      <c r="C957" s="310" t="b">
        <v>0</v>
      </c>
    </row>
    <row r="958" spans="1:3" x14ac:dyDescent="0.2">
      <c r="A958" s="310" t="s">
        <v>2516</v>
      </c>
      <c r="B958" t="b">
        <f>IF(ISBLANK(NeoBerLab!$E$5),"",NeoBerLab!$E$5)</f>
        <v>0</v>
      </c>
      <c r="C958" s="310" t="b">
        <v>0</v>
      </c>
    </row>
    <row r="959" spans="1:3" x14ac:dyDescent="0.2">
      <c r="A959" s="310" t="s">
        <v>2517</v>
      </c>
      <c r="B959" t="b">
        <f>IF(ISBLANK(NeoBerLab!$E$6),"",NeoBerLab!$E$6)</f>
        <v>0</v>
      </c>
      <c r="C959" s="310" t="b">
        <v>0</v>
      </c>
    </row>
    <row r="960" spans="1:3" x14ac:dyDescent="0.2">
      <c r="A960" s="310" t="s">
        <v>2518</v>
      </c>
      <c r="B960" t="b">
        <f>IF(ISBLANK(NeoBerLab!$E$7),"",NeoBerLab!$E$7)</f>
        <v>0</v>
      </c>
      <c r="C960" s="310" t="b">
        <v>0</v>
      </c>
    </row>
    <row r="961" spans="1:3" x14ac:dyDescent="0.2">
      <c r="A961" s="310" t="s">
        <v>2519</v>
      </c>
      <c r="B961" t="b">
        <f>IF(ISBLANK(NeoBerLab!$E$8),"",NeoBerLab!$E$8)</f>
        <v>0</v>
      </c>
      <c r="C961" s="310" t="b">
        <v>0</v>
      </c>
    </row>
    <row r="962" spans="1:3" x14ac:dyDescent="0.2">
      <c r="A962" s="310" t="s">
        <v>2520</v>
      </c>
      <c r="B962" t="b">
        <f>IF(ISBLANK(NeoBerLab!$E$9),"",NeoBerLab!$E$9)</f>
        <v>0</v>
      </c>
      <c r="C962" s="310" t="b">
        <v>0</v>
      </c>
    </row>
    <row r="963" spans="1:3" x14ac:dyDescent="0.2">
      <c r="A963" s="310" t="s">
        <v>2521</v>
      </c>
      <c r="B963" t="b">
        <f>IF(ISBLANK(NeoBerLab!$E$10),"",NeoBerLab!$E$10)</f>
        <v>0</v>
      </c>
      <c r="C963" s="310" t="b">
        <v>0</v>
      </c>
    </row>
    <row r="964" spans="1:3" x14ac:dyDescent="0.2">
      <c r="A964" s="310" t="s">
        <v>2522</v>
      </c>
      <c r="B964" t="b">
        <f>IF(ISBLANK(NeoBerLab!$E$11),"",NeoBerLab!$E$11)</f>
        <v>0</v>
      </c>
      <c r="C964" s="310" t="b">
        <v>0</v>
      </c>
    </row>
    <row r="965" spans="1:3" x14ac:dyDescent="0.2">
      <c r="A965" s="310" t="s">
        <v>2523</v>
      </c>
      <c r="B965" t="b">
        <f>IF(ISBLANK(NeoBerLab!$E$12),"",NeoBerLab!$E$12)</f>
        <v>0</v>
      </c>
      <c r="C965" s="310" t="b">
        <v>0</v>
      </c>
    </row>
    <row r="966" spans="1:3" x14ac:dyDescent="0.2">
      <c r="A966" s="310" t="s">
        <v>2524</v>
      </c>
      <c r="B966" t="b">
        <f>IF(ISBLANK(NeoBerLab!$E$13),"",NeoBerLab!$E$13)</f>
        <v>0</v>
      </c>
      <c r="C966" s="310" t="b">
        <v>0</v>
      </c>
    </row>
    <row r="967" spans="1:3" x14ac:dyDescent="0.2">
      <c r="A967" s="310" t="s">
        <v>2525</v>
      </c>
      <c r="B967" t="b">
        <f>IF(ISBLANK(NeoBerLab!$E$14),"",NeoBerLab!$E$14)</f>
        <v>0</v>
      </c>
      <c r="C967" s="310" t="b">
        <v>0</v>
      </c>
    </row>
    <row r="968" spans="1:3" x14ac:dyDescent="0.2">
      <c r="A968" s="310" t="s">
        <v>2526</v>
      </c>
      <c r="B968" t="b">
        <f>IF(ISBLANK(NeoBerLab!$E$15),"",NeoBerLab!$E$15)</f>
        <v>0</v>
      </c>
      <c r="C968" s="310" t="b">
        <v>0</v>
      </c>
    </row>
    <row r="969" spans="1:3" x14ac:dyDescent="0.2">
      <c r="A969" s="310" t="s">
        <v>2527</v>
      </c>
      <c r="B969" t="b">
        <f>IF(ISBLANK(NeoBerLab!$E$16),"",NeoBerLab!$E$16)</f>
        <v>0</v>
      </c>
      <c r="C969" s="310" t="b">
        <v>0</v>
      </c>
    </row>
    <row r="970" spans="1:3" x14ac:dyDescent="0.2">
      <c r="A970" s="310" t="s">
        <v>2528</v>
      </c>
      <c r="B970" t="b">
        <f>IF(ISBLANK(NeoBerLab!$E$17),"",NeoBerLab!$E$17)</f>
        <v>0</v>
      </c>
      <c r="C970" s="310" t="b">
        <v>0</v>
      </c>
    </row>
    <row r="971" spans="1:3" x14ac:dyDescent="0.2">
      <c r="A971" s="310" t="s">
        <v>2529</v>
      </c>
      <c r="B971" t="b">
        <f>IF(ISBLANK(NeoBerLab!$E$18),"",NeoBerLab!$E$18)</f>
        <v>0</v>
      </c>
      <c r="C971" s="310" t="b">
        <v>0</v>
      </c>
    </row>
    <row r="972" spans="1:3" x14ac:dyDescent="0.2">
      <c r="A972" s="310" t="s">
        <v>2530</v>
      </c>
      <c r="B972" t="b">
        <f>IF(ISBLANK(NeoBerLab!$E$19),"",NeoBerLab!$E$19)</f>
        <v>0</v>
      </c>
      <c r="C972" s="310" t="b">
        <v>0</v>
      </c>
    </row>
    <row r="973" spans="1:3" x14ac:dyDescent="0.2">
      <c r="A973" s="310" t="s">
        <v>2531</v>
      </c>
      <c r="B973" t="b">
        <f>IF(ISBLANK(NeoBerLab!$E$20),"",NeoBerLab!$E$20)</f>
        <v>0</v>
      </c>
      <c r="C973" s="310" t="b">
        <v>0</v>
      </c>
    </row>
    <row r="974" spans="1:3" x14ac:dyDescent="0.2">
      <c r="A974" s="310" t="s">
        <v>2532</v>
      </c>
      <c r="B974" t="b">
        <f>IF(ISBLANK(NeoBerLab!$E$21),"",NeoBerLab!$E$21)</f>
        <v>0</v>
      </c>
      <c r="C974" s="310" t="b">
        <v>0</v>
      </c>
    </row>
    <row r="975" spans="1:3" x14ac:dyDescent="0.2">
      <c r="A975" s="310" t="s">
        <v>2533</v>
      </c>
      <c r="B975" t="b">
        <f>IF(ISBLANK(NeoBerLab!$E$22),"",NeoBerLab!$E$22)</f>
        <v>0</v>
      </c>
      <c r="C975" s="310" t="b">
        <v>0</v>
      </c>
    </row>
    <row r="976" spans="1:3" x14ac:dyDescent="0.2">
      <c r="A976" s="310" t="s">
        <v>2534</v>
      </c>
      <c r="B976" t="b">
        <f>IF(ISBLANK(NeoBerLab!$E$23),"",NeoBerLab!$E$23)</f>
        <v>0</v>
      </c>
      <c r="C976" s="310" t="b">
        <v>0</v>
      </c>
    </row>
    <row r="977" spans="1:4" x14ac:dyDescent="0.2">
      <c r="A977" s="310" t="s">
        <v>2535</v>
      </c>
      <c r="B977" t="b">
        <f>IF(ISBLANK(NeoBerLab!$E$24),"",NeoBerLab!$E$24)</f>
        <v>0</v>
      </c>
      <c r="C977" s="310" t="b">
        <v>0</v>
      </c>
    </row>
    <row r="978" spans="1:4" x14ac:dyDescent="0.2">
      <c r="A978" s="310" t="s">
        <v>2536</v>
      </c>
      <c r="B978" t="b">
        <f>IF(ISBLANK(NeoBerLab!$E$25),"",NeoBerLab!$E$25)</f>
        <v>0</v>
      </c>
      <c r="C978" s="310" t="b">
        <v>0</v>
      </c>
    </row>
    <row r="979" spans="1:4" x14ac:dyDescent="0.2">
      <c r="A979" s="310" t="s">
        <v>2537</v>
      </c>
      <c r="B979" t="b">
        <f>IF(ISBLANK(NeoBerLab!$E$26),"",NeoBerLab!$E$26)</f>
        <v>0</v>
      </c>
      <c r="C979" s="310" t="b">
        <v>0</v>
      </c>
    </row>
    <row r="980" spans="1:4" x14ac:dyDescent="0.2">
      <c r="A980" s="310" t="s">
        <v>2538</v>
      </c>
      <c r="B980" t="b">
        <f>IF(ISBLANK(NeoBerLab!$E$27),"",NeoBerLab!$E$27)</f>
        <v>0</v>
      </c>
      <c r="C980" s="310" t="b">
        <v>0</v>
      </c>
    </row>
    <row r="981" spans="1:4" x14ac:dyDescent="0.2">
      <c r="A981" s="310" t="s">
        <v>2539</v>
      </c>
      <c r="B981" t="b">
        <f>IF(ISBLANK(NeoBerLab!$E$28),"",NeoBerLab!$E$28)</f>
        <v>0</v>
      </c>
      <c r="C981" s="310" t="b">
        <v>0</v>
      </c>
    </row>
    <row r="982" spans="1:4" s="310" customFormat="1" x14ac:dyDescent="0.2">
      <c r="A982" s="310" t="s">
        <v>2540</v>
      </c>
      <c r="B982" t="b">
        <f>IF(ISBLANK(NeoBerLab!$E$29),"",NeoBerLab!$E$29)</f>
        <v>0</v>
      </c>
      <c r="C982" s="310" t="b">
        <v>0</v>
      </c>
      <c r="D982"/>
    </row>
    <row r="983" spans="1:4" x14ac:dyDescent="0.2">
      <c r="A983" s="310" t="s">
        <v>2541</v>
      </c>
      <c r="B983" t="b">
        <f>IF(ISBLANK(NeoBerLab!$E$30),"",NeoBerLab!$E$30)</f>
        <v>0</v>
      </c>
      <c r="C983" s="310" t="b">
        <v>0</v>
      </c>
      <c r="D983" s="310"/>
    </row>
    <row r="984" spans="1:4" x14ac:dyDescent="0.2">
      <c r="A984" s="310" t="s">
        <v>2542</v>
      </c>
      <c r="B984" t="b">
        <f>IF(ISBLANK(NeoBerLab!$E$31),"",NeoBerLab!$E$31)</f>
        <v>0</v>
      </c>
      <c r="C984" s="310" t="b">
        <v>0</v>
      </c>
    </row>
    <row r="985" spans="1:4" x14ac:dyDescent="0.2">
      <c r="A985" s="310" t="s">
        <v>2543</v>
      </c>
      <c r="B985" t="b">
        <f>IF(ISBLANK(NeoBerLab!$E$32),"",NeoBerLab!$E$32)</f>
        <v>0</v>
      </c>
      <c r="C985" s="310" t="b">
        <v>0</v>
      </c>
    </row>
    <row r="986" spans="1:4" x14ac:dyDescent="0.2">
      <c r="A986" s="310" t="s">
        <v>2544</v>
      </c>
      <c r="B986" t="b">
        <f>IF(ISBLANK(NeoBerLab!$E$33),"",NeoBerLab!$E$33)</f>
        <v>0</v>
      </c>
      <c r="C986" s="310" t="b">
        <v>0</v>
      </c>
    </row>
    <row r="987" spans="1:4" x14ac:dyDescent="0.2">
      <c r="A987" s="310" t="s">
        <v>2545</v>
      </c>
      <c r="B987" t="b">
        <f>IF(ISBLANK(NeoBerLab!$E$34),"",NeoBerLab!$E$34)</f>
        <v>0</v>
      </c>
      <c r="C987" s="310" t="b">
        <v>0</v>
      </c>
    </row>
    <row r="988" spans="1:4" x14ac:dyDescent="0.2">
      <c r="A988" s="310" t="s">
        <v>2546</v>
      </c>
      <c r="B988" t="b">
        <f>IF(ISBLANK(NeoBerLab!$G$4),"",NeoBerLab!$G$4)</f>
        <v>0</v>
      </c>
      <c r="C988" s="310" t="b">
        <v>0</v>
      </c>
    </row>
    <row r="989" spans="1:4" x14ac:dyDescent="0.2">
      <c r="A989" s="310" t="s">
        <v>2547</v>
      </c>
      <c r="B989" t="b">
        <f>IF(ISBLANK(NeoBerLab!$G$5),"",NeoBerLab!$G$5)</f>
        <v>0</v>
      </c>
      <c r="C989" s="310" t="b">
        <v>0</v>
      </c>
    </row>
    <row r="990" spans="1:4" x14ac:dyDescent="0.2">
      <c r="A990" s="310" t="s">
        <v>2548</v>
      </c>
      <c r="B990" t="b">
        <f>IF(ISBLANK(NeoBerLab!$G$6),"",NeoBerLab!$G$6)</f>
        <v>0</v>
      </c>
      <c r="C990" s="310" t="b">
        <v>0</v>
      </c>
    </row>
    <row r="991" spans="1:4" x14ac:dyDescent="0.2">
      <c r="A991" s="310" t="s">
        <v>2549</v>
      </c>
      <c r="B991" t="b">
        <f>IF(ISBLANK(NeoBerLab!$G$7),"",NeoBerLab!$G$7)</f>
        <v>0</v>
      </c>
      <c r="C991" s="310" t="b">
        <v>0</v>
      </c>
    </row>
    <row r="992" spans="1:4" x14ac:dyDescent="0.2">
      <c r="A992" s="310" t="s">
        <v>2550</v>
      </c>
      <c r="B992" t="b">
        <f>IF(ISBLANK(NeoBerLab!$G$8),"",NeoBerLab!$G$8)</f>
        <v>0</v>
      </c>
      <c r="C992" s="310" t="b">
        <v>0</v>
      </c>
    </row>
    <row r="993" spans="1:3" x14ac:dyDescent="0.2">
      <c r="A993" s="310" t="s">
        <v>2551</v>
      </c>
      <c r="B993" t="b">
        <f>IF(ISBLANK(NeoBerLab!$G$9),"",NeoBerLab!$G$9)</f>
        <v>0</v>
      </c>
      <c r="C993" s="310" t="b">
        <v>0</v>
      </c>
    </row>
    <row r="994" spans="1:3" x14ac:dyDescent="0.2">
      <c r="A994" s="310" t="s">
        <v>2552</v>
      </c>
      <c r="B994" t="b">
        <f>IF(ISBLANK(NeoBerLab!$G$10),"",NeoBerLab!$G$10)</f>
        <v>0</v>
      </c>
      <c r="C994" s="310" t="b">
        <v>0</v>
      </c>
    </row>
    <row r="995" spans="1:3" x14ac:dyDescent="0.2">
      <c r="A995" s="310" t="s">
        <v>2553</v>
      </c>
      <c r="B995" t="b">
        <f>IF(ISBLANK(NeoBerLab!$G$11),"",NeoBerLab!$G$11)</f>
        <v>0</v>
      </c>
      <c r="C995" s="310" t="b">
        <v>0</v>
      </c>
    </row>
    <row r="996" spans="1:3" x14ac:dyDescent="0.2">
      <c r="A996" s="310" t="s">
        <v>2554</v>
      </c>
      <c r="B996" t="b">
        <f>IF(ISBLANK(NeoBerLab!$G$12),"",NeoBerLab!$G$12)</f>
        <v>0</v>
      </c>
      <c r="C996" s="310" t="b">
        <v>0</v>
      </c>
    </row>
    <row r="997" spans="1:3" x14ac:dyDescent="0.2">
      <c r="A997" s="310" t="s">
        <v>2555</v>
      </c>
      <c r="B997" t="b">
        <f>IF(ISBLANK(NeoBerLab!$G$13),"",NeoBerLab!$G$13)</f>
        <v>0</v>
      </c>
      <c r="C997" s="310" t="b">
        <v>0</v>
      </c>
    </row>
    <row r="998" spans="1:3" x14ac:dyDescent="0.2">
      <c r="A998" s="310" t="s">
        <v>2556</v>
      </c>
      <c r="B998" t="b">
        <f>IF(ISBLANK(NeoBerLab!$G$14),"",NeoBerLab!$G$14)</f>
        <v>0</v>
      </c>
      <c r="C998" s="310" t="b">
        <v>0</v>
      </c>
    </row>
    <row r="999" spans="1:3" x14ac:dyDescent="0.2">
      <c r="A999" s="310" t="s">
        <v>2557</v>
      </c>
      <c r="B999" t="b">
        <f>IF(ISBLANK(NeoBerLab!$G$15),"",NeoBerLab!$G$15)</f>
        <v>0</v>
      </c>
      <c r="C999" s="310" t="b">
        <v>0</v>
      </c>
    </row>
    <row r="1000" spans="1:3" x14ac:dyDescent="0.2">
      <c r="A1000" s="310" t="s">
        <v>2558</v>
      </c>
      <c r="B1000" s="310" t="b">
        <f>IF(ISBLANK(NeoBerLab!$G$16),"",NeoBerLab!$G$16)</f>
        <v>0</v>
      </c>
      <c r="C1000" s="310" t="b">
        <v>0</v>
      </c>
    </row>
    <row r="1001" spans="1:3" x14ac:dyDescent="0.2">
      <c r="A1001" s="310" t="s">
        <v>2559</v>
      </c>
      <c r="B1001" t="b">
        <f>IF(ISBLANK(NeoBerLab!$G$17),"",NeoBerLab!$G$17)</f>
        <v>0</v>
      </c>
      <c r="C1001" s="310" t="b">
        <v>0</v>
      </c>
    </row>
    <row r="1002" spans="1:3" x14ac:dyDescent="0.2">
      <c r="A1002" s="310" t="s">
        <v>2560</v>
      </c>
      <c r="B1002" t="b">
        <f>IF(ISBLANK(NeoBerLab!$G$18),"",NeoBerLab!$G$18)</f>
        <v>0</v>
      </c>
      <c r="C1002" s="310" t="b">
        <v>0</v>
      </c>
    </row>
    <row r="1003" spans="1:3" x14ac:dyDescent="0.2">
      <c r="A1003" s="310" t="s">
        <v>2561</v>
      </c>
      <c r="B1003" s="310" t="b">
        <f>IF(ISBLANK(NeoBerLab!$G$19),"",NeoBerLab!$G$19)</f>
        <v>0</v>
      </c>
      <c r="C1003" s="310" t="b">
        <v>0</v>
      </c>
    </row>
    <row r="1004" spans="1:3" x14ac:dyDescent="0.2">
      <c r="A1004" s="310" t="s">
        <v>2562</v>
      </c>
      <c r="B1004" s="310" t="b">
        <f>IF(ISBLANK(NeoBerLab!$G$20),"",NeoBerLab!$G$20)</f>
        <v>0</v>
      </c>
      <c r="C1004" s="310" t="b">
        <v>0</v>
      </c>
    </row>
    <row r="1005" spans="1:3" x14ac:dyDescent="0.2">
      <c r="A1005" s="310" t="s">
        <v>2563</v>
      </c>
      <c r="B1005" t="b">
        <f>IF(ISBLANK(NeoBerLab!$G$21),"",NeoBerLab!$G$21)</f>
        <v>0</v>
      </c>
      <c r="C1005" s="310" t="b">
        <v>0</v>
      </c>
    </row>
    <row r="1006" spans="1:3" x14ac:dyDescent="0.2">
      <c r="A1006" s="310" t="s">
        <v>2564</v>
      </c>
      <c r="B1006" t="b">
        <f>IF(ISBLANK(NeoBerLab!$G$22),"",NeoBerLab!$G$22)</f>
        <v>0</v>
      </c>
      <c r="C1006" s="310" t="b">
        <v>0</v>
      </c>
    </row>
    <row r="1007" spans="1:3" x14ac:dyDescent="0.2">
      <c r="A1007" s="310" t="s">
        <v>2565</v>
      </c>
      <c r="B1007" t="b">
        <f>IF(ISBLANK(NeoBerLab!$G$23),"",NeoBerLab!$G$23)</f>
        <v>0</v>
      </c>
      <c r="C1007" s="310" t="b">
        <v>0</v>
      </c>
    </row>
    <row r="1008" spans="1:3" x14ac:dyDescent="0.2">
      <c r="A1008" s="310" t="s">
        <v>2566</v>
      </c>
      <c r="B1008" t="b">
        <f>IF(ISBLANK(NeoBerLab!$G$24),"",NeoBerLab!$G$24)</f>
        <v>0</v>
      </c>
      <c r="C1008" s="310" t="b">
        <v>0</v>
      </c>
    </row>
    <row r="1009" spans="1:3" x14ac:dyDescent="0.2">
      <c r="A1009" s="310" t="s">
        <v>2567</v>
      </c>
      <c r="B1009" s="310" t="b">
        <f>IF(ISBLANK(NeoBerLab!$G$25),"",NeoBerLab!$G$25)</f>
        <v>0</v>
      </c>
      <c r="C1009" s="310" t="b">
        <v>0</v>
      </c>
    </row>
    <row r="1010" spans="1:3" x14ac:dyDescent="0.2">
      <c r="A1010" s="310" t="s">
        <v>2568</v>
      </c>
      <c r="B1010" s="310" t="b">
        <f>IF(ISBLANK(NeoBerLab!$G$26),"",NeoBerLab!$G$26)</f>
        <v>0</v>
      </c>
      <c r="C1010" s="310" t="b">
        <v>0</v>
      </c>
    </row>
    <row r="1011" spans="1:3" x14ac:dyDescent="0.2">
      <c r="A1011" s="310" t="s">
        <v>2569</v>
      </c>
      <c r="B1011" t="b">
        <f>IF(ISBLANK(NeoBerLab!$G$27),"",NeoBerLab!$G$27)</f>
        <v>0</v>
      </c>
      <c r="C1011" s="310" t="b">
        <v>0</v>
      </c>
    </row>
    <row r="1012" spans="1:3" x14ac:dyDescent="0.2">
      <c r="A1012" s="310" t="s">
        <v>2570</v>
      </c>
      <c r="B1012" t="b">
        <f>IF(ISBLANK(NeoBerLab!$G$28),"",NeoBerLab!$G$28)</f>
        <v>0</v>
      </c>
      <c r="C1012" s="310" t="b">
        <v>0</v>
      </c>
    </row>
    <row r="1013" spans="1:3" x14ac:dyDescent="0.2">
      <c r="A1013" s="310" t="s">
        <v>2571</v>
      </c>
      <c r="B1013" t="b">
        <f>IF(ISBLANK(NeoBerLab!$G$29),"",NeoBerLab!$G$29)</f>
        <v>0</v>
      </c>
      <c r="C1013" s="310" t="b">
        <v>0</v>
      </c>
    </row>
    <row r="1014" spans="1:3" x14ac:dyDescent="0.2">
      <c r="A1014" s="310" t="s">
        <v>2572</v>
      </c>
      <c r="B1014" t="b">
        <f>IF(ISBLANK(NeoBerLab!$G$30),"",NeoBerLab!$G$30)</f>
        <v>0</v>
      </c>
      <c r="C1014" s="310" t="b">
        <v>0</v>
      </c>
    </row>
    <row r="1015" spans="1:3" x14ac:dyDescent="0.2">
      <c r="A1015" s="310" t="s">
        <v>2573</v>
      </c>
      <c r="B1015" t="b">
        <f>IF(ISBLANK(NeoBerLab!$G$31),"",NeoBerLab!$G$31)</f>
        <v>0</v>
      </c>
      <c r="C1015" s="310" t="b">
        <v>0</v>
      </c>
    </row>
    <row r="1016" spans="1:3" x14ac:dyDescent="0.2">
      <c r="A1016" s="310" t="s">
        <v>2574</v>
      </c>
      <c r="B1016" t="b">
        <f>IF(ISBLANK(NeoBerLab!$G$32),"",NeoBerLab!$G$32)</f>
        <v>0</v>
      </c>
      <c r="C1016" s="310" t="b">
        <v>0</v>
      </c>
    </row>
    <row r="1017" spans="1:3" x14ac:dyDescent="0.2">
      <c r="A1017" s="310" t="s">
        <v>2575</v>
      </c>
      <c r="B1017" t="b">
        <f>IF(ISBLANK(NeoBerLab!$G$33),"",NeoBerLab!$G$33)</f>
        <v>0</v>
      </c>
      <c r="C1017" s="310" t="b">
        <v>0</v>
      </c>
    </row>
    <row r="1018" spans="1:3" x14ac:dyDescent="0.2">
      <c r="A1018" s="310" t="s">
        <v>2576</v>
      </c>
      <c r="B1018" t="b">
        <f>IF(ISBLANK(NeoBerLab!$G$34),"",NeoBerLab!$G$34)</f>
        <v>0</v>
      </c>
      <c r="C1018" s="310" t="b">
        <v>0</v>
      </c>
    </row>
    <row r="1019" spans="1:3" x14ac:dyDescent="0.2">
      <c r="A1019" s="310" t="s">
        <v>2577</v>
      </c>
      <c r="B1019" t="b">
        <f>IF(ISBLANK(NeoBerLab!$I$4),"",NeoBerLab!$I$4)</f>
        <v>0</v>
      </c>
      <c r="C1019" s="310" t="b">
        <v>0</v>
      </c>
    </row>
    <row r="1020" spans="1:3" x14ac:dyDescent="0.2">
      <c r="A1020" s="310" t="s">
        <v>2578</v>
      </c>
      <c r="B1020" t="b">
        <f>IF(ISBLANK(NeoBerLab!$I$5),"",NeoBerLab!$I$5)</f>
        <v>0</v>
      </c>
      <c r="C1020" s="310" t="b">
        <v>0</v>
      </c>
    </row>
    <row r="1021" spans="1:3" x14ac:dyDescent="0.2">
      <c r="A1021" s="310" t="s">
        <v>2579</v>
      </c>
      <c r="B1021" t="b">
        <f>IF(ISBLANK(NeoBerLab!$I$6),"",NeoBerLab!$I$6)</f>
        <v>0</v>
      </c>
      <c r="C1021" s="310" t="b">
        <v>0</v>
      </c>
    </row>
    <row r="1022" spans="1:3" x14ac:dyDescent="0.2">
      <c r="A1022" s="310" t="s">
        <v>2580</v>
      </c>
      <c r="B1022" t="b">
        <f>IF(ISBLANK(NeoBerLab!$I$7),"",NeoBerLab!$I$7)</f>
        <v>0</v>
      </c>
      <c r="C1022" s="310" t="b">
        <v>0</v>
      </c>
    </row>
    <row r="1023" spans="1:3" x14ac:dyDescent="0.2">
      <c r="A1023" s="310" t="s">
        <v>2581</v>
      </c>
      <c r="B1023" t="b">
        <f>IF(ISBLANK(NeoBerLab!$I$8),"",NeoBerLab!$I$8)</f>
        <v>0</v>
      </c>
      <c r="C1023" s="310" t="b">
        <v>0</v>
      </c>
    </row>
    <row r="1024" spans="1:3" x14ac:dyDescent="0.2">
      <c r="A1024" s="310" t="s">
        <v>2582</v>
      </c>
      <c r="B1024" t="b">
        <f>IF(ISBLANK(NeoBerLab!$I$9),"",NeoBerLab!$I$9)</f>
        <v>0</v>
      </c>
      <c r="C1024" s="310" t="b">
        <v>0</v>
      </c>
    </row>
    <row r="1025" spans="1:3" x14ac:dyDescent="0.2">
      <c r="A1025" s="310" t="s">
        <v>2583</v>
      </c>
      <c r="B1025" t="b">
        <f>IF(ISBLANK(NeoBerLab!$I$10),"",NeoBerLab!$I$10)</f>
        <v>0</v>
      </c>
      <c r="C1025" s="310" t="b">
        <v>0</v>
      </c>
    </row>
    <row r="1026" spans="1:3" x14ac:dyDescent="0.2">
      <c r="A1026" s="310" t="s">
        <v>2584</v>
      </c>
      <c r="B1026" t="b">
        <f>IF(ISBLANK(NeoBerLab!$I$11),"",NeoBerLab!$I$11)</f>
        <v>0</v>
      </c>
      <c r="C1026" s="310" t="b">
        <v>0</v>
      </c>
    </row>
    <row r="1027" spans="1:3" x14ac:dyDescent="0.2">
      <c r="A1027" s="310" t="s">
        <v>2585</v>
      </c>
      <c r="B1027" t="b">
        <f>IF(ISBLANK(NeoBerLab!$I$12),"",NeoBerLab!$I$12)</f>
        <v>0</v>
      </c>
      <c r="C1027" s="310" t="b">
        <v>0</v>
      </c>
    </row>
    <row r="1028" spans="1:3" x14ac:dyDescent="0.2">
      <c r="A1028" s="310" t="s">
        <v>2586</v>
      </c>
      <c r="B1028" t="b">
        <f>IF(ISBLANK(NeoBerLab!$I$13),"",NeoBerLab!$I$13)</f>
        <v>0</v>
      </c>
      <c r="C1028" s="310" t="b">
        <v>0</v>
      </c>
    </row>
    <row r="1029" spans="1:3" x14ac:dyDescent="0.2">
      <c r="A1029" s="310" t="s">
        <v>2587</v>
      </c>
      <c r="B1029" t="b">
        <f>IF(ISBLANK(NeoBerLab!$I$14),"",NeoBerLab!$I$14)</f>
        <v>0</v>
      </c>
      <c r="C1029" s="310" t="b">
        <v>0</v>
      </c>
    </row>
    <row r="1030" spans="1:3" x14ac:dyDescent="0.2">
      <c r="A1030" s="310" t="s">
        <v>2588</v>
      </c>
      <c r="B1030" t="b">
        <f>IF(ISBLANK(NeoBerLab!$I$15),"",NeoBerLab!$I$15)</f>
        <v>0</v>
      </c>
      <c r="C1030" s="310" t="b">
        <v>0</v>
      </c>
    </row>
    <row r="1031" spans="1:3" x14ac:dyDescent="0.2">
      <c r="A1031" s="310" t="s">
        <v>2589</v>
      </c>
      <c r="B1031" t="b">
        <f>IF(ISBLANK(NeoBerLab!$I$16),"",NeoBerLab!$I$16)</f>
        <v>0</v>
      </c>
      <c r="C1031" s="310" t="b">
        <v>0</v>
      </c>
    </row>
    <row r="1032" spans="1:3" x14ac:dyDescent="0.2">
      <c r="A1032" s="310" t="s">
        <v>2590</v>
      </c>
      <c r="B1032" t="b">
        <f>IF(ISBLANK(NeoBerLab!$I$17),"",NeoBerLab!$I$17)</f>
        <v>0</v>
      </c>
      <c r="C1032" s="310" t="b">
        <v>0</v>
      </c>
    </row>
    <row r="1033" spans="1:3" x14ac:dyDescent="0.2">
      <c r="A1033" s="310" t="s">
        <v>2591</v>
      </c>
      <c r="B1033" t="b">
        <f>IF(ISBLANK(NeoBerLab!$I$18),"",NeoBerLab!$I$18)</f>
        <v>0</v>
      </c>
      <c r="C1033" s="310" t="b">
        <v>0</v>
      </c>
    </row>
    <row r="1034" spans="1:3" x14ac:dyDescent="0.2">
      <c r="A1034" s="310" t="s">
        <v>2592</v>
      </c>
      <c r="B1034" t="b">
        <f>IF(ISBLANK(NeoBerLab!$I$19),"",NeoBerLab!$I$19)</f>
        <v>0</v>
      </c>
      <c r="C1034" s="310" t="b">
        <v>0</v>
      </c>
    </row>
    <row r="1035" spans="1:3" x14ac:dyDescent="0.2">
      <c r="A1035" s="310" t="s">
        <v>2593</v>
      </c>
      <c r="B1035" t="b">
        <f>IF(ISBLANK(NeoBerLab!$I$20),"",NeoBerLab!$I$20)</f>
        <v>0</v>
      </c>
      <c r="C1035" s="310" t="b">
        <v>0</v>
      </c>
    </row>
    <row r="1036" spans="1:3" x14ac:dyDescent="0.2">
      <c r="A1036" s="310" t="s">
        <v>2594</v>
      </c>
      <c r="B1036" t="b">
        <f>IF(ISBLANK(NeoBerLab!$I$21),"",NeoBerLab!$I$21)</f>
        <v>0</v>
      </c>
      <c r="C1036" s="310" t="b">
        <v>0</v>
      </c>
    </row>
    <row r="1037" spans="1:3" x14ac:dyDescent="0.2">
      <c r="A1037" s="310" t="s">
        <v>2595</v>
      </c>
      <c r="B1037" t="b">
        <f>IF(ISBLANK(NeoBerLab!$I$22),"",NeoBerLab!$I$22)</f>
        <v>0</v>
      </c>
      <c r="C1037" s="310" t="b">
        <v>0</v>
      </c>
    </row>
    <row r="1038" spans="1:3" x14ac:dyDescent="0.2">
      <c r="A1038" s="310" t="s">
        <v>2596</v>
      </c>
      <c r="B1038" t="b">
        <f>IF(ISBLANK(NeoBerLab!$I$23),"",NeoBerLab!$I$23)</f>
        <v>0</v>
      </c>
      <c r="C1038" s="310" t="b">
        <v>0</v>
      </c>
    </row>
    <row r="1039" spans="1:3" x14ac:dyDescent="0.2">
      <c r="A1039" s="310" t="s">
        <v>2597</v>
      </c>
      <c r="B1039" t="b">
        <f>IF(ISBLANK(NeoBerLab!$I$24),"",NeoBerLab!$I$24)</f>
        <v>0</v>
      </c>
      <c r="C1039" s="310" t="b">
        <v>0</v>
      </c>
    </row>
    <row r="1040" spans="1:3" x14ac:dyDescent="0.2">
      <c r="A1040" s="310" t="s">
        <v>2598</v>
      </c>
      <c r="B1040" t="b">
        <f>IF(ISBLANK(NeoBerLab!$I$25),"",NeoBerLab!$I$25)</f>
        <v>0</v>
      </c>
      <c r="C1040" s="310" t="b">
        <v>0</v>
      </c>
    </row>
    <row r="1041" spans="1:3" x14ac:dyDescent="0.2">
      <c r="A1041" s="310" t="s">
        <v>2599</v>
      </c>
      <c r="B1041" t="b">
        <f>IF(ISBLANK(NeoBerLab!$I$26),"",NeoBerLab!$I$26)</f>
        <v>0</v>
      </c>
      <c r="C1041" s="310" t="b">
        <v>0</v>
      </c>
    </row>
    <row r="1042" spans="1:3" x14ac:dyDescent="0.2">
      <c r="A1042" s="310" t="s">
        <v>2600</v>
      </c>
      <c r="B1042" t="b">
        <f>IF(ISBLANK(NeoBerLab!$I$27),"",NeoBerLab!$I$27)</f>
        <v>0</v>
      </c>
      <c r="C1042" s="310" t="b">
        <v>0</v>
      </c>
    </row>
    <row r="1043" spans="1:3" x14ac:dyDescent="0.2">
      <c r="A1043" s="310" t="s">
        <v>2601</v>
      </c>
      <c r="B1043" t="b">
        <f>IF(ISBLANK(NeoBerLab!$I$28),"",NeoBerLab!$I$28)</f>
        <v>0</v>
      </c>
      <c r="C1043" s="310" t="b">
        <v>0</v>
      </c>
    </row>
    <row r="1044" spans="1:3" x14ac:dyDescent="0.2">
      <c r="A1044" s="310" t="s">
        <v>2602</v>
      </c>
      <c r="B1044" t="b">
        <f>IF(ISBLANK(NeoBerLab!$I$29),"",NeoBerLab!$I$29)</f>
        <v>0</v>
      </c>
      <c r="C1044" s="310" t="b">
        <v>0</v>
      </c>
    </row>
    <row r="1045" spans="1:3" x14ac:dyDescent="0.2">
      <c r="A1045" s="310" t="s">
        <v>2603</v>
      </c>
      <c r="B1045" t="b">
        <f>IF(ISBLANK(NeoBerLab!$I$30),"",NeoBerLab!$I$30)</f>
        <v>0</v>
      </c>
      <c r="C1045" s="310" t="b">
        <v>0</v>
      </c>
    </row>
    <row r="1046" spans="1:3" x14ac:dyDescent="0.2">
      <c r="A1046" s="310" t="s">
        <v>2604</v>
      </c>
      <c r="B1046" t="b">
        <f>IF(ISBLANK(NeoBerLab!$I$31),"",NeoBerLab!$I$31)</f>
        <v>0</v>
      </c>
      <c r="C1046" s="310" t="b">
        <v>0</v>
      </c>
    </row>
    <row r="1047" spans="1:3" x14ac:dyDescent="0.2">
      <c r="A1047" s="310" t="s">
        <v>2605</v>
      </c>
      <c r="B1047" t="b">
        <f>IF(ISBLANK(NeoBerLab!$I$32),"",NeoBerLab!$I$32)</f>
        <v>0</v>
      </c>
      <c r="C1047" s="310" t="b">
        <v>0</v>
      </c>
    </row>
    <row r="1048" spans="1:3" x14ac:dyDescent="0.2">
      <c r="A1048" s="310" t="s">
        <v>2606</v>
      </c>
      <c r="B1048" t="b">
        <f>IF(ISBLANK(NeoBerLab!$I$33),"",NeoBerLab!$I$33)</f>
        <v>0</v>
      </c>
      <c r="C1048" s="310" t="b">
        <v>0</v>
      </c>
    </row>
    <row r="1049" spans="1:3" x14ac:dyDescent="0.2">
      <c r="A1049" s="310" t="s">
        <v>2607</v>
      </c>
      <c r="B1049" t="b">
        <f>IF(ISBLANK(NeoBerLab!$I$34),"",NeoBerLab!$I$34)</f>
        <v>0</v>
      </c>
      <c r="C1049" s="310" t="b">
        <v>0</v>
      </c>
    </row>
    <row r="1050" spans="1:3" x14ac:dyDescent="0.2">
      <c r="A1050" s="310" t="s">
        <v>2608</v>
      </c>
      <c r="B1050" t="b">
        <f>IF(ISBLANK(NeoBerLab!$K$4),"",NeoBerLab!$K$4)</f>
        <v>0</v>
      </c>
      <c r="C1050" s="310" t="b">
        <v>0</v>
      </c>
    </row>
    <row r="1051" spans="1:3" x14ac:dyDescent="0.2">
      <c r="A1051" s="310" t="s">
        <v>2609</v>
      </c>
      <c r="B1051" t="b">
        <f>IF(ISBLANK(NeoBerLab!$K$5),"",NeoBerLab!$K$5)</f>
        <v>0</v>
      </c>
      <c r="C1051" s="310" t="b">
        <v>0</v>
      </c>
    </row>
    <row r="1052" spans="1:3" x14ac:dyDescent="0.2">
      <c r="A1052" s="310" t="s">
        <v>2610</v>
      </c>
      <c r="B1052" t="b">
        <f>IF(ISBLANK(NeoBerLab!$K$6),"",NeoBerLab!$K$6)</f>
        <v>0</v>
      </c>
      <c r="C1052" s="310" t="b">
        <v>0</v>
      </c>
    </row>
    <row r="1053" spans="1:3" x14ac:dyDescent="0.2">
      <c r="A1053" s="310" t="s">
        <v>2611</v>
      </c>
      <c r="B1053" t="b">
        <f>IF(ISBLANK(NeoBerLab!$K$7),"",NeoBerLab!$K$7)</f>
        <v>0</v>
      </c>
      <c r="C1053" s="310" t="b">
        <v>0</v>
      </c>
    </row>
    <row r="1054" spans="1:3" x14ac:dyDescent="0.2">
      <c r="A1054" s="310" t="s">
        <v>2612</v>
      </c>
      <c r="B1054" t="b">
        <f>IF(ISBLANK(NeoBerLab!$K$8),"",NeoBerLab!$K$8)</f>
        <v>0</v>
      </c>
      <c r="C1054" s="310" t="b">
        <v>0</v>
      </c>
    </row>
    <row r="1055" spans="1:3" x14ac:dyDescent="0.2">
      <c r="A1055" s="310" t="s">
        <v>2613</v>
      </c>
      <c r="B1055" t="b">
        <f>IF(ISBLANK(NeoBerLab!$K$9),"",NeoBerLab!$K$9)</f>
        <v>0</v>
      </c>
      <c r="C1055" s="310" t="b">
        <v>0</v>
      </c>
    </row>
    <row r="1056" spans="1:3" x14ac:dyDescent="0.2">
      <c r="A1056" s="310" t="s">
        <v>2614</v>
      </c>
      <c r="B1056" t="b">
        <f>IF(ISBLANK(NeoBerLab!$K$10),"",NeoBerLab!$K$10)</f>
        <v>0</v>
      </c>
      <c r="C1056" s="310" t="b">
        <v>0</v>
      </c>
    </row>
    <row r="1057" spans="1:3" x14ac:dyDescent="0.2">
      <c r="A1057" s="310" t="s">
        <v>2615</v>
      </c>
      <c r="B1057" t="b">
        <f>IF(ISBLANK(NeoBerLab!$K$11),"",NeoBerLab!$K$11)</f>
        <v>0</v>
      </c>
      <c r="C1057" s="310" t="b">
        <v>0</v>
      </c>
    </row>
    <row r="1058" spans="1:3" x14ac:dyDescent="0.2">
      <c r="A1058" s="310" t="s">
        <v>2616</v>
      </c>
      <c r="B1058" t="b">
        <f>IF(ISBLANK(NeoBerLab!$K$12),"",NeoBerLab!$K$12)</f>
        <v>0</v>
      </c>
      <c r="C1058" s="310" t="b">
        <v>0</v>
      </c>
    </row>
    <row r="1059" spans="1:3" x14ac:dyDescent="0.2">
      <c r="A1059" s="310" t="s">
        <v>2617</v>
      </c>
      <c r="B1059" t="b">
        <f>IF(ISBLANK(NeoBerLab!$K$13),"",NeoBerLab!$K$13)</f>
        <v>0</v>
      </c>
      <c r="C1059" s="310" t="b">
        <v>0</v>
      </c>
    </row>
    <row r="1060" spans="1:3" x14ac:dyDescent="0.2">
      <c r="A1060" s="310" t="s">
        <v>2618</v>
      </c>
      <c r="B1060" t="b">
        <f>IF(ISBLANK(NeoBerLab!$K$14),"",NeoBerLab!$K$14)</f>
        <v>0</v>
      </c>
      <c r="C1060" s="310" t="b">
        <v>0</v>
      </c>
    </row>
    <row r="1061" spans="1:3" x14ac:dyDescent="0.2">
      <c r="A1061" s="310" t="s">
        <v>2619</v>
      </c>
      <c r="B1061" t="b">
        <f>IF(ISBLANK(NeoBerLab!$K$15),"",NeoBerLab!$K$15)</f>
        <v>0</v>
      </c>
      <c r="C1061" s="310" t="b">
        <v>0</v>
      </c>
    </row>
    <row r="1062" spans="1:3" x14ac:dyDescent="0.2">
      <c r="A1062" s="310" t="s">
        <v>2620</v>
      </c>
      <c r="B1062" t="b">
        <f>IF(ISBLANK(NeoBerLab!$K$16),"",NeoBerLab!$K$16)</f>
        <v>0</v>
      </c>
      <c r="C1062" s="310" t="b">
        <v>0</v>
      </c>
    </row>
    <row r="1063" spans="1:3" x14ac:dyDescent="0.2">
      <c r="A1063" s="310" t="s">
        <v>2621</v>
      </c>
      <c r="B1063" s="310" t="b">
        <f>IF(ISBLANK(NeoBerLab!$K$17),"",NeoBerLab!$K$17)</f>
        <v>0</v>
      </c>
      <c r="C1063" s="310" t="b">
        <v>0</v>
      </c>
    </row>
    <row r="1064" spans="1:3" x14ac:dyDescent="0.2">
      <c r="A1064" s="310" t="s">
        <v>2622</v>
      </c>
      <c r="B1064" t="b">
        <f>IF(ISBLANK(NeoBerLab!$K$18),"",NeoBerLab!$K$18)</f>
        <v>0</v>
      </c>
      <c r="C1064" s="310" t="b">
        <v>0</v>
      </c>
    </row>
    <row r="1065" spans="1:3" x14ac:dyDescent="0.2">
      <c r="A1065" s="310" t="s">
        <v>2623</v>
      </c>
      <c r="B1065" t="b">
        <f>IF(ISBLANK(NeoBerLab!$K$19),"",NeoBerLab!$K$19)</f>
        <v>0</v>
      </c>
      <c r="C1065" s="310" t="b">
        <v>0</v>
      </c>
    </row>
    <row r="1066" spans="1:3" x14ac:dyDescent="0.2">
      <c r="A1066" s="310" t="s">
        <v>2624</v>
      </c>
      <c r="B1066" t="b">
        <f>IF(ISBLANK(NeoBerLab!$K$20),"",NeoBerLab!$K$20)</f>
        <v>0</v>
      </c>
      <c r="C1066" s="310" t="b">
        <v>0</v>
      </c>
    </row>
    <row r="1067" spans="1:3" x14ac:dyDescent="0.2">
      <c r="A1067" s="310" t="s">
        <v>2625</v>
      </c>
      <c r="B1067" t="b">
        <f>IF(ISBLANK(NeoBerLab!$K$21),"",NeoBerLab!$K$21)</f>
        <v>0</v>
      </c>
      <c r="C1067" s="310" t="b">
        <v>0</v>
      </c>
    </row>
    <row r="1068" spans="1:3" x14ac:dyDescent="0.2">
      <c r="A1068" s="310" t="s">
        <v>2626</v>
      </c>
      <c r="B1068" t="b">
        <f>IF(ISBLANK(NeoBerLab!$K$22),"",NeoBerLab!$K$22)</f>
        <v>0</v>
      </c>
      <c r="C1068" s="310" t="b">
        <v>0</v>
      </c>
    </row>
    <row r="1069" spans="1:3" x14ac:dyDescent="0.2">
      <c r="A1069" s="310" t="s">
        <v>2627</v>
      </c>
      <c r="B1069" t="b">
        <f>IF(ISBLANK(NeoBerLab!$K$23),"",NeoBerLab!$K$23)</f>
        <v>0</v>
      </c>
      <c r="C1069" s="310" t="b">
        <v>0</v>
      </c>
    </row>
    <row r="1070" spans="1:3" x14ac:dyDescent="0.2">
      <c r="A1070" s="310" t="s">
        <v>2628</v>
      </c>
      <c r="B1070" t="b">
        <f>IF(ISBLANK(NeoBerLab!$K$24),"",NeoBerLab!$K$24)</f>
        <v>0</v>
      </c>
      <c r="C1070" s="310" t="b">
        <v>0</v>
      </c>
    </row>
    <row r="1071" spans="1:3" x14ac:dyDescent="0.2">
      <c r="A1071" s="310" t="s">
        <v>2629</v>
      </c>
      <c r="B1071" t="b">
        <f>IF(ISBLANK(NeoBerLab!$K$25),"",NeoBerLab!$K$25)</f>
        <v>0</v>
      </c>
      <c r="C1071" s="310" t="b">
        <v>0</v>
      </c>
    </row>
    <row r="1072" spans="1:3" x14ac:dyDescent="0.2">
      <c r="A1072" s="310" t="s">
        <v>2630</v>
      </c>
      <c r="B1072" t="b">
        <f>IF(ISBLANK(NeoBerLab!$K$26),"",NeoBerLab!$K$26)</f>
        <v>0</v>
      </c>
      <c r="C1072" s="310" t="b">
        <v>0</v>
      </c>
    </row>
    <row r="1073" spans="1:3" x14ac:dyDescent="0.2">
      <c r="A1073" s="310" t="s">
        <v>2631</v>
      </c>
      <c r="B1073" t="b">
        <f>IF(ISBLANK(NeoBerLab!$K$27),"",NeoBerLab!$K$27)</f>
        <v>0</v>
      </c>
      <c r="C1073" s="310" t="b">
        <v>0</v>
      </c>
    </row>
    <row r="1074" spans="1:3" x14ac:dyDescent="0.2">
      <c r="A1074" s="310" t="s">
        <v>2632</v>
      </c>
      <c r="B1074" t="b">
        <f>IF(ISBLANK(NeoBerLab!$K$28),"",NeoBerLab!$K$28)</f>
        <v>0</v>
      </c>
      <c r="C1074" s="310" t="b">
        <v>0</v>
      </c>
    </row>
    <row r="1075" spans="1:3" x14ac:dyDescent="0.2">
      <c r="A1075" s="310" t="s">
        <v>2633</v>
      </c>
      <c r="B1075" s="310" t="b">
        <f>IF(ISBLANK(NeoBerLab!$K$29),"",NeoBerLab!$K$29)</f>
        <v>0</v>
      </c>
      <c r="C1075" s="310" t="b">
        <v>0</v>
      </c>
    </row>
    <row r="1076" spans="1:3" x14ac:dyDescent="0.2">
      <c r="A1076" s="310" t="s">
        <v>2634</v>
      </c>
      <c r="B1076" t="b">
        <f>IF(ISBLANK(NeoBerLab!$K$30),"",NeoBerLab!$K$30)</f>
        <v>0</v>
      </c>
      <c r="C1076" s="310" t="b">
        <v>0</v>
      </c>
    </row>
    <row r="1077" spans="1:3" x14ac:dyDescent="0.2">
      <c r="A1077" s="310" t="s">
        <v>2635</v>
      </c>
      <c r="B1077" t="b">
        <f>IF(ISBLANK(NeoBerLab!$K$31),"",NeoBerLab!$K$31)</f>
        <v>0</v>
      </c>
      <c r="C1077" s="310" t="b">
        <v>0</v>
      </c>
    </row>
    <row r="1078" spans="1:3" x14ac:dyDescent="0.2">
      <c r="A1078" s="310" t="s">
        <v>2636</v>
      </c>
      <c r="B1078" t="b">
        <f>IF(ISBLANK(NeoBerLab!$K$32),"",NeoBerLab!$K$32)</f>
        <v>0</v>
      </c>
      <c r="C1078" s="310" t="b">
        <v>0</v>
      </c>
    </row>
    <row r="1079" spans="1:3" x14ac:dyDescent="0.2">
      <c r="A1079" s="310" t="s">
        <v>2637</v>
      </c>
      <c r="B1079" t="b">
        <f>IF(ISBLANK(NeoBerLab!$K$33),"",NeoBerLab!$K$33)</f>
        <v>0</v>
      </c>
      <c r="C1079" s="310" t="b">
        <v>0</v>
      </c>
    </row>
    <row r="1080" spans="1:3" x14ac:dyDescent="0.2">
      <c r="A1080" s="310" t="s">
        <v>2638</v>
      </c>
      <c r="B1080" t="b">
        <f>IF(ISBLANK(NeoBerLab!$K$34),"",NeoBerLab!$K$34)</f>
        <v>0</v>
      </c>
      <c r="C1080" s="310" t="b">
        <v>0</v>
      </c>
    </row>
    <row r="1081" spans="1:3" x14ac:dyDescent="0.2">
      <c r="A1081" s="310" t="s">
        <v>2639</v>
      </c>
      <c r="B1081" t="b">
        <f>IF(ISBLANK(NeoBerLab!$O$4),"",NeoBerLab!$O$4)</f>
        <v>0</v>
      </c>
      <c r="C1081" s="310" t="b">
        <v>0</v>
      </c>
    </row>
    <row r="1082" spans="1:3" x14ac:dyDescent="0.2">
      <c r="A1082" s="310" t="s">
        <v>2640</v>
      </c>
      <c r="B1082" t="b">
        <f>IF(ISBLANK(NeoBerLab!$O$5),"",NeoBerLab!$O$5)</f>
        <v>0</v>
      </c>
      <c r="C1082" s="310" t="b">
        <v>0</v>
      </c>
    </row>
    <row r="1083" spans="1:3" x14ac:dyDescent="0.2">
      <c r="A1083" s="310" t="s">
        <v>2641</v>
      </c>
      <c r="B1083" t="b">
        <f>IF(ISBLANK(NeoBerLab!$O$6),"",NeoBerLab!$O$6)</f>
        <v>0</v>
      </c>
      <c r="C1083" s="310" t="b">
        <v>0</v>
      </c>
    </row>
    <row r="1084" spans="1:3" x14ac:dyDescent="0.2">
      <c r="A1084" s="310" t="s">
        <v>2642</v>
      </c>
      <c r="B1084" t="b">
        <f>IF(ISBLANK(NeoBerLab!$O$7),"",NeoBerLab!$O$7)</f>
        <v>0</v>
      </c>
      <c r="C1084" s="310" t="b">
        <v>0</v>
      </c>
    </row>
    <row r="1085" spans="1:3" x14ac:dyDescent="0.2">
      <c r="A1085" s="310" t="s">
        <v>2643</v>
      </c>
      <c r="B1085" t="b">
        <f>IF(ISBLANK(NeoBerLab!$O$8),"",NeoBerLab!$O$8)</f>
        <v>0</v>
      </c>
      <c r="C1085" s="310" t="b">
        <v>0</v>
      </c>
    </row>
    <row r="1086" spans="1:3" x14ac:dyDescent="0.2">
      <c r="A1086" s="310" t="s">
        <v>2644</v>
      </c>
      <c r="B1086" t="b">
        <f>IF(ISBLANK(NeoBerLab!$O$9),"",NeoBerLab!$O$9)</f>
        <v>0</v>
      </c>
      <c r="C1086" s="310" t="b">
        <v>0</v>
      </c>
    </row>
    <row r="1087" spans="1:3" x14ac:dyDescent="0.2">
      <c r="A1087" s="310" t="s">
        <v>2645</v>
      </c>
      <c r="B1087" t="b">
        <f>IF(ISBLANK(NeoBerLab!$O$10),"",NeoBerLab!$O$10)</f>
        <v>0</v>
      </c>
      <c r="C1087" s="310" t="b">
        <v>0</v>
      </c>
    </row>
    <row r="1088" spans="1:3" x14ac:dyDescent="0.2">
      <c r="A1088" s="310" t="s">
        <v>2646</v>
      </c>
      <c r="B1088" t="b">
        <f>IF(ISBLANK(NeoBerLab!$O$11),"",NeoBerLab!$O$11)</f>
        <v>0</v>
      </c>
      <c r="C1088" s="310" t="b">
        <v>0</v>
      </c>
    </row>
    <row r="1089" spans="1:3" x14ac:dyDescent="0.2">
      <c r="A1089" s="310" t="s">
        <v>2647</v>
      </c>
      <c r="B1089" t="b">
        <f>IF(ISBLANK(NeoBerLab!$O$12),"",NeoBerLab!$O$12)</f>
        <v>0</v>
      </c>
      <c r="C1089" s="310" t="b">
        <v>0</v>
      </c>
    </row>
    <row r="1090" spans="1:3" x14ac:dyDescent="0.2">
      <c r="A1090" s="310" t="s">
        <v>2648</v>
      </c>
      <c r="B1090" t="b">
        <f>IF(ISBLANK(NeoBerLab!$O$13),"",NeoBerLab!$O$13)</f>
        <v>0</v>
      </c>
      <c r="C1090" s="310" t="b">
        <v>0</v>
      </c>
    </row>
    <row r="1091" spans="1:3" x14ac:dyDescent="0.2">
      <c r="A1091" s="310" t="s">
        <v>2649</v>
      </c>
      <c r="B1091" t="b">
        <f>IF(ISBLANK(NeoBerLab!$O$14),"",NeoBerLab!$O$14)</f>
        <v>0</v>
      </c>
      <c r="C1091" s="310" t="b">
        <v>0</v>
      </c>
    </row>
    <row r="1092" spans="1:3" x14ac:dyDescent="0.2">
      <c r="A1092" s="310" t="s">
        <v>2650</v>
      </c>
      <c r="B1092" t="b">
        <f>IF(ISBLANK(NeoBerLab!$O$15),"",NeoBerLab!$O$15)</f>
        <v>0</v>
      </c>
      <c r="C1092" s="310" t="b">
        <v>0</v>
      </c>
    </row>
    <row r="1093" spans="1:3" x14ac:dyDescent="0.2">
      <c r="A1093" s="310" t="s">
        <v>2651</v>
      </c>
      <c r="B1093" t="b">
        <f>IF(ISBLANK(NeoBerLab!$O$16),"",NeoBerLab!$O$16)</f>
        <v>0</v>
      </c>
      <c r="C1093" s="310" t="b">
        <v>0</v>
      </c>
    </row>
    <row r="1094" spans="1:3" x14ac:dyDescent="0.2">
      <c r="A1094" s="310" t="s">
        <v>2652</v>
      </c>
      <c r="B1094" t="b">
        <f>IF(ISBLANK(NeoBerLab!$O$17),"",NeoBerLab!$O$17)</f>
        <v>0</v>
      </c>
      <c r="C1094" s="310" t="b">
        <v>0</v>
      </c>
    </row>
    <row r="1095" spans="1:3" x14ac:dyDescent="0.2">
      <c r="A1095" s="310" t="s">
        <v>2653</v>
      </c>
      <c r="B1095" t="b">
        <f>IF(ISBLANK(NeoBerLab!$O$18),"",NeoBerLab!$O$18)</f>
        <v>0</v>
      </c>
      <c r="C1095" s="310" t="b">
        <v>0</v>
      </c>
    </row>
    <row r="1096" spans="1:3" x14ac:dyDescent="0.2">
      <c r="A1096" s="310" t="s">
        <v>2654</v>
      </c>
      <c r="B1096" t="b">
        <f>IF(ISBLANK(NeoBerLab!$O$19),"",NeoBerLab!$O$19)</f>
        <v>0</v>
      </c>
      <c r="C1096" s="310" t="b">
        <v>0</v>
      </c>
    </row>
    <row r="1097" spans="1:3" x14ac:dyDescent="0.2">
      <c r="A1097" s="310" t="s">
        <v>2655</v>
      </c>
      <c r="B1097" t="b">
        <f>IF(ISBLANK(NeoBerLab!$O$20),"",NeoBerLab!$O$20)</f>
        <v>0</v>
      </c>
      <c r="C1097" s="310" t="b">
        <v>0</v>
      </c>
    </row>
    <row r="1098" spans="1:3" x14ac:dyDescent="0.2">
      <c r="A1098" s="310" t="s">
        <v>2656</v>
      </c>
      <c r="B1098" t="b">
        <f>IF(ISBLANK(NeoBerLab!$O$21),"",NeoBerLab!$O$21)</f>
        <v>0</v>
      </c>
      <c r="C1098" s="310" t="b">
        <v>0</v>
      </c>
    </row>
    <row r="1099" spans="1:3" x14ac:dyDescent="0.2">
      <c r="A1099" s="310" t="s">
        <v>2657</v>
      </c>
      <c r="B1099" t="b">
        <f>IF(ISBLANK(NeoBerLab!$O$22),"",NeoBerLab!$O$22)</f>
        <v>0</v>
      </c>
      <c r="C1099" s="310" t="b">
        <v>0</v>
      </c>
    </row>
    <row r="1100" spans="1:3" x14ac:dyDescent="0.2">
      <c r="A1100" s="310" t="s">
        <v>2658</v>
      </c>
      <c r="B1100" t="b">
        <f>IF(ISBLANK(NeoBerLab!$O$23),"",NeoBerLab!$O$23)</f>
        <v>0</v>
      </c>
      <c r="C1100" s="310" t="b">
        <v>0</v>
      </c>
    </row>
    <row r="1101" spans="1:3" x14ac:dyDescent="0.2">
      <c r="A1101" s="310" t="s">
        <v>2659</v>
      </c>
      <c r="B1101" t="b">
        <f>IF(ISBLANK(NeoBerLab!$O$24),"",NeoBerLab!$O$24)</f>
        <v>0</v>
      </c>
      <c r="C1101" s="310" t="b">
        <v>0</v>
      </c>
    </row>
    <row r="1102" spans="1:3" x14ac:dyDescent="0.2">
      <c r="A1102" s="310" t="s">
        <v>2660</v>
      </c>
      <c r="B1102" t="b">
        <f>IF(ISBLANK(NeoBerLab!$O$25),"",NeoBerLab!$O$25)</f>
        <v>0</v>
      </c>
      <c r="C1102" s="310" t="b">
        <v>0</v>
      </c>
    </row>
    <row r="1103" spans="1:3" x14ac:dyDescent="0.2">
      <c r="A1103" s="310" t="s">
        <v>2661</v>
      </c>
      <c r="B1103" t="b">
        <f>IF(ISBLANK(NeoBerLab!$O$26),"",NeoBerLab!$O$26)</f>
        <v>0</v>
      </c>
      <c r="C1103" s="310" t="b">
        <v>0</v>
      </c>
    </row>
    <row r="1104" spans="1:3" x14ac:dyDescent="0.2">
      <c r="A1104" s="310" t="s">
        <v>2662</v>
      </c>
      <c r="B1104" t="b">
        <f>IF(ISBLANK(NeoBerLab!$O$27),"",NeoBerLab!$O$27)</f>
        <v>0</v>
      </c>
      <c r="C1104" s="310" t="b">
        <v>0</v>
      </c>
    </row>
    <row r="1105" spans="1:3" x14ac:dyDescent="0.2">
      <c r="A1105" s="310" t="s">
        <v>2663</v>
      </c>
      <c r="B1105" t="b">
        <f>IF(ISBLANK(NeoBerLab!$O$28),"",NeoBerLab!$O$28)</f>
        <v>0</v>
      </c>
      <c r="C1105" s="310" t="b">
        <v>0</v>
      </c>
    </row>
    <row r="1106" spans="1:3" x14ac:dyDescent="0.2">
      <c r="A1106" s="310" t="s">
        <v>2664</v>
      </c>
      <c r="B1106" t="b">
        <f>IF(ISBLANK(NeoBerLab!$O$29),"",NeoBerLab!$O$29)</f>
        <v>0</v>
      </c>
      <c r="C1106" s="310" t="b">
        <v>0</v>
      </c>
    </row>
    <row r="1107" spans="1:3" x14ac:dyDescent="0.2">
      <c r="A1107" s="310" t="s">
        <v>2665</v>
      </c>
      <c r="B1107" t="b">
        <f>IF(ISBLANK(NeoBerLab!$O$30),"",NeoBerLab!$O$30)</f>
        <v>0</v>
      </c>
      <c r="C1107" s="310" t="b">
        <v>0</v>
      </c>
    </row>
    <row r="1108" spans="1:3" x14ac:dyDescent="0.2">
      <c r="A1108" s="310" t="s">
        <v>2666</v>
      </c>
      <c r="B1108" t="b">
        <f>IF(ISBLANK(NeoBerLab!$O$31),"",NeoBerLab!$O$31)</f>
        <v>0</v>
      </c>
      <c r="C1108" s="310" t="b">
        <v>0</v>
      </c>
    </row>
    <row r="1109" spans="1:3" x14ac:dyDescent="0.2">
      <c r="A1109" s="310" t="s">
        <v>2667</v>
      </c>
      <c r="B1109" t="b">
        <f>IF(ISBLANK(NeoBerLab!$O$32),"",NeoBerLab!$O$32)</f>
        <v>0</v>
      </c>
      <c r="C1109" s="310" t="b">
        <v>0</v>
      </c>
    </row>
    <row r="1110" spans="1:3" x14ac:dyDescent="0.2">
      <c r="A1110" s="310" t="s">
        <v>2668</v>
      </c>
      <c r="B1110" t="b">
        <f>IF(ISBLANK(NeoBerLab!$O$33),"",NeoBerLab!$O$33)</f>
        <v>0</v>
      </c>
      <c r="C1110" s="310" t="b">
        <v>0</v>
      </c>
    </row>
    <row r="1111" spans="1:3" x14ac:dyDescent="0.2">
      <c r="A1111" s="310" t="s">
        <v>2669</v>
      </c>
      <c r="B1111" t="b">
        <f>IF(ISBLANK(NeoBerLab!$O$34),"",NeoBerLab!$O$34)</f>
        <v>0</v>
      </c>
      <c r="C1111" s="310" t="b">
        <v>0</v>
      </c>
    </row>
    <row r="1112" spans="1:3" x14ac:dyDescent="0.2">
      <c r="A1112" s="310" t="s">
        <v>2670</v>
      </c>
      <c r="B1112" t="b">
        <f>IF(ISBLANK(NeoBerLab!$Q$4),"",NeoBerLab!$Q$4)</f>
        <v>0</v>
      </c>
      <c r="C1112" s="310" t="b">
        <v>0</v>
      </c>
    </row>
    <row r="1113" spans="1:3" x14ac:dyDescent="0.2">
      <c r="A1113" s="310" t="s">
        <v>2671</v>
      </c>
      <c r="B1113" t="b">
        <f>IF(ISBLANK(NeoBerLab!$Q$5),"",NeoBerLab!$Q$5)</f>
        <v>0</v>
      </c>
      <c r="C1113" s="310" t="b">
        <v>0</v>
      </c>
    </row>
    <row r="1114" spans="1:3" x14ac:dyDescent="0.2">
      <c r="A1114" s="310" t="s">
        <v>2672</v>
      </c>
      <c r="B1114" t="b">
        <f>IF(ISBLANK(NeoBerLab!$Q$6),"",NeoBerLab!$Q$6)</f>
        <v>0</v>
      </c>
      <c r="C1114" s="310" t="b">
        <v>0</v>
      </c>
    </row>
    <row r="1115" spans="1:3" x14ac:dyDescent="0.2">
      <c r="A1115" s="310" t="s">
        <v>2673</v>
      </c>
      <c r="B1115" t="b">
        <f>IF(ISBLANK(NeoBerLab!$Q$7),"",NeoBerLab!$Q$7)</f>
        <v>0</v>
      </c>
      <c r="C1115" s="310" t="b">
        <v>0</v>
      </c>
    </row>
    <row r="1116" spans="1:3" x14ac:dyDescent="0.2">
      <c r="A1116" s="310" t="s">
        <v>2674</v>
      </c>
      <c r="B1116" t="b">
        <f>IF(ISBLANK(NeoBerLab!$Q$8),"",NeoBerLab!$Q$8)</f>
        <v>0</v>
      </c>
      <c r="C1116" s="310" t="b">
        <v>0</v>
      </c>
    </row>
    <row r="1117" spans="1:3" x14ac:dyDescent="0.2">
      <c r="A1117" s="310" t="s">
        <v>2675</v>
      </c>
      <c r="B1117" t="b">
        <f>IF(ISBLANK(NeoBerLab!$Q$9),"",NeoBerLab!$Q$9)</f>
        <v>0</v>
      </c>
      <c r="C1117" s="310" t="b">
        <v>0</v>
      </c>
    </row>
    <row r="1118" spans="1:3" x14ac:dyDescent="0.2">
      <c r="A1118" s="310" t="s">
        <v>2676</v>
      </c>
      <c r="B1118" t="b">
        <f>IF(ISBLANK(NeoBerLab!$Q$10),"",NeoBerLab!$Q$10)</f>
        <v>0</v>
      </c>
      <c r="C1118" s="310" t="b">
        <v>0</v>
      </c>
    </row>
    <row r="1119" spans="1:3" x14ac:dyDescent="0.2">
      <c r="A1119" s="310" t="s">
        <v>2677</v>
      </c>
      <c r="B1119" t="b">
        <f>IF(ISBLANK(NeoBerLab!$Q$11),"",NeoBerLab!$Q$11)</f>
        <v>0</v>
      </c>
      <c r="C1119" s="310" t="b">
        <v>0</v>
      </c>
    </row>
    <row r="1120" spans="1:3" x14ac:dyDescent="0.2">
      <c r="A1120" s="310" t="s">
        <v>2678</v>
      </c>
      <c r="B1120" t="b">
        <f>IF(ISBLANK(NeoBerLab!$Q$12),"",NeoBerLab!$Q$12)</f>
        <v>0</v>
      </c>
      <c r="C1120" s="310" t="b">
        <v>0</v>
      </c>
    </row>
    <row r="1121" spans="1:3" x14ac:dyDescent="0.2">
      <c r="A1121" s="310" t="s">
        <v>2679</v>
      </c>
      <c r="B1121" t="b">
        <f>IF(ISBLANK(NeoBerLab!$Q$13),"",NeoBerLab!$Q$13)</f>
        <v>0</v>
      </c>
      <c r="C1121" s="310" t="b">
        <v>0</v>
      </c>
    </row>
    <row r="1122" spans="1:3" x14ac:dyDescent="0.2">
      <c r="A1122" s="310" t="s">
        <v>2680</v>
      </c>
      <c r="B1122" t="b">
        <f>IF(ISBLANK(NeoBerLab!$Q$14),"",NeoBerLab!$Q$14)</f>
        <v>0</v>
      </c>
      <c r="C1122" s="310" t="b">
        <v>0</v>
      </c>
    </row>
    <row r="1123" spans="1:3" x14ac:dyDescent="0.2">
      <c r="A1123" s="310" t="s">
        <v>2681</v>
      </c>
      <c r="B1123" t="b">
        <f>IF(ISBLANK(NeoBerLab!$Q$15),"",NeoBerLab!$Q$15)</f>
        <v>0</v>
      </c>
      <c r="C1123" s="310" t="b">
        <v>0</v>
      </c>
    </row>
    <row r="1124" spans="1:3" x14ac:dyDescent="0.2">
      <c r="A1124" s="310" t="s">
        <v>2682</v>
      </c>
      <c r="B1124" s="310" t="b">
        <f>IF(ISBLANK(NeoBerLab!$Q$16),"",NeoBerLab!$Q$16)</f>
        <v>0</v>
      </c>
      <c r="C1124" s="310" t="b">
        <v>0</v>
      </c>
    </row>
    <row r="1125" spans="1:3" x14ac:dyDescent="0.2">
      <c r="A1125" s="310" t="s">
        <v>2683</v>
      </c>
      <c r="B1125" t="b">
        <f>IF(ISBLANK(NeoBerLab!$Q$17),"",NeoBerLab!$Q$17)</f>
        <v>0</v>
      </c>
      <c r="C1125" s="310" t="b">
        <v>0</v>
      </c>
    </row>
    <row r="1126" spans="1:3" x14ac:dyDescent="0.2">
      <c r="A1126" s="310" t="s">
        <v>2684</v>
      </c>
      <c r="B1126" t="b">
        <f>IF(ISBLANK(NeoBerLab!$Q$18),"",NeoBerLab!$Q$18)</f>
        <v>0</v>
      </c>
      <c r="C1126" s="310" t="b">
        <v>0</v>
      </c>
    </row>
    <row r="1127" spans="1:3" x14ac:dyDescent="0.2">
      <c r="A1127" s="310" t="s">
        <v>2685</v>
      </c>
      <c r="B1127" t="b">
        <f>IF(ISBLANK(NeoBerLab!$Q$19),"",NeoBerLab!$Q$19)</f>
        <v>0</v>
      </c>
      <c r="C1127" s="310" t="b">
        <v>0</v>
      </c>
    </row>
    <row r="1128" spans="1:3" x14ac:dyDescent="0.2">
      <c r="A1128" s="310" t="s">
        <v>2686</v>
      </c>
      <c r="B1128" t="b">
        <f>IF(ISBLANK(NeoBerLab!$Q$20),"",NeoBerLab!$Q$20)</f>
        <v>0</v>
      </c>
      <c r="C1128" s="310" t="b">
        <v>0</v>
      </c>
    </row>
    <row r="1129" spans="1:3" x14ac:dyDescent="0.2">
      <c r="A1129" s="310" t="s">
        <v>2687</v>
      </c>
      <c r="B1129" t="b">
        <f>IF(ISBLANK(NeoBerLab!$Q$21),"",NeoBerLab!$Q$21)</f>
        <v>0</v>
      </c>
      <c r="C1129" s="310" t="b">
        <v>0</v>
      </c>
    </row>
    <row r="1130" spans="1:3" x14ac:dyDescent="0.2">
      <c r="A1130" s="310" t="s">
        <v>2688</v>
      </c>
      <c r="B1130" t="b">
        <f>IF(ISBLANK(NeoBerLab!$Q$22),"",NeoBerLab!$Q$22)</f>
        <v>0</v>
      </c>
      <c r="C1130" s="310" t="b">
        <v>0</v>
      </c>
    </row>
    <row r="1131" spans="1:3" x14ac:dyDescent="0.2">
      <c r="A1131" s="310" t="s">
        <v>2689</v>
      </c>
      <c r="B1131" t="b">
        <f>IF(ISBLANK(NeoBerLab!$Q$23),"",NeoBerLab!$Q$23)</f>
        <v>0</v>
      </c>
      <c r="C1131" s="310" t="b">
        <v>0</v>
      </c>
    </row>
    <row r="1132" spans="1:3" x14ac:dyDescent="0.2">
      <c r="A1132" s="310" t="s">
        <v>2690</v>
      </c>
      <c r="B1132" t="b">
        <f>IF(ISBLANK(NeoBerLab!$Q$24),"",NeoBerLab!$Q$24)</f>
        <v>0</v>
      </c>
      <c r="C1132" s="310" t="b">
        <v>0</v>
      </c>
    </row>
    <row r="1133" spans="1:3" x14ac:dyDescent="0.2">
      <c r="A1133" s="310" t="s">
        <v>2691</v>
      </c>
      <c r="B1133" t="b">
        <f>IF(ISBLANK(NeoBerLab!$Q$25),"",NeoBerLab!$Q$25)</f>
        <v>0</v>
      </c>
      <c r="C1133" s="310" t="b">
        <v>0</v>
      </c>
    </row>
    <row r="1134" spans="1:3" x14ac:dyDescent="0.2">
      <c r="A1134" s="310" t="s">
        <v>2692</v>
      </c>
      <c r="B1134" t="b">
        <f>IF(ISBLANK(NeoBerLab!$Q$26),"",NeoBerLab!$Q$26)</f>
        <v>0</v>
      </c>
      <c r="C1134" s="310" t="b">
        <v>0</v>
      </c>
    </row>
    <row r="1135" spans="1:3" x14ac:dyDescent="0.2">
      <c r="A1135" s="310" t="s">
        <v>2693</v>
      </c>
      <c r="B1135" t="b">
        <f>IF(ISBLANK(NeoBerLab!$Q$27),"",NeoBerLab!$Q$27)</f>
        <v>0</v>
      </c>
      <c r="C1135" s="310" t="b">
        <v>0</v>
      </c>
    </row>
    <row r="1136" spans="1:3" x14ac:dyDescent="0.2">
      <c r="A1136" s="310" t="s">
        <v>2694</v>
      </c>
      <c r="B1136" t="b">
        <f>IF(ISBLANK(NeoBerLab!$Q$28),"",NeoBerLab!$Q$28)</f>
        <v>0</v>
      </c>
      <c r="C1136" s="310" t="b">
        <v>0</v>
      </c>
    </row>
    <row r="1137" spans="1:3" x14ac:dyDescent="0.2">
      <c r="A1137" s="310" t="s">
        <v>2695</v>
      </c>
      <c r="B1137" t="b">
        <f>IF(ISBLANK(NeoBerLab!$Q$29),"",NeoBerLab!$Q$29)</f>
        <v>0</v>
      </c>
      <c r="C1137" s="310" t="b">
        <v>0</v>
      </c>
    </row>
    <row r="1138" spans="1:3" x14ac:dyDescent="0.2">
      <c r="A1138" s="310" t="s">
        <v>2696</v>
      </c>
      <c r="B1138" t="b">
        <f>IF(ISBLANK(NeoBerLab!$Q$30),"",NeoBerLab!$Q$30)</f>
        <v>0</v>
      </c>
      <c r="C1138" s="310" t="b">
        <v>0</v>
      </c>
    </row>
    <row r="1139" spans="1:3" x14ac:dyDescent="0.2">
      <c r="A1139" s="310" t="s">
        <v>2697</v>
      </c>
      <c r="B1139" t="b">
        <f>IF(ISBLANK(NeoBerLab!$Q$31),"",NeoBerLab!$Q$31)</f>
        <v>0</v>
      </c>
      <c r="C1139" s="310" t="b">
        <v>0</v>
      </c>
    </row>
    <row r="1140" spans="1:3" x14ac:dyDescent="0.2">
      <c r="A1140" s="310" t="s">
        <v>2698</v>
      </c>
      <c r="B1140" t="b">
        <f>IF(ISBLANK(NeoBerLab!$Q$32),"",NeoBerLab!$Q$32)</f>
        <v>0</v>
      </c>
      <c r="C1140" s="310" t="b">
        <v>0</v>
      </c>
    </row>
    <row r="1141" spans="1:3" x14ac:dyDescent="0.2">
      <c r="A1141" s="310" t="s">
        <v>2699</v>
      </c>
      <c r="B1141" t="b">
        <f>IF(ISBLANK(NeoBerLab!$Q$33),"",NeoBerLab!$Q$33)</f>
        <v>0</v>
      </c>
      <c r="C1141" s="310" t="b">
        <v>0</v>
      </c>
    </row>
    <row r="1142" spans="1:3" x14ac:dyDescent="0.2">
      <c r="A1142" s="310" t="s">
        <v>2700</v>
      </c>
      <c r="B1142" t="b">
        <f>IF(ISBLANK(NeoBerLab!$Q$34),"",NeoBerLab!$Q$34)</f>
        <v>0</v>
      </c>
      <c r="C1142" s="310" t="b">
        <v>0</v>
      </c>
    </row>
    <row r="1143" spans="1:3" x14ac:dyDescent="0.2">
      <c r="A1143" s="310" t="s">
        <v>2701</v>
      </c>
      <c r="B1143" t="b">
        <f>IF(ISBLANK(NeoBerLab!$S$4),"",NeoBerLab!$S$4)</f>
        <v>0</v>
      </c>
      <c r="C1143" s="310" t="b">
        <v>0</v>
      </c>
    </row>
    <row r="1144" spans="1:3" x14ac:dyDescent="0.2">
      <c r="A1144" s="310" t="s">
        <v>2702</v>
      </c>
      <c r="B1144" t="b">
        <f>IF(ISBLANK(NeoBerLab!$S$5),"",NeoBerLab!$S$5)</f>
        <v>0</v>
      </c>
      <c r="C1144" s="310" t="b">
        <v>0</v>
      </c>
    </row>
    <row r="1145" spans="1:3" x14ac:dyDescent="0.2">
      <c r="A1145" s="310" t="s">
        <v>2703</v>
      </c>
      <c r="B1145" t="b">
        <f>IF(ISBLANK(NeoBerLab!$S$6),"",NeoBerLab!$S$6)</f>
        <v>0</v>
      </c>
      <c r="C1145" s="310" t="b">
        <v>0</v>
      </c>
    </row>
    <row r="1146" spans="1:3" x14ac:dyDescent="0.2">
      <c r="A1146" s="310" t="s">
        <v>2704</v>
      </c>
      <c r="B1146" t="b">
        <f>IF(ISBLANK(NeoBerLab!$S$7),"",NeoBerLab!$S$7)</f>
        <v>0</v>
      </c>
      <c r="C1146" s="310" t="b">
        <v>0</v>
      </c>
    </row>
    <row r="1147" spans="1:3" x14ac:dyDescent="0.2">
      <c r="A1147" s="310" t="s">
        <v>2705</v>
      </c>
      <c r="B1147" t="b">
        <f>IF(ISBLANK(NeoBerLab!$S$8),"",NeoBerLab!$S$8)</f>
        <v>0</v>
      </c>
      <c r="C1147" s="310" t="b">
        <v>0</v>
      </c>
    </row>
    <row r="1148" spans="1:3" x14ac:dyDescent="0.2">
      <c r="A1148" s="310" t="s">
        <v>2706</v>
      </c>
      <c r="B1148" t="b">
        <f>IF(ISBLANK(NeoBerLab!$S$9),"",NeoBerLab!$S$9)</f>
        <v>0</v>
      </c>
      <c r="C1148" s="310" t="b">
        <v>0</v>
      </c>
    </row>
    <row r="1149" spans="1:3" x14ac:dyDescent="0.2">
      <c r="A1149" s="310" t="s">
        <v>2707</v>
      </c>
      <c r="B1149" t="b">
        <f>IF(ISBLANK(NeoBerLab!$S$10),"",NeoBerLab!$S$10)</f>
        <v>0</v>
      </c>
      <c r="C1149" s="310" t="b">
        <v>0</v>
      </c>
    </row>
    <row r="1150" spans="1:3" x14ac:dyDescent="0.2">
      <c r="A1150" s="310" t="s">
        <v>2708</v>
      </c>
      <c r="B1150" t="b">
        <f>IF(ISBLANK(NeoBerLab!$S$11),"",NeoBerLab!$S$11)</f>
        <v>0</v>
      </c>
      <c r="C1150" s="310" t="b">
        <v>0</v>
      </c>
    </row>
    <row r="1151" spans="1:3" x14ac:dyDescent="0.2">
      <c r="A1151" s="310" t="s">
        <v>2709</v>
      </c>
      <c r="B1151" t="b">
        <f>IF(ISBLANK(NeoBerLab!$S$12),"",NeoBerLab!$S$12)</f>
        <v>0</v>
      </c>
      <c r="C1151" s="310" t="b">
        <v>0</v>
      </c>
    </row>
    <row r="1152" spans="1:3" x14ac:dyDescent="0.2">
      <c r="A1152" s="310" t="s">
        <v>2710</v>
      </c>
      <c r="B1152" t="b">
        <f>IF(ISBLANK(NeoBerLab!$S$13),"",NeoBerLab!$S$13)</f>
        <v>0</v>
      </c>
      <c r="C1152" s="310" t="b">
        <v>0</v>
      </c>
    </row>
    <row r="1153" spans="1:3" x14ac:dyDescent="0.2">
      <c r="A1153" s="310" t="s">
        <v>2711</v>
      </c>
      <c r="B1153" t="b">
        <f>IF(ISBLANK(NeoBerLab!$S$14),"",NeoBerLab!$S$14)</f>
        <v>0</v>
      </c>
      <c r="C1153" s="310" t="b">
        <v>0</v>
      </c>
    </row>
    <row r="1154" spans="1:3" x14ac:dyDescent="0.2">
      <c r="A1154" s="310" t="s">
        <v>2712</v>
      </c>
      <c r="B1154" t="b">
        <f>IF(ISBLANK(NeoBerLab!$S$15),"",NeoBerLab!$S$15)</f>
        <v>0</v>
      </c>
      <c r="C1154" s="310" t="b">
        <v>0</v>
      </c>
    </row>
    <row r="1155" spans="1:3" x14ac:dyDescent="0.2">
      <c r="A1155" s="310" t="s">
        <v>2713</v>
      </c>
      <c r="B1155" t="b">
        <f>IF(ISBLANK(NeoBerLab!$S$16),"",NeoBerLab!$S$16)</f>
        <v>0</v>
      </c>
      <c r="C1155" s="310" t="b">
        <v>0</v>
      </c>
    </row>
    <row r="1156" spans="1:3" x14ac:dyDescent="0.2">
      <c r="A1156" s="310" t="s">
        <v>2714</v>
      </c>
      <c r="B1156" t="b">
        <f>IF(ISBLANK(NeoBerLab!$S$17),"",NeoBerLab!$S$17)</f>
        <v>0</v>
      </c>
      <c r="C1156" s="310" t="b">
        <v>0</v>
      </c>
    </row>
    <row r="1157" spans="1:3" x14ac:dyDescent="0.2">
      <c r="A1157" s="310" t="s">
        <v>2715</v>
      </c>
      <c r="B1157" t="b">
        <f>IF(ISBLANK(NeoBerLab!$S$18),"",NeoBerLab!$S$18)</f>
        <v>0</v>
      </c>
      <c r="C1157" s="310" t="b">
        <v>0</v>
      </c>
    </row>
    <row r="1158" spans="1:3" x14ac:dyDescent="0.2">
      <c r="A1158" s="310" t="s">
        <v>2716</v>
      </c>
      <c r="B1158" t="b">
        <f>IF(ISBLANK(NeoBerLab!$S$19),"",NeoBerLab!$S$19)</f>
        <v>0</v>
      </c>
      <c r="C1158" s="310" t="b">
        <v>0</v>
      </c>
    </row>
    <row r="1159" spans="1:3" x14ac:dyDescent="0.2">
      <c r="A1159" s="310" t="s">
        <v>2717</v>
      </c>
      <c r="B1159" t="b">
        <f>IF(ISBLANK(NeoBerLab!$S$20),"",NeoBerLab!$S$20)</f>
        <v>0</v>
      </c>
      <c r="C1159" s="310" t="b">
        <v>0</v>
      </c>
    </row>
    <row r="1160" spans="1:3" x14ac:dyDescent="0.2">
      <c r="A1160" s="310" t="s">
        <v>2718</v>
      </c>
      <c r="B1160" t="b">
        <f>IF(ISBLANK(NeoBerLab!$S$21),"",NeoBerLab!$S$21)</f>
        <v>0</v>
      </c>
      <c r="C1160" s="310" t="b">
        <v>0</v>
      </c>
    </row>
    <row r="1161" spans="1:3" x14ac:dyDescent="0.2">
      <c r="A1161" s="310" t="s">
        <v>2719</v>
      </c>
      <c r="B1161" t="b">
        <f>IF(ISBLANK(NeoBerLab!$S$22),"",NeoBerLab!$S$22)</f>
        <v>0</v>
      </c>
      <c r="C1161" s="310" t="b">
        <v>0</v>
      </c>
    </row>
    <row r="1162" spans="1:3" x14ac:dyDescent="0.2">
      <c r="A1162" s="310" t="s">
        <v>2720</v>
      </c>
      <c r="B1162" t="b">
        <f>IF(ISBLANK(NeoBerLab!$S$23),"",NeoBerLab!$S$23)</f>
        <v>0</v>
      </c>
      <c r="C1162" s="310" t="b">
        <v>0</v>
      </c>
    </row>
    <row r="1163" spans="1:3" x14ac:dyDescent="0.2">
      <c r="A1163" s="310" t="s">
        <v>2721</v>
      </c>
      <c r="B1163" t="b">
        <f>IF(ISBLANK(NeoBerLab!$S$24),"",NeoBerLab!$S$24)</f>
        <v>0</v>
      </c>
      <c r="C1163" s="310" t="b">
        <v>0</v>
      </c>
    </row>
    <row r="1164" spans="1:3" x14ac:dyDescent="0.2">
      <c r="A1164" s="310" t="s">
        <v>2722</v>
      </c>
      <c r="B1164" t="b">
        <f>IF(ISBLANK(NeoBerLab!$S$25),"",NeoBerLab!$S$25)</f>
        <v>0</v>
      </c>
      <c r="C1164" s="310" t="b">
        <v>0</v>
      </c>
    </row>
    <row r="1165" spans="1:3" x14ac:dyDescent="0.2">
      <c r="A1165" s="310" t="s">
        <v>2723</v>
      </c>
      <c r="B1165" t="b">
        <f>IF(ISBLANK(NeoBerLab!$S$26),"",NeoBerLab!$S$26)</f>
        <v>0</v>
      </c>
      <c r="C1165" s="310" t="b">
        <v>0</v>
      </c>
    </row>
    <row r="1166" spans="1:3" x14ac:dyDescent="0.2">
      <c r="A1166" s="310" t="s">
        <v>2724</v>
      </c>
      <c r="B1166" t="b">
        <f>IF(ISBLANK(NeoBerLab!$S$27),"",NeoBerLab!$S$27)</f>
        <v>0</v>
      </c>
      <c r="C1166" s="310" t="b">
        <v>0</v>
      </c>
    </row>
    <row r="1167" spans="1:3" x14ac:dyDescent="0.2">
      <c r="A1167" s="310" t="s">
        <v>2725</v>
      </c>
      <c r="B1167" t="b">
        <f>IF(ISBLANK(NeoBerLab!$S$28),"",NeoBerLab!$S$28)</f>
        <v>0</v>
      </c>
      <c r="C1167" s="310" t="b">
        <v>0</v>
      </c>
    </row>
    <row r="1168" spans="1:3" x14ac:dyDescent="0.2">
      <c r="A1168" s="310" t="s">
        <v>2726</v>
      </c>
      <c r="B1168" t="b">
        <f>IF(ISBLANK(NeoBerLab!$S$29),"",NeoBerLab!$S$29)</f>
        <v>0</v>
      </c>
      <c r="C1168" s="310" t="b">
        <v>0</v>
      </c>
    </row>
    <row r="1169" spans="1:3" x14ac:dyDescent="0.2">
      <c r="A1169" s="310" t="s">
        <v>2727</v>
      </c>
      <c r="B1169" t="b">
        <f>IF(ISBLANK(NeoBerLab!$S$30),"",NeoBerLab!$S$30)</f>
        <v>0</v>
      </c>
      <c r="C1169" s="310" t="b">
        <v>0</v>
      </c>
    </row>
    <row r="1170" spans="1:3" x14ac:dyDescent="0.2">
      <c r="A1170" s="310" t="s">
        <v>2728</v>
      </c>
      <c r="B1170" t="b">
        <f>IF(ISBLANK(NeoBerLab!$S$31),"",NeoBerLab!$S$31)</f>
        <v>0</v>
      </c>
      <c r="C1170" s="310" t="b">
        <v>0</v>
      </c>
    </row>
    <row r="1171" spans="1:3" x14ac:dyDescent="0.2">
      <c r="A1171" s="310" t="s">
        <v>2729</v>
      </c>
      <c r="B1171" t="b">
        <f>IF(ISBLANK(NeoBerLab!$S$32),"",NeoBerLab!$S$32)</f>
        <v>0</v>
      </c>
      <c r="C1171" s="310" t="b">
        <v>0</v>
      </c>
    </row>
    <row r="1172" spans="1:3" x14ac:dyDescent="0.2">
      <c r="A1172" s="310" t="s">
        <v>2730</v>
      </c>
      <c r="B1172" t="b">
        <f>IF(ISBLANK(NeoBerLab!$S$33),"",NeoBerLab!$S$33)</f>
        <v>0</v>
      </c>
      <c r="C1172" s="310" t="b">
        <v>0</v>
      </c>
    </row>
    <row r="1173" spans="1:3" x14ac:dyDescent="0.2">
      <c r="A1173" s="310" t="s">
        <v>2731</v>
      </c>
      <c r="B1173" t="b">
        <f>IF(ISBLANK(NeoBerLab!$S$34),"",NeoBerLab!$S$34)</f>
        <v>0</v>
      </c>
      <c r="C1173" s="310" t="b">
        <v>0</v>
      </c>
    </row>
    <row r="1174" spans="1:3" x14ac:dyDescent="0.2">
      <c r="A1174" s="310" t="s">
        <v>2732</v>
      </c>
      <c r="B1174" t="str">
        <f>IF(ISBLANK(NeoBerLab!$D$38),"",NeoBerLab!$D$38)</f>
        <v/>
      </c>
      <c r="C1174" s="130"/>
    </row>
    <row r="1175" spans="1:3" x14ac:dyDescent="0.2">
      <c r="A1175" s="310" t="s">
        <v>2733</v>
      </c>
      <c r="B1175" t="b">
        <f>IF(ISBLANK(NeoBerLab!$C$4),"",NeoBerLab!$C$4)</f>
        <v>0</v>
      </c>
      <c r="C1175" s="310" t="b">
        <v>0</v>
      </c>
    </row>
    <row r="1176" spans="1:3" x14ac:dyDescent="0.2">
      <c r="A1176" s="310" t="s">
        <v>2734</v>
      </c>
      <c r="B1176" t="b">
        <f>IF(ISBLANK(NeoBerLab!$C$5),"",NeoBerLab!$C$5)</f>
        <v>0</v>
      </c>
      <c r="C1176" s="310" t="b">
        <v>0</v>
      </c>
    </row>
    <row r="1177" spans="1:3" x14ac:dyDescent="0.2">
      <c r="A1177" s="310" t="s">
        <v>2735</v>
      </c>
      <c r="B1177" t="b">
        <f>IF(ISBLANK(NeoBerLab!$C$6),"",NeoBerLab!$C$6)</f>
        <v>0</v>
      </c>
      <c r="C1177" s="310" t="b">
        <v>0</v>
      </c>
    </row>
    <row r="1178" spans="1:3" x14ac:dyDescent="0.2">
      <c r="A1178" s="310" t="s">
        <v>2736</v>
      </c>
      <c r="B1178" t="b">
        <f>IF(ISBLANK(NeoBerLab!$C$7),"",NeoBerLab!$C$7)</f>
        <v>0</v>
      </c>
      <c r="C1178" s="310" t="b">
        <v>0</v>
      </c>
    </row>
    <row r="1179" spans="1:3" x14ac:dyDescent="0.2">
      <c r="A1179" s="310" t="s">
        <v>2737</v>
      </c>
      <c r="B1179" t="b">
        <f>IF(ISBLANK(NeoBerLab!$C$8),"",NeoBerLab!$C$8)</f>
        <v>0</v>
      </c>
      <c r="C1179" s="310" t="b">
        <v>0</v>
      </c>
    </row>
    <row r="1180" spans="1:3" x14ac:dyDescent="0.2">
      <c r="A1180" s="310" t="s">
        <v>2738</v>
      </c>
      <c r="B1180" t="b">
        <f>IF(ISBLANK(NeoBerLab!$C$9),"",NeoBerLab!$C$9)</f>
        <v>0</v>
      </c>
      <c r="C1180" s="310" t="b">
        <v>0</v>
      </c>
    </row>
    <row r="1181" spans="1:3" x14ac:dyDescent="0.2">
      <c r="A1181" s="310" t="s">
        <v>2739</v>
      </c>
      <c r="B1181" t="b">
        <f>IF(ISBLANK(NeoBerLab!$C$10),"",NeoBerLab!$C$10)</f>
        <v>0</v>
      </c>
      <c r="C1181" s="310" t="b">
        <v>0</v>
      </c>
    </row>
    <row r="1182" spans="1:3" x14ac:dyDescent="0.2">
      <c r="A1182" s="310" t="s">
        <v>2740</v>
      </c>
      <c r="B1182" t="b">
        <f>IF(ISBLANK(NeoBerLab!$C$11),"",NeoBerLab!$C$11)</f>
        <v>0</v>
      </c>
      <c r="C1182" s="310" t="b">
        <v>0</v>
      </c>
    </row>
    <row r="1183" spans="1:3" x14ac:dyDescent="0.2">
      <c r="A1183" s="310" t="s">
        <v>2741</v>
      </c>
      <c r="B1183" t="b">
        <f>IF(ISBLANK(NeoBerLab!$C$12),"",NeoBerLab!$C$12)</f>
        <v>0</v>
      </c>
      <c r="C1183" s="310" t="b">
        <v>0</v>
      </c>
    </row>
    <row r="1184" spans="1:3" x14ac:dyDescent="0.2">
      <c r="A1184" s="310" t="s">
        <v>2742</v>
      </c>
      <c r="B1184" t="b">
        <f>IF(ISBLANK(NeoBerLab!$C$13),"",NeoBerLab!$C$13)</f>
        <v>0</v>
      </c>
      <c r="C1184" s="310" t="b">
        <v>0</v>
      </c>
    </row>
    <row r="1185" spans="1:4" x14ac:dyDescent="0.2">
      <c r="A1185" s="310" t="s">
        <v>2743</v>
      </c>
      <c r="B1185" t="b">
        <f>IF(ISBLANK(NeoBerLab!$C$14),"",NeoBerLab!$C$14)</f>
        <v>0</v>
      </c>
      <c r="C1185" s="310" t="b">
        <v>0</v>
      </c>
    </row>
    <row r="1186" spans="1:4" x14ac:dyDescent="0.2">
      <c r="A1186" s="310" t="s">
        <v>2744</v>
      </c>
      <c r="B1186" t="b">
        <f>IF(ISBLANK(NeoBerLab!$C$15),"",NeoBerLab!$C$15)</f>
        <v>0</v>
      </c>
      <c r="C1186" s="310" t="b">
        <v>0</v>
      </c>
    </row>
    <row r="1187" spans="1:4" x14ac:dyDescent="0.2">
      <c r="A1187" s="310" t="s">
        <v>2745</v>
      </c>
      <c r="B1187" t="b">
        <f>IF(ISBLANK(NeoBerLab!$C$16),"",NeoBerLab!$C$16)</f>
        <v>0</v>
      </c>
      <c r="C1187" s="310" t="b">
        <v>0</v>
      </c>
    </row>
    <row r="1188" spans="1:4" x14ac:dyDescent="0.2">
      <c r="A1188" s="310" t="s">
        <v>2746</v>
      </c>
      <c r="B1188" t="b">
        <f>IF(ISBLANK(NeoBerLab!$C$17),"",NeoBerLab!$C$17)</f>
        <v>0</v>
      </c>
      <c r="C1188" s="310" t="b">
        <v>0</v>
      </c>
    </row>
    <row r="1189" spans="1:4" x14ac:dyDescent="0.2">
      <c r="A1189" s="310" t="s">
        <v>2747</v>
      </c>
      <c r="B1189" t="b">
        <f>IF(ISBLANK(NeoBerLab!$C$18),"",NeoBerLab!$C$18)</f>
        <v>0</v>
      </c>
      <c r="C1189" s="310" t="b">
        <v>0</v>
      </c>
    </row>
    <row r="1190" spans="1:4" x14ac:dyDescent="0.2">
      <c r="A1190" s="310" t="s">
        <v>2748</v>
      </c>
      <c r="B1190" t="b">
        <f>IF(ISBLANK(NeoBerLab!$C$19),"",NeoBerLab!$C$19)</f>
        <v>0</v>
      </c>
      <c r="C1190" s="310" t="b">
        <v>0</v>
      </c>
    </row>
    <row r="1191" spans="1:4" x14ac:dyDescent="0.2">
      <c r="A1191" s="310" t="s">
        <v>2749</v>
      </c>
      <c r="B1191" t="b">
        <f>IF(ISBLANK(NeoBerLab!$C$20),"",NeoBerLab!$C$20)</f>
        <v>0</v>
      </c>
      <c r="C1191" s="310" t="b">
        <v>0</v>
      </c>
    </row>
    <row r="1192" spans="1:4" x14ac:dyDescent="0.2">
      <c r="A1192" s="310" t="s">
        <v>2750</v>
      </c>
      <c r="B1192" t="b">
        <f>IF(ISBLANK(NeoBerLab!$C$21),"",NeoBerLab!$C$21)</f>
        <v>0</v>
      </c>
      <c r="C1192" s="310" t="b">
        <v>0</v>
      </c>
    </row>
    <row r="1193" spans="1:4" x14ac:dyDescent="0.2">
      <c r="A1193" s="310" t="s">
        <v>2751</v>
      </c>
      <c r="B1193" t="b">
        <f>IF(ISBLANK(NeoBerLab!$C$22),"",NeoBerLab!$C$22)</f>
        <v>0</v>
      </c>
      <c r="C1193" s="310" t="b">
        <v>0</v>
      </c>
    </row>
    <row r="1194" spans="1:4" x14ac:dyDescent="0.2">
      <c r="A1194" s="310" t="s">
        <v>2752</v>
      </c>
      <c r="B1194" t="b">
        <f>IF(ISBLANK(NeoBerLab!$C$23),"",NeoBerLab!$C$23)</f>
        <v>0</v>
      </c>
      <c r="C1194" s="310" t="b">
        <v>0</v>
      </c>
    </row>
    <row r="1195" spans="1:4" s="310" customFormat="1" x14ac:dyDescent="0.2">
      <c r="A1195" s="310" t="s">
        <v>2753</v>
      </c>
      <c r="B1195" t="b">
        <f>IF(ISBLANK(NeoBerLab!$C$24),"",NeoBerLab!$C$24)</f>
        <v>0</v>
      </c>
      <c r="C1195" s="310" t="b">
        <v>0</v>
      </c>
      <c r="D1195"/>
    </row>
    <row r="1196" spans="1:4" s="310" customFormat="1" x14ac:dyDescent="0.2">
      <c r="A1196" s="310" t="s">
        <v>2754</v>
      </c>
      <c r="B1196" t="b">
        <f>IF(ISBLANK(NeoBerLab!$C$25),"",NeoBerLab!$C$25)</f>
        <v>0</v>
      </c>
      <c r="C1196" s="310" t="b">
        <v>0</v>
      </c>
    </row>
    <row r="1197" spans="1:4" s="310" customFormat="1" x14ac:dyDescent="0.2">
      <c r="A1197" s="310" t="s">
        <v>2755</v>
      </c>
      <c r="B1197" t="b">
        <f>IF(ISBLANK(NeoBerLab!$C$26),"",NeoBerLab!$C$26)</f>
        <v>0</v>
      </c>
      <c r="C1197" s="310" t="b">
        <v>0</v>
      </c>
    </row>
    <row r="1198" spans="1:4" x14ac:dyDescent="0.2">
      <c r="A1198" s="310" t="s">
        <v>2756</v>
      </c>
      <c r="B1198" t="b">
        <f>IF(ISBLANK(NeoBerLab!$C$27),"",NeoBerLab!$C$27)</f>
        <v>0</v>
      </c>
      <c r="C1198" s="310" t="b">
        <v>0</v>
      </c>
      <c r="D1198" s="310"/>
    </row>
    <row r="1199" spans="1:4" x14ac:dyDescent="0.2">
      <c r="A1199" s="310" t="s">
        <v>2757</v>
      </c>
      <c r="B1199" t="b">
        <f>IF(ISBLANK(NeoBerLab!$C$28),"",NeoBerLab!$C$28)</f>
        <v>0</v>
      </c>
      <c r="C1199" s="310" t="b">
        <v>0</v>
      </c>
    </row>
    <row r="1200" spans="1:4" x14ac:dyDescent="0.2">
      <c r="A1200" s="310" t="s">
        <v>2758</v>
      </c>
      <c r="B1200" t="b">
        <f>IF(ISBLANK(NeoBerLab!$C$29),"",NeoBerLab!$C$29)</f>
        <v>0</v>
      </c>
      <c r="C1200" s="310" t="b">
        <v>0</v>
      </c>
    </row>
    <row r="1201" spans="1:4" x14ac:dyDescent="0.2">
      <c r="A1201" s="310" t="s">
        <v>2759</v>
      </c>
      <c r="B1201" t="b">
        <f>IF(ISBLANK(NeoBerLab!$C$30),"",NeoBerLab!$C$30)</f>
        <v>0</v>
      </c>
      <c r="C1201" s="310" t="b">
        <v>0</v>
      </c>
      <c r="D1201" s="128"/>
    </row>
    <row r="1202" spans="1:4" x14ac:dyDescent="0.2">
      <c r="A1202" s="310" t="s">
        <v>2760</v>
      </c>
      <c r="B1202" t="b">
        <f>IF(ISBLANK(NeoBerLab!$C$31),"",NeoBerLab!$C$31)</f>
        <v>0</v>
      </c>
      <c r="C1202" s="310" t="b">
        <v>0</v>
      </c>
    </row>
    <row r="1203" spans="1:4" x14ac:dyDescent="0.2">
      <c r="A1203" s="310" t="s">
        <v>2761</v>
      </c>
      <c r="B1203" t="b">
        <f>IF(ISBLANK(NeoBerLab!$C$32),"",NeoBerLab!$C$32)</f>
        <v>0</v>
      </c>
      <c r="C1203" s="310" t="b">
        <v>0</v>
      </c>
    </row>
    <row r="1204" spans="1:4" x14ac:dyDescent="0.2">
      <c r="A1204" s="310" t="s">
        <v>2762</v>
      </c>
      <c r="B1204" t="b">
        <f>IF(ISBLANK(NeoBerLab!$C$33),"",NeoBerLab!$C$33)</f>
        <v>0</v>
      </c>
      <c r="C1204" s="310" t="b">
        <v>0</v>
      </c>
    </row>
    <row r="1205" spans="1:4" x14ac:dyDescent="0.2">
      <c r="A1205" s="310" t="s">
        <v>2763</v>
      </c>
      <c r="B1205" t="b">
        <f>IF(ISBLANK(NeoBerLab!$C$34),"",NeoBerLab!$C$34)</f>
        <v>0</v>
      </c>
      <c r="C1205" s="310" t="b">
        <v>0</v>
      </c>
    </row>
    <row r="1206" spans="1:4" x14ac:dyDescent="0.2">
      <c r="A1206" s="310" t="s">
        <v>2764</v>
      </c>
      <c r="B1206" t="b">
        <f>IF(ISBLANK(NeoBerLab!$C$35),"",NeoBerLab!$C$35)</f>
        <v>0</v>
      </c>
      <c r="C1206" s="310" t="b">
        <v>0</v>
      </c>
    </row>
    <row r="1207" spans="1:4" x14ac:dyDescent="0.2">
      <c r="A1207" s="310" t="s">
        <v>3656</v>
      </c>
      <c r="B1207" s="310">
        <f>IF(ISBLANK(PatDetails!$B$8),"",PatDetails!$B$8)</f>
        <v>0</v>
      </c>
      <c r="C1207" s="312">
        <v>0</v>
      </c>
    </row>
    <row r="1208" spans="1:4" x14ac:dyDescent="0.2">
      <c r="A1208" s="310" t="s">
        <v>4672</v>
      </c>
      <c r="B1208" s="310">
        <f>IF(ISBLANK(PatDetails!$B$10),"",PatDetails!$B$10)</f>
        <v>0</v>
      </c>
      <c r="C1208" s="312">
        <v>0</v>
      </c>
    </row>
    <row r="1209" spans="1:4" x14ac:dyDescent="0.2">
      <c r="A1209" s="310" t="s">
        <v>4673</v>
      </c>
      <c r="B1209" s="310">
        <f>IF(ISBLANK(PatDetails!$B$11),"",PatDetails!$B$11)</f>
        <v>0</v>
      </c>
      <c r="C1209" s="312">
        <v>0</v>
      </c>
    </row>
    <row r="1210" spans="1:4" x14ac:dyDescent="0.2">
      <c r="A1210" s="310" t="s">
        <v>3052</v>
      </c>
      <c r="B1210">
        <f>IF(ISBLANK(PatDetails!$B$6),"",PatDetails!$B$6)</f>
        <v>10</v>
      </c>
      <c r="C1210" s="312">
        <v>0</v>
      </c>
    </row>
    <row r="1211" spans="1:4" x14ac:dyDescent="0.2">
      <c r="A1211" s="310" t="s">
        <v>3053</v>
      </c>
      <c r="B1211">
        <f>IF(ISBLANK(PatDetails!$B$7),"",PatDetails!$B$7)</f>
        <v>0</v>
      </c>
      <c r="C1211" s="312">
        <v>0</v>
      </c>
    </row>
    <row r="1212" spans="1:4" x14ac:dyDescent="0.2">
      <c r="A1212" s="310" t="s">
        <v>3051</v>
      </c>
      <c r="B1212" s="24">
        <f>IF(ISBLANK(PatDetails!$B$9),"",PatDetails!$B$9)</f>
        <v>1462</v>
      </c>
      <c r="C1212" s="128">
        <f>EmptyDate()</f>
        <v>1462</v>
      </c>
    </row>
    <row r="1213" spans="1:4" x14ac:dyDescent="0.2">
      <c r="A1213" s="310" t="s">
        <v>1881</v>
      </c>
      <c r="B1213" t="b">
        <f>IF(ISBLANK(PedBerAfspr!$D$11),"",PedBerAfspr!$D$11)</f>
        <v>0</v>
      </c>
      <c r="C1213" t="b">
        <v>0</v>
      </c>
    </row>
    <row r="1214" spans="1:4" x14ac:dyDescent="0.2">
      <c r="A1214" s="310" t="s">
        <v>1882</v>
      </c>
      <c r="B1214" t="b">
        <f>IF(ISBLANK(PedBerAfspr!$D$12),"",PedBerAfspr!$D$12)</f>
        <v>0</v>
      </c>
      <c r="C1214" s="310" t="b">
        <v>0</v>
      </c>
    </row>
    <row r="1215" spans="1:4" x14ac:dyDescent="0.2">
      <c r="A1215" s="310" t="s">
        <v>1883</v>
      </c>
      <c r="B1215" t="b">
        <f>IF(ISBLANK(PedBerAfspr!$D$13),"",PedBerAfspr!$D$13)</f>
        <v>0</v>
      </c>
      <c r="C1215" s="310" t="b">
        <v>0</v>
      </c>
    </row>
    <row r="1216" spans="1:4" x14ac:dyDescent="0.2">
      <c r="A1216" s="310" t="s">
        <v>1884</v>
      </c>
      <c r="B1216" t="b">
        <f>IF(ISBLANK(PedBerAfspr!$D$14),"",PedBerAfspr!$D$14)</f>
        <v>0</v>
      </c>
      <c r="C1216" s="310" t="b">
        <v>0</v>
      </c>
    </row>
    <row r="1217" spans="1:3" x14ac:dyDescent="0.2">
      <c r="A1217" s="310" t="s">
        <v>1885</v>
      </c>
      <c r="B1217" t="b">
        <f>IF(ISBLANK(PedBerAfspr!$B$10),"",PedBerAfspr!$B$10)</f>
        <v>0</v>
      </c>
      <c r="C1217" s="310" t="b">
        <v>0</v>
      </c>
    </row>
    <row r="1218" spans="1:3" x14ac:dyDescent="0.2">
      <c r="A1218" s="310" t="s">
        <v>1886</v>
      </c>
      <c r="B1218" t="b">
        <f>IF(ISBLANK(PedBerAfspr!$F$7),"",PedBerAfspr!$F$7)</f>
        <v>0</v>
      </c>
      <c r="C1218" s="310" t="b">
        <v>0</v>
      </c>
    </row>
    <row r="1219" spans="1:3" x14ac:dyDescent="0.2">
      <c r="A1219" s="310" t="s">
        <v>1887</v>
      </c>
      <c r="B1219" t="b">
        <f>IF(ISBLANK(PedBerAfspr!$B$20),"",PedBerAfspr!$B$20)</f>
        <v>0</v>
      </c>
      <c r="C1219" s="310" t="b">
        <v>0</v>
      </c>
    </row>
    <row r="1220" spans="1:3" x14ac:dyDescent="0.2">
      <c r="A1220" s="310" t="s">
        <v>1888</v>
      </c>
      <c r="B1220" t="b">
        <f>IF(ISBLANK(PedBerAfspr!$F$10),"",PedBerAfspr!$F$10)</f>
        <v>0</v>
      </c>
      <c r="C1220" s="310" t="b">
        <v>0</v>
      </c>
    </row>
    <row r="1221" spans="1:3" x14ac:dyDescent="0.2">
      <c r="A1221" s="310" t="s">
        <v>1889</v>
      </c>
      <c r="B1221" t="b">
        <f>IF(ISBLANK(PedBerAfspr!$B$21),"",PedBerAfspr!$B$21)</f>
        <v>0</v>
      </c>
      <c r="C1221" s="310" t="b">
        <v>0</v>
      </c>
    </row>
    <row r="1222" spans="1:3" x14ac:dyDescent="0.2">
      <c r="A1222" s="310" t="s">
        <v>1890</v>
      </c>
      <c r="B1222" t="b">
        <f>IF(ISBLANK(PedBerAfspr!$F$12),"",PedBerAfspr!$F$12)</f>
        <v>0</v>
      </c>
      <c r="C1222" s="310" t="b">
        <v>0</v>
      </c>
    </row>
    <row r="1223" spans="1:3" x14ac:dyDescent="0.2">
      <c r="A1223" s="310" t="s">
        <v>1891</v>
      </c>
      <c r="B1223" t="b">
        <f>IF(ISBLANK(PedBerAfspr!$B$42),"",PedBerAfspr!$B$42)</f>
        <v>0</v>
      </c>
      <c r="C1223" s="310" t="b">
        <v>0</v>
      </c>
    </row>
    <row r="1224" spans="1:3" x14ac:dyDescent="0.2">
      <c r="A1224" s="310" t="s">
        <v>1892</v>
      </c>
      <c r="B1224" t="b">
        <f>IF(ISBLANK(PedBerAfspr!$B$7),"",PedBerAfspr!$B$7)</f>
        <v>0</v>
      </c>
      <c r="C1224" s="310" t="b">
        <v>0</v>
      </c>
    </row>
    <row r="1225" spans="1:3" x14ac:dyDescent="0.2">
      <c r="A1225" s="310" t="s">
        <v>1893</v>
      </c>
      <c r="B1225" t="b">
        <f>IF(ISBLANK(PedBerAfspr!$F$15),"",PedBerAfspr!$F$15)</f>
        <v>0</v>
      </c>
      <c r="C1225" s="310" t="b">
        <v>0</v>
      </c>
    </row>
    <row r="1226" spans="1:3" x14ac:dyDescent="0.2">
      <c r="A1226" s="310" t="s">
        <v>1894</v>
      </c>
      <c r="B1226" t="b">
        <f>IF(ISBLANK(PedBerAfspr!$F$13),"",PedBerAfspr!$F$13)</f>
        <v>0</v>
      </c>
      <c r="C1226" s="310" t="b">
        <v>0</v>
      </c>
    </row>
    <row r="1227" spans="1:3" x14ac:dyDescent="0.2">
      <c r="A1227" s="310" t="s">
        <v>1895</v>
      </c>
      <c r="B1227" t="b">
        <f>IF(ISBLANK(PedBerAfspr!$B$24),"",PedBerAfspr!$B$24)</f>
        <v>0</v>
      </c>
      <c r="C1227" s="310" t="b">
        <v>0</v>
      </c>
    </row>
    <row r="1228" spans="1:3" x14ac:dyDescent="0.2">
      <c r="A1228" s="310" t="s">
        <v>1896</v>
      </c>
      <c r="B1228" t="b">
        <f>IF(ISBLANK(PedBerAfspr!$B$8),"",PedBerAfspr!$B$8)</f>
        <v>0</v>
      </c>
      <c r="C1228" s="310" t="b">
        <v>0</v>
      </c>
    </row>
    <row r="1229" spans="1:3" x14ac:dyDescent="0.2">
      <c r="A1229" s="310" t="s">
        <v>1897</v>
      </c>
      <c r="B1229" t="b">
        <f>IF(ISBLANK(PedBerAfspr!$B$39),"",PedBerAfspr!$B$39)</f>
        <v>0</v>
      </c>
      <c r="C1229" s="310" t="b">
        <v>0</v>
      </c>
    </row>
    <row r="1230" spans="1:3" x14ac:dyDescent="0.2">
      <c r="A1230" s="310" t="s">
        <v>1898</v>
      </c>
      <c r="B1230" t="b">
        <f>IF(ISBLANK(PedBerAfspr!$F$16),"",PedBerAfspr!$F$16)</f>
        <v>0</v>
      </c>
      <c r="C1230" s="310" t="b">
        <v>0</v>
      </c>
    </row>
    <row r="1231" spans="1:3" x14ac:dyDescent="0.2">
      <c r="A1231" s="310" t="s">
        <v>1899</v>
      </c>
      <c r="B1231" t="b">
        <f>IF(ISBLANK(PedBerAfspr!$F$9),"",PedBerAfspr!$F$9)</f>
        <v>0</v>
      </c>
      <c r="C1231" s="310" t="b">
        <v>0</v>
      </c>
    </row>
    <row r="1232" spans="1:3" x14ac:dyDescent="0.2">
      <c r="A1232" s="310" t="s">
        <v>1900</v>
      </c>
      <c r="B1232" t="b">
        <f>IF(ISBLANK(PedBerAfspr!$B$11),"",PedBerAfspr!$B$11)</f>
        <v>0</v>
      </c>
      <c r="C1232" s="310" t="b">
        <v>0</v>
      </c>
    </row>
    <row r="1233" spans="1:3" x14ac:dyDescent="0.2">
      <c r="A1233" s="310" t="s">
        <v>1901</v>
      </c>
      <c r="B1233" t="b">
        <f>IF(ISBLANK(PedBerAfspr!$B$15),"",PedBerAfspr!$B$15)</f>
        <v>0</v>
      </c>
      <c r="C1233" s="310" t="b">
        <v>0</v>
      </c>
    </row>
    <row r="1234" spans="1:3" x14ac:dyDescent="0.2">
      <c r="A1234" s="310" t="s">
        <v>1902</v>
      </c>
      <c r="B1234" t="b">
        <f>IF(ISBLANK(PedBerAfspr!$B$22),"",PedBerAfspr!$B$22)</f>
        <v>0</v>
      </c>
      <c r="C1234" s="310" t="b">
        <v>0</v>
      </c>
    </row>
    <row r="1235" spans="1:3" x14ac:dyDescent="0.2">
      <c r="A1235" s="310" t="s">
        <v>1903</v>
      </c>
      <c r="B1235" t="b">
        <f>IF(ISBLANK(PedBerAfspr!$B$23),"",PedBerAfspr!$B$23)</f>
        <v>0</v>
      </c>
      <c r="C1235" s="310" t="b">
        <v>0</v>
      </c>
    </row>
    <row r="1236" spans="1:3" x14ac:dyDescent="0.2">
      <c r="A1236" s="310" t="s">
        <v>1904</v>
      </c>
      <c r="B1236" t="b">
        <f>IF(ISBLANK(PedBerAfspr!$F$11),"",PedBerAfspr!$F$11)</f>
        <v>0</v>
      </c>
      <c r="C1236" s="310" t="b">
        <v>0</v>
      </c>
    </row>
    <row r="1237" spans="1:3" x14ac:dyDescent="0.2">
      <c r="A1237" s="310" t="s">
        <v>1905</v>
      </c>
      <c r="B1237" t="b">
        <f>IF(ISBLANK(PedBerAfspr!$B$36),"",PedBerAfspr!$B$36)</f>
        <v>0</v>
      </c>
      <c r="C1237" s="310" t="b">
        <v>0</v>
      </c>
    </row>
    <row r="1238" spans="1:3" x14ac:dyDescent="0.2">
      <c r="A1238" s="310" t="s">
        <v>1906</v>
      </c>
      <c r="B1238" t="b">
        <f>IF(ISBLANK(PedBerAfspr!$D$36),"",PedBerAfspr!$D$36)</f>
        <v>0</v>
      </c>
      <c r="C1238" s="310" t="b">
        <v>0</v>
      </c>
    </row>
    <row r="1239" spans="1:3" x14ac:dyDescent="0.2">
      <c r="A1239" s="310" t="s">
        <v>1907</v>
      </c>
      <c r="B1239" t="b">
        <f>IF(ISBLANK(PedBerAfspr!$B$37),"",PedBerAfspr!$B$37)</f>
        <v>0</v>
      </c>
      <c r="C1239" s="310" t="b">
        <v>0</v>
      </c>
    </row>
    <row r="1240" spans="1:3" x14ac:dyDescent="0.2">
      <c r="A1240" s="310" t="s">
        <v>1908</v>
      </c>
      <c r="B1240" t="b">
        <f>IF(ISBLANK(PedBerAfspr!$D$37),"",PedBerAfspr!$D$37)</f>
        <v>0</v>
      </c>
      <c r="C1240" s="310" t="b">
        <v>0</v>
      </c>
    </row>
    <row r="1241" spans="1:3" x14ac:dyDescent="0.2">
      <c r="A1241" s="310" t="s">
        <v>1909</v>
      </c>
      <c r="B1241" t="b">
        <f>IF(ISBLANK(PedBerAfspr!$B$43),"",PedBerAfspr!$B$43)</f>
        <v>0</v>
      </c>
      <c r="C1241" s="310" t="b">
        <v>0</v>
      </c>
    </row>
    <row r="1242" spans="1:3" x14ac:dyDescent="0.2">
      <c r="A1242" s="310" t="s">
        <v>1910</v>
      </c>
      <c r="B1242" t="b">
        <f>IF(ISBLANK(PedBerAfspr!$B$38),"",PedBerAfspr!$B$38)</f>
        <v>0</v>
      </c>
      <c r="C1242" s="310" t="b">
        <v>0</v>
      </c>
    </row>
    <row r="1243" spans="1:3" x14ac:dyDescent="0.2">
      <c r="A1243" s="310" t="s">
        <v>1911</v>
      </c>
      <c r="B1243" t="b">
        <f>IF(ISBLANK(PedBerAfspr!$D$38),"",PedBerAfspr!$D$38)</f>
        <v>0</v>
      </c>
      <c r="C1243" s="310" t="b">
        <v>0</v>
      </c>
    </row>
    <row r="1244" spans="1:3" x14ac:dyDescent="0.2">
      <c r="A1244" s="310" t="s">
        <v>1912</v>
      </c>
      <c r="B1244" t="b">
        <f>IF(ISBLANK(PedBerAfspr!$B$16),"",PedBerAfspr!$B$16)</f>
        <v>0</v>
      </c>
      <c r="C1244" s="310" t="b">
        <v>0</v>
      </c>
    </row>
    <row r="1245" spans="1:3" x14ac:dyDescent="0.2">
      <c r="A1245" s="310" t="s">
        <v>1913</v>
      </c>
      <c r="B1245" t="b">
        <f>IF(ISBLANK(PedBerAfspr!$B$17),"",PedBerAfspr!$B$17)</f>
        <v>0</v>
      </c>
      <c r="C1245" s="310" t="b">
        <v>0</v>
      </c>
    </row>
    <row r="1246" spans="1:3" x14ac:dyDescent="0.2">
      <c r="A1246" s="310" t="s">
        <v>1914</v>
      </c>
      <c r="B1246" t="b">
        <f>IF(ISBLANK(PedBerAfspr!$B$9),"",PedBerAfspr!$B$9)</f>
        <v>0</v>
      </c>
      <c r="C1246" s="310" t="b">
        <v>0</v>
      </c>
    </row>
    <row r="1247" spans="1:3" x14ac:dyDescent="0.2">
      <c r="A1247" s="310" t="s">
        <v>1915</v>
      </c>
      <c r="B1247" t="b">
        <f>IF(ISBLANK(PedBerAfspr!$B$44),"",PedBerAfspr!$B$44)</f>
        <v>0</v>
      </c>
      <c r="C1247" s="310" t="b">
        <v>0</v>
      </c>
    </row>
    <row r="1248" spans="1:3" x14ac:dyDescent="0.2">
      <c r="A1248" s="310" t="s">
        <v>1916</v>
      </c>
      <c r="B1248" t="b">
        <f>IF(ISBLANK(PedBerAfspr!$B$27),"",PedBerAfspr!$B$27)</f>
        <v>0</v>
      </c>
      <c r="C1248" s="310" t="b">
        <v>0</v>
      </c>
    </row>
    <row r="1249" spans="1:3" x14ac:dyDescent="0.2">
      <c r="A1249" s="310" t="s">
        <v>1917</v>
      </c>
      <c r="B1249" t="b">
        <f>IF(ISBLANK(PedBerAfspr!$B$30),"",PedBerAfspr!$B$30)</f>
        <v>0</v>
      </c>
      <c r="C1249" s="310" t="b">
        <v>0</v>
      </c>
    </row>
    <row r="1250" spans="1:3" x14ac:dyDescent="0.2">
      <c r="A1250" s="310" t="s">
        <v>1918</v>
      </c>
      <c r="B1250" t="b">
        <f>IF(ISBLANK(PedBerAfspr!$B$33),"",PedBerAfspr!$B$33)</f>
        <v>0</v>
      </c>
      <c r="C1250" s="310" t="b">
        <v>0</v>
      </c>
    </row>
    <row r="1251" spans="1:3" x14ac:dyDescent="0.2">
      <c r="A1251" s="310" t="s">
        <v>1919</v>
      </c>
      <c r="B1251" t="b">
        <f>IF(ISBLANK(PedBerAfspr!$B$25),"",PedBerAfspr!$B$25)</f>
        <v>0</v>
      </c>
      <c r="C1251" s="310" t="b">
        <v>0</v>
      </c>
    </row>
    <row r="1252" spans="1:3" x14ac:dyDescent="0.2">
      <c r="A1252" s="310" t="s">
        <v>1920</v>
      </c>
      <c r="B1252" t="b">
        <f>IF(ISBLANK(PedBerAfspr!$F$8),"",PedBerAfspr!$F$8)</f>
        <v>0</v>
      </c>
      <c r="C1252" s="310" t="b">
        <v>0</v>
      </c>
    </row>
    <row r="1253" spans="1:3" x14ac:dyDescent="0.2">
      <c r="A1253" s="310" t="s">
        <v>1921</v>
      </c>
      <c r="B1253" t="b">
        <f>IF(ISBLANK(PedBerAfspr!$F$18),"",PedBerAfspr!$F$18)</f>
        <v>0</v>
      </c>
      <c r="C1253" s="310" t="b">
        <v>0</v>
      </c>
    </row>
    <row r="1254" spans="1:3" x14ac:dyDescent="0.2">
      <c r="A1254" s="310" t="s">
        <v>1922</v>
      </c>
      <c r="B1254" t="b">
        <f>IF(ISBLANK(PedBerAfspr!$F$14),"",PedBerAfspr!$F$14)</f>
        <v>0</v>
      </c>
      <c r="C1254" s="310" t="b">
        <v>0</v>
      </c>
    </row>
    <row r="1255" spans="1:3" x14ac:dyDescent="0.2">
      <c r="A1255" s="310" t="s">
        <v>1923</v>
      </c>
      <c r="B1255">
        <f>IF(ISBLANK(PedBerAfspr!$C$42),"",PedBerAfspr!$C$42)</f>
        <v>0</v>
      </c>
      <c r="C1255">
        <v>0</v>
      </c>
    </row>
    <row r="1256" spans="1:3" x14ac:dyDescent="0.2">
      <c r="A1256" s="310" t="s">
        <v>1924</v>
      </c>
      <c r="B1256">
        <f>IF(ISBLANK(PedBerAfspr!$C$7),"",PedBerAfspr!$C$7)</f>
        <v>0</v>
      </c>
      <c r="C1256">
        <v>0</v>
      </c>
    </row>
    <row r="1257" spans="1:3" x14ac:dyDescent="0.2">
      <c r="A1257" s="310" t="s">
        <v>1925</v>
      </c>
      <c r="B1257">
        <f>IF(ISBLANK(PedBerAfspr!$D$7),"",PedBerAfspr!$D$7)</f>
        <v>0</v>
      </c>
      <c r="C1257">
        <v>0</v>
      </c>
    </row>
    <row r="1258" spans="1:3" x14ac:dyDescent="0.2">
      <c r="A1258" s="310" t="s">
        <v>1926</v>
      </c>
      <c r="B1258">
        <f>IF(ISBLANK(PedBerAfspr!$C$8),"",PedBerAfspr!$C$8)</f>
        <v>0</v>
      </c>
      <c r="C1258">
        <v>0</v>
      </c>
    </row>
    <row r="1259" spans="1:3" x14ac:dyDescent="0.2">
      <c r="A1259" s="310" t="s">
        <v>1927</v>
      </c>
      <c r="B1259">
        <f>IF(ISBLANK(PedBerAfspr!$D$8),"",PedBerAfspr!$D$8)</f>
        <v>0</v>
      </c>
      <c r="C1259">
        <v>0</v>
      </c>
    </row>
    <row r="1260" spans="1:3" x14ac:dyDescent="0.2">
      <c r="A1260" s="310" t="s">
        <v>1928</v>
      </c>
      <c r="B1260">
        <f>IF(ISBLANK(PedBerAfspr!$D$40),"",PedBerAfspr!$D$40)</f>
        <v>0</v>
      </c>
      <c r="C1260">
        <v>0</v>
      </c>
    </row>
    <row r="1261" spans="1:3" x14ac:dyDescent="0.2">
      <c r="A1261" s="310" t="s">
        <v>1929</v>
      </c>
      <c r="B1261">
        <f>IF(ISBLANK(PedBerAfspr!$D$39),"",PedBerAfspr!$D$39)</f>
        <v>0</v>
      </c>
      <c r="C1261">
        <v>0</v>
      </c>
    </row>
    <row r="1262" spans="1:3" x14ac:dyDescent="0.2">
      <c r="A1262" s="310" t="s">
        <v>1930</v>
      </c>
      <c r="B1262">
        <f>IF(ISBLANK(PedBerAfspr!$G$16),"",PedBerAfspr!$G$16)</f>
        <v>0</v>
      </c>
      <c r="C1262">
        <v>0</v>
      </c>
    </row>
    <row r="1263" spans="1:3" x14ac:dyDescent="0.2">
      <c r="A1263" s="310" t="s">
        <v>1931</v>
      </c>
      <c r="B1263">
        <f>IF(ISBLANK(PedBerAfspr!$B$12),"",PedBerAfspr!$B$12)</f>
        <v>0</v>
      </c>
      <c r="C1263">
        <v>0</v>
      </c>
    </row>
    <row r="1264" spans="1:3" x14ac:dyDescent="0.2">
      <c r="A1264" s="310" t="s">
        <v>1932</v>
      </c>
      <c r="B1264" t="str">
        <f>IF(ISBLANK(PedBerAfspr!$F$17),"",PedBerAfspr!$F$17)</f>
        <v/>
      </c>
      <c r="C1264" s="130"/>
    </row>
    <row r="1265" spans="1:3" x14ac:dyDescent="0.2">
      <c r="A1265" s="310" t="s">
        <v>1933</v>
      </c>
      <c r="B1265">
        <f>IF(ISBLANK(PedBerAfspr!$C$9),"",PedBerAfspr!$C$9)</f>
        <v>0</v>
      </c>
      <c r="C1265">
        <v>0</v>
      </c>
    </row>
    <row r="1266" spans="1:3" x14ac:dyDescent="0.2">
      <c r="A1266" s="310" t="s">
        <v>1934</v>
      </c>
      <c r="B1266">
        <f>IF(ISBLANK(PedBerAfspr!$D$9),"",PedBerAfspr!$D$9)</f>
        <v>1</v>
      </c>
      <c r="C1266">
        <v>1</v>
      </c>
    </row>
    <row r="1267" spans="1:3" x14ac:dyDescent="0.2">
      <c r="A1267" s="310" t="s">
        <v>1935</v>
      </c>
      <c r="B1267">
        <f>IF(ISBLANK(PedBerAfspr!$D$29),"",PedBerAfspr!$D$29)</f>
        <v>1</v>
      </c>
      <c r="C1267">
        <v>1</v>
      </c>
    </row>
    <row r="1268" spans="1:3" x14ac:dyDescent="0.2">
      <c r="A1268" s="310" t="s">
        <v>1936</v>
      </c>
      <c r="B1268">
        <f>IF(ISBLANK(PedBerAfspr!$D$27),"",PedBerAfspr!$D$27)</f>
        <v>1</v>
      </c>
      <c r="C1268">
        <v>1</v>
      </c>
    </row>
    <row r="1269" spans="1:3" x14ac:dyDescent="0.2">
      <c r="A1269" s="310" t="s">
        <v>1937</v>
      </c>
      <c r="B1269">
        <f>IF(ISBLANK(PedBerAfspr!$D$28),"",PedBerAfspr!$D$28)</f>
        <v>1</v>
      </c>
      <c r="C1269">
        <v>1</v>
      </c>
    </row>
    <row r="1270" spans="1:3" x14ac:dyDescent="0.2">
      <c r="A1270" s="310" t="s">
        <v>1938</v>
      </c>
      <c r="B1270">
        <f>IF(ISBLANK(PedBerAfspr!$D$32),"",PedBerAfspr!$D$32)</f>
        <v>1</v>
      </c>
      <c r="C1270">
        <v>1</v>
      </c>
    </row>
    <row r="1271" spans="1:3" x14ac:dyDescent="0.2">
      <c r="A1271" s="310" t="s">
        <v>1939</v>
      </c>
      <c r="B1271">
        <f>IF(ISBLANK(PedBerAfspr!$D$30),"",PedBerAfspr!$D$30)</f>
        <v>1</v>
      </c>
      <c r="C1271">
        <v>1</v>
      </c>
    </row>
    <row r="1272" spans="1:3" x14ac:dyDescent="0.2">
      <c r="A1272" s="310" t="s">
        <v>1940</v>
      </c>
      <c r="B1272">
        <f>IF(ISBLANK(PedBerAfspr!$D$31),"",PedBerAfspr!$D$31)</f>
        <v>1</v>
      </c>
      <c r="C1272">
        <v>1</v>
      </c>
    </row>
    <row r="1273" spans="1:3" x14ac:dyDescent="0.2">
      <c r="A1273" s="310" t="s">
        <v>1941</v>
      </c>
      <c r="B1273">
        <f>IF(ISBLANK(PedBerAfspr!$D$35),"",PedBerAfspr!$D$35)</f>
        <v>1</v>
      </c>
      <c r="C1273">
        <v>1</v>
      </c>
    </row>
    <row r="1274" spans="1:3" x14ac:dyDescent="0.2">
      <c r="A1274" s="310" t="s">
        <v>1942</v>
      </c>
      <c r="B1274">
        <f>IF(ISBLANK(PedBerAfspr!$D$33),"",PedBerAfspr!$D$33)</f>
        <v>1</v>
      </c>
      <c r="C1274">
        <v>1</v>
      </c>
    </row>
    <row r="1275" spans="1:3" x14ac:dyDescent="0.2">
      <c r="A1275" s="310" t="s">
        <v>1943</v>
      </c>
      <c r="B1275">
        <f>IF(ISBLANK(PedBerAfspr!$D$34),"",PedBerAfspr!$D$34)</f>
        <v>1</v>
      </c>
      <c r="C1275">
        <v>1</v>
      </c>
    </row>
    <row r="1276" spans="1:3" x14ac:dyDescent="0.2">
      <c r="A1276" s="310" t="s">
        <v>2765</v>
      </c>
      <c r="B1276" t="str">
        <f>IF(ISBLANK(PedBerAfspr!$H$18),"",PedBerAfspr!$H$18)</f>
        <v/>
      </c>
      <c r="C1276">
        <v>0</v>
      </c>
    </row>
    <row r="1277" spans="1:3" x14ac:dyDescent="0.2">
      <c r="A1277" s="310" t="s">
        <v>1944</v>
      </c>
      <c r="B1277" t="str">
        <f>IF(ISBLANK(PedBerAfspr!$H$18),"",PedBerAfspr!$H$18)</f>
        <v/>
      </c>
      <c r="C1277" s="130"/>
    </row>
    <row r="1278" spans="1:3" x14ac:dyDescent="0.2">
      <c r="A1278" s="310" t="s">
        <v>1945</v>
      </c>
      <c r="B1278">
        <f>IF(ISBLANK(PedBerAfspr!$G$18),"",PedBerAfspr!$G$18)</f>
        <v>0</v>
      </c>
      <c r="C1278">
        <v>0</v>
      </c>
    </row>
    <row r="1279" spans="1:3" x14ac:dyDescent="0.2">
      <c r="A1279" s="310" t="s">
        <v>1760</v>
      </c>
      <c r="B1279" t="str">
        <f>IF(ISBLANK(PedBerAfspr!$F$17),"",PedBerAfspr!$F$17)</f>
        <v/>
      </c>
      <c r="C1279" s="130"/>
    </row>
    <row r="1280" spans="1:3" x14ac:dyDescent="0.2">
      <c r="A1280" s="310" t="s">
        <v>2766</v>
      </c>
      <c r="B1280">
        <f>IF(ISBLANK(PedBerEnt!$B$3),"",PedBerEnt!$B$3)</f>
        <v>1</v>
      </c>
      <c r="C1280">
        <v>1</v>
      </c>
    </row>
    <row r="1281" spans="1:3" x14ac:dyDescent="0.2">
      <c r="A1281" s="310" t="s">
        <v>2767</v>
      </c>
      <c r="B1281">
        <f>IF(ISBLANK(PedBerEnt!$B$4),"",PedBerEnt!$B$4)</f>
        <v>1</v>
      </c>
      <c r="C1281" s="310">
        <v>1</v>
      </c>
    </row>
    <row r="1282" spans="1:3" x14ac:dyDescent="0.2">
      <c r="A1282" s="310" t="s">
        <v>2768</v>
      </c>
      <c r="B1282">
        <f>IF(ISBLANK(PedBerEnt!$B$5),"",PedBerEnt!$B$5)</f>
        <v>1</v>
      </c>
      <c r="C1282" s="310">
        <v>1</v>
      </c>
    </row>
    <row r="1283" spans="1:3" x14ac:dyDescent="0.2">
      <c r="A1283" s="310" t="s">
        <v>2769</v>
      </c>
      <c r="B1283">
        <f>IF(ISBLANK(PedBerEnt!$B$6),"",PedBerEnt!$B$6)</f>
        <v>1</v>
      </c>
      <c r="C1283" s="310">
        <v>1</v>
      </c>
    </row>
    <row r="1284" spans="1:3" x14ac:dyDescent="0.2">
      <c r="A1284" s="310" t="s">
        <v>2770</v>
      </c>
      <c r="B1284">
        <f>IF(ISBLANK(PedBerEnt!$F$3),"",PedBerEnt!$F$3)</f>
        <v>1</v>
      </c>
      <c r="C1284" s="310">
        <v>1</v>
      </c>
    </row>
    <row r="1285" spans="1:3" x14ac:dyDescent="0.2">
      <c r="A1285" s="310" t="s">
        <v>2771</v>
      </c>
      <c r="B1285">
        <f>IF(ISBLANK(PedBerEnt!$F$4),"",PedBerEnt!$F$4)</f>
        <v>1</v>
      </c>
      <c r="C1285" s="310">
        <v>1</v>
      </c>
    </row>
    <row r="1286" spans="1:3" x14ac:dyDescent="0.2">
      <c r="A1286" s="310" t="s">
        <v>2772</v>
      </c>
      <c r="B1286">
        <f>IF(ISBLANK(PedBerEnt!$F$5),"",PedBerEnt!$F$5)</f>
        <v>1</v>
      </c>
      <c r="C1286" s="310">
        <v>1</v>
      </c>
    </row>
    <row r="1287" spans="1:3" x14ac:dyDescent="0.2">
      <c r="A1287" s="310" t="s">
        <v>2773</v>
      </c>
      <c r="B1287">
        <f>IF(ISBLANK(PedBerEnt!$F$6),"",PedBerEnt!$F$6)</f>
        <v>1</v>
      </c>
      <c r="C1287" s="310">
        <v>1</v>
      </c>
    </row>
    <row r="1288" spans="1:3" x14ac:dyDescent="0.2">
      <c r="A1288" s="310" t="s">
        <v>2774</v>
      </c>
      <c r="B1288" t="str">
        <f>IF(ISBLANK(PedBerEnt!$B$8),"",PedBerEnt!$B$8)</f>
        <v/>
      </c>
    </row>
    <row r="1289" spans="1:3" x14ac:dyDescent="0.2">
      <c r="A1289" s="310" t="s">
        <v>2775</v>
      </c>
      <c r="B1289">
        <f>IF(ISBLANK(PedBerEnt!$G$3),"",PedBerEnt!$G$3)</f>
        <v>1</v>
      </c>
      <c r="C1289">
        <v>1</v>
      </c>
    </row>
    <row r="1290" spans="1:3" x14ac:dyDescent="0.2">
      <c r="A1290" s="310" t="s">
        <v>2776</v>
      </c>
      <c r="B1290">
        <f>IF(ISBLANK(PedBerEnt!$C$3),"",PedBerEnt!$C$3)</f>
        <v>0</v>
      </c>
      <c r="C1290" s="312">
        <v>0</v>
      </c>
    </row>
    <row r="1291" spans="1:3" x14ac:dyDescent="0.2">
      <c r="A1291" s="310" t="s">
        <v>2777</v>
      </c>
      <c r="B1291">
        <f>IF(ISBLANK(PedBerEnt!$C$4),"",PedBerEnt!$C$4)</f>
        <v>0</v>
      </c>
      <c r="C1291" s="312">
        <v>0</v>
      </c>
    </row>
    <row r="1292" spans="1:3" x14ac:dyDescent="0.2">
      <c r="A1292" s="310" t="s">
        <v>2778</v>
      </c>
      <c r="B1292">
        <f>IF(ISBLANK(PedBerEnt!$C$5),"",PedBerEnt!$C$5)</f>
        <v>0</v>
      </c>
      <c r="C1292" s="312">
        <v>0</v>
      </c>
    </row>
    <row r="1293" spans="1:3" x14ac:dyDescent="0.2">
      <c r="A1293" s="310" t="s">
        <v>2779</v>
      </c>
      <c r="B1293">
        <f>IF(ISBLANK(PedBerEnt!$C$6),"",PedBerEnt!$C$6)</f>
        <v>0</v>
      </c>
      <c r="C1293" s="312">
        <v>0</v>
      </c>
    </row>
    <row r="1294" spans="1:3" x14ac:dyDescent="0.2">
      <c r="A1294" s="310" t="s">
        <v>1034</v>
      </c>
      <c r="B1294">
        <f>IF(ISBLANK(PedBerIVenPM!$B$2),"",PedBerIVenPM!$B$2)</f>
        <v>1</v>
      </c>
      <c r="C1294">
        <v>1</v>
      </c>
    </row>
    <row r="1295" spans="1:3" x14ac:dyDescent="0.2">
      <c r="A1295" s="310" t="s">
        <v>1035</v>
      </c>
      <c r="B1295">
        <f>IF(ISBLANK(PedBerIVenPM!$B$3),"",PedBerIVenPM!$B$3)</f>
        <v>1</v>
      </c>
      <c r="C1295">
        <v>1</v>
      </c>
    </row>
    <row r="1296" spans="1:3" x14ac:dyDescent="0.2">
      <c r="A1296" s="310" t="s">
        <v>1036</v>
      </c>
      <c r="B1296">
        <f>IF(ISBLANK(PedBerIVenPM!$B$4),"",PedBerIVenPM!$B$4)</f>
        <v>1</v>
      </c>
      <c r="C1296">
        <v>1</v>
      </c>
    </row>
    <row r="1297" spans="1:3" x14ac:dyDescent="0.2">
      <c r="A1297" s="310" t="s">
        <v>1037</v>
      </c>
      <c r="B1297">
        <f>IF(ISBLANK(PedBerIVenPM!$B$5),"",PedBerIVenPM!$B$5)</f>
        <v>1</v>
      </c>
      <c r="C1297">
        <v>1</v>
      </c>
    </row>
    <row r="1298" spans="1:3" x14ac:dyDescent="0.2">
      <c r="A1298" s="310" t="s">
        <v>1038</v>
      </c>
      <c r="B1298">
        <f>IF(ISBLANK(PedBerIVenPM!$B$6),"",PedBerIVenPM!$B$6)</f>
        <v>1</v>
      </c>
      <c r="C1298">
        <v>1</v>
      </c>
    </row>
    <row r="1299" spans="1:3" x14ac:dyDescent="0.2">
      <c r="A1299" s="310" t="s">
        <v>1039</v>
      </c>
      <c r="B1299">
        <f>IF(ISBLANK(PedBerIVenPM!$B$7),"",PedBerIVenPM!$B$7)</f>
        <v>1</v>
      </c>
      <c r="C1299">
        <v>1</v>
      </c>
    </row>
    <row r="1300" spans="1:3" x14ac:dyDescent="0.2">
      <c r="A1300" s="310" t="s">
        <v>2780</v>
      </c>
      <c r="B1300" t="str">
        <f>IF(ISBLANK(PedBerIVenPM!$B$9),"",PedBerIVenPM!$B$9)</f>
        <v/>
      </c>
      <c r="C1300" s="130"/>
    </row>
    <row r="1301" spans="1:3" x14ac:dyDescent="0.2">
      <c r="A1301" s="310" t="s">
        <v>2781</v>
      </c>
      <c r="B1301" t="b">
        <f>IF(ISBLANK(PedBerLab!$E$4),"",PedBerLab!$E$4)</f>
        <v>0</v>
      </c>
      <c r="C1301" t="b">
        <v>0</v>
      </c>
    </row>
    <row r="1302" spans="1:3" x14ac:dyDescent="0.2">
      <c r="A1302" s="310" t="s">
        <v>2782</v>
      </c>
      <c r="B1302" t="b">
        <f>IF(ISBLANK(PedBerLab!$E$5),"",PedBerLab!$E$5)</f>
        <v>0</v>
      </c>
      <c r="C1302" s="310" t="b">
        <v>0</v>
      </c>
    </row>
    <row r="1303" spans="1:3" x14ac:dyDescent="0.2">
      <c r="A1303" s="310" t="s">
        <v>2783</v>
      </c>
      <c r="B1303" t="b">
        <f>IF(ISBLANK(PedBerLab!$E$6),"",PedBerLab!$E$6)</f>
        <v>0</v>
      </c>
      <c r="C1303" s="310" t="b">
        <v>0</v>
      </c>
    </row>
    <row r="1304" spans="1:3" x14ac:dyDescent="0.2">
      <c r="A1304" s="310" t="s">
        <v>2784</v>
      </c>
      <c r="B1304" t="b">
        <f>IF(ISBLANK(PedBerLab!$E$7),"",PedBerLab!$E$7)</f>
        <v>0</v>
      </c>
      <c r="C1304" s="310" t="b">
        <v>0</v>
      </c>
    </row>
    <row r="1305" spans="1:3" x14ac:dyDescent="0.2">
      <c r="A1305" s="310" t="s">
        <v>2785</v>
      </c>
      <c r="B1305" t="b">
        <f>IF(ISBLANK(PedBerLab!$E$8),"",PedBerLab!$E$8)</f>
        <v>0</v>
      </c>
      <c r="C1305" s="310" t="b">
        <v>0</v>
      </c>
    </row>
    <row r="1306" spans="1:3" x14ac:dyDescent="0.2">
      <c r="A1306" s="310" t="s">
        <v>2786</v>
      </c>
      <c r="B1306" t="b">
        <f>IF(ISBLANK(PedBerLab!$E$9),"",PedBerLab!$E$9)</f>
        <v>0</v>
      </c>
      <c r="C1306" s="310" t="b">
        <v>0</v>
      </c>
    </row>
    <row r="1307" spans="1:3" x14ac:dyDescent="0.2">
      <c r="A1307" s="310" t="s">
        <v>2787</v>
      </c>
      <c r="B1307" t="b">
        <f>IF(ISBLANK(PedBerLab!$E$10),"",PedBerLab!$E$10)</f>
        <v>0</v>
      </c>
      <c r="C1307" s="310" t="b">
        <v>0</v>
      </c>
    </row>
    <row r="1308" spans="1:3" x14ac:dyDescent="0.2">
      <c r="A1308" s="310" t="s">
        <v>2788</v>
      </c>
      <c r="B1308" t="b">
        <f>IF(ISBLANK(PedBerLab!$E$11),"",PedBerLab!$E$11)</f>
        <v>0</v>
      </c>
      <c r="C1308" s="310" t="b">
        <v>0</v>
      </c>
    </row>
    <row r="1309" spans="1:3" x14ac:dyDescent="0.2">
      <c r="A1309" s="310" t="s">
        <v>2789</v>
      </c>
      <c r="B1309" t="b">
        <f>IF(ISBLANK(PedBerLab!$E$12),"",PedBerLab!$E$12)</f>
        <v>0</v>
      </c>
      <c r="C1309" s="310" t="b">
        <v>0</v>
      </c>
    </row>
    <row r="1310" spans="1:3" x14ac:dyDescent="0.2">
      <c r="A1310" s="310" t="s">
        <v>2790</v>
      </c>
      <c r="B1310" t="b">
        <f>IF(ISBLANK(PedBerLab!$E$13),"",PedBerLab!$E$13)</f>
        <v>0</v>
      </c>
      <c r="C1310" s="310" t="b">
        <v>0</v>
      </c>
    </row>
    <row r="1311" spans="1:3" x14ac:dyDescent="0.2">
      <c r="A1311" s="310" t="s">
        <v>2791</v>
      </c>
      <c r="B1311" t="b">
        <f>IF(ISBLANK(PedBerLab!$E$14),"",PedBerLab!$E$14)</f>
        <v>0</v>
      </c>
      <c r="C1311" s="310" t="b">
        <v>0</v>
      </c>
    </row>
    <row r="1312" spans="1:3" x14ac:dyDescent="0.2">
      <c r="A1312" s="310" t="s">
        <v>2792</v>
      </c>
      <c r="B1312" t="b">
        <f>IF(ISBLANK(PedBerLab!$E$15),"",PedBerLab!$E$15)</f>
        <v>0</v>
      </c>
      <c r="C1312" s="310" t="b">
        <v>0</v>
      </c>
    </row>
    <row r="1313" spans="1:3" x14ac:dyDescent="0.2">
      <c r="A1313" s="310" t="s">
        <v>2793</v>
      </c>
      <c r="B1313" t="b">
        <f>IF(ISBLANK(PedBerLab!$E$16),"",PedBerLab!$E$16)</f>
        <v>0</v>
      </c>
      <c r="C1313" s="310" t="b">
        <v>0</v>
      </c>
    </row>
    <row r="1314" spans="1:3" x14ac:dyDescent="0.2">
      <c r="A1314" s="310" t="s">
        <v>2794</v>
      </c>
      <c r="B1314" t="b">
        <f>IF(ISBLANK(PedBerLab!$E$17),"",PedBerLab!$E$17)</f>
        <v>0</v>
      </c>
      <c r="C1314" s="310" t="b">
        <v>0</v>
      </c>
    </row>
    <row r="1315" spans="1:3" x14ac:dyDescent="0.2">
      <c r="A1315" s="310" t="s">
        <v>2795</v>
      </c>
      <c r="B1315" t="b">
        <f>IF(ISBLANK(PedBerLab!$E$18),"",PedBerLab!$E$18)</f>
        <v>0</v>
      </c>
      <c r="C1315" s="310" t="b">
        <v>0</v>
      </c>
    </row>
    <row r="1316" spans="1:3" x14ac:dyDescent="0.2">
      <c r="A1316" s="310" t="s">
        <v>2796</v>
      </c>
      <c r="B1316" t="b">
        <f>IF(ISBLANK(PedBerLab!$E$19),"",PedBerLab!$E$19)</f>
        <v>0</v>
      </c>
      <c r="C1316" s="310" t="b">
        <v>0</v>
      </c>
    </row>
    <row r="1317" spans="1:3" x14ac:dyDescent="0.2">
      <c r="A1317" s="310" t="s">
        <v>2797</v>
      </c>
      <c r="B1317" t="b">
        <f>IF(ISBLANK(PedBerLab!$E$20),"",PedBerLab!$E$20)</f>
        <v>0</v>
      </c>
      <c r="C1317" s="310" t="b">
        <v>0</v>
      </c>
    </row>
    <row r="1318" spans="1:3" x14ac:dyDescent="0.2">
      <c r="A1318" s="310" t="s">
        <v>2798</v>
      </c>
      <c r="B1318" t="b">
        <f>IF(ISBLANK(PedBerLab!$E$21),"",PedBerLab!$E$21)</f>
        <v>0</v>
      </c>
      <c r="C1318" s="310" t="b">
        <v>0</v>
      </c>
    </row>
    <row r="1319" spans="1:3" x14ac:dyDescent="0.2">
      <c r="A1319" s="310" t="s">
        <v>2799</v>
      </c>
      <c r="B1319" t="b">
        <f>IF(ISBLANK(PedBerLab!$E$22),"",PedBerLab!$E$22)</f>
        <v>0</v>
      </c>
      <c r="C1319" s="310" t="b">
        <v>0</v>
      </c>
    </row>
    <row r="1320" spans="1:3" x14ac:dyDescent="0.2">
      <c r="A1320" s="310" t="s">
        <v>2800</v>
      </c>
      <c r="B1320" t="b">
        <f>IF(ISBLANK(PedBerLab!$E$23),"",PedBerLab!$E$23)</f>
        <v>0</v>
      </c>
      <c r="C1320" s="310" t="b">
        <v>0</v>
      </c>
    </row>
    <row r="1321" spans="1:3" x14ac:dyDescent="0.2">
      <c r="A1321" s="310" t="s">
        <v>2801</v>
      </c>
      <c r="B1321" t="b">
        <f>IF(ISBLANK(PedBerLab!$E$24),"",PedBerLab!$E$24)</f>
        <v>0</v>
      </c>
      <c r="C1321" s="310" t="b">
        <v>0</v>
      </c>
    </row>
    <row r="1322" spans="1:3" x14ac:dyDescent="0.2">
      <c r="A1322" s="310" t="s">
        <v>2802</v>
      </c>
      <c r="B1322" t="b">
        <f>IF(ISBLANK(PedBerLab!$E$25),"",PedBerLab!$E$25)</f>
        <v>0</v>
      </c>
      <c r="C1322" s="310" t="b">
        <v>0</v>
      </c>
    </row>
    <row r="1323" spans="1:3" x14ac:dyDescent="0.2">
      <c r="A1323" s="310" t="s">
        <v>2803</v>
      </c>
      <c r="B1323" t="b">
        <f>IF(ISBLANK(PedBerLab!$E$26),"",PedBerLab!$E$26)</f>
        <v>0</v>
      </c>
      <c r="C1323" s="310" t="b">
        <v>0</v>
      </c>
    </row>
    <row r="1324" spans="1:3" x14ac:dyDescent="0.2">
      <c r="A1324" s="310" t="s">
        <v>2804</v>
      </c>
      <c r="B1324" t="b">
        <f>IF(ISBLANK(PedBerLab!$E$27),"",PedBerLab!$E$27)</f>
        <v>0</v>
      </c>
      <c r="C1324" s="310" t="b">
        <v>0</v>
      </c>
    </row>
    <row r="1325" spans="1:3" x14ac:dyDescent="0.2">
      <c r="A1325" s="310" t="s">
        <v>2805</v>
      </c>
      <c r="B1325" t="b">
        <f>IF(ISBLANK(PedBerLab!$E$28),"",PedBerLab!$E$28)</f>
        <v>0</v>
      </c>
      <c r="C1325" s="310" t="b">
        <v>0</v>
      </c>
    </row>
    <row r="1326" spans="1:3" x14ac:dyDescent="0.2">
      <c r="A1326" s="310" t="s">
        <v>2806</v>
      </c>
      <c r="B1326" t="b">
        <f>IF(ISBLANK(PedBerLab!$E$29),"",PedBerLab!$E$29)</f>
        <v>0</v>
      </c>
      <c r="C1326" s="310" t="b">
        <v>0</v>
      </c>
    </row>
    <row r="1327" spans="1:3" x14ac:dyDescent="0.2">
      <c r="A1327" s="310" t="s">
        <v>2807</v>
      </c>
      <c r="B1327" t="b">
        <f>IF(ISBLANK(PedBerLab!$E$30),"",PedBerLab!$E$30)</f>
        <v>0</v>
      </c>
      <c r="C1327" s="310" t="b">
        <v>0</v>
      </c>
    </row>
    <row r="1328" spans="1:3" x14ac:dyDescent="0.2">
      <c r="A1328" s="310" t="s">
        <v>2808</v>
      </c>
      <c r="B1328" t="b">
        <f>IF(ISBLANK(PedBerLab!$E$31),"",PedBerLab!$E$31)</f>
        <v>0</v>
      </c>
      <c r="C1328" s="310" t="b">
        <v>0</v>
      </c>
    </row>
    <row r="1329" spans="1:3" x14ac:dyDescent="0.2">
      <c r="A1329" s="310" t="s">
        <v>2809</v>
      </c>
      <c r="B1329" t="b">
        <f>IF(ISBLANK(PedBerLab!$E$32),"",PedBerLab!$E$32)</f>
        <v>0</v>
      </c>
      <c r="C1329" s="310" t="b">
        <v>0</v>
      </c>
    </row>
    <row r="1330" spans="1:3" x14ac:dyDescent="0.2">
      <c r="A1330" s="310" t="s">
        <v>2810</v>
      </c>
      <c r="B1330" t="b">
        <f>IF(ISBLANK(PedBerLab!$E$33),"",PedBerLab!$E$33)</f>
        <v>0</v>
      </c>
      <c r="C1330" s="310" t="b">
        <v>0</v>
      </c>
    </row>
    <row r="1331" spans="1:3" x14ac:dyDescent="0.2">
      <c r="A1331" s="310" t="s">
        <v>2811</v>
      </c>
      <c r="B1331" t="b">
        <f>IF(ISBLANK(PedBerLab!$E$34),"",PedBerLab!$E$34)</f>
        <v>0</v>
      </c>
      <c r="C1331" s="310" t="b">
        <v>0</v>
      </c>
    </row>
    <row r="1332" spans="1:3" x14ac:dyDescent="0.2">
      <c r="A1332" s="310" t="s">
        <v>2812</v>
      </c>
      <c r="B1332" t="b">
        <f>IF(ISBLANK(PedBerLab!$G$4),"",PedBerLab!$G$4)</f>
        <v>0</v>
      </c>
      <c r="C1332" s="310" t="b">
        <v>0</v>
      </c>
    </row>
    <row r="1333" spans="1:3" x14ac:dyDescent="0.2">
      <c r="A1333" s="310" t="s">
        <v>2813</v>
      </c>
      <c r="B1333" t="b">
        <f>IF(ISBLANK(PedBerLab!$G$5),"",PedBerLab!$G$5)</f>
        <v>0</v>
      </c>
      <c r="C1333" s="310" t="b">
        <v>0</v>
      </c>
    </row>
    <row r="1334" spans="1:3" x14ac:dyDescent="0.2">
      <c r="A1334" s="310" t="s">
        <v>2814</v>
      </c>
      <c r="B1334" t="b">
        <f>IF(ISBLANK(PedBerLab!$G$6),"",PedBerLab!$G$6)</f>
        <v>0</v>
      </c>
      <c r="C1334" s="310" t="b">
        <v>0</v>
      </c>
    </row>
    <row r="1335" spans="1:3" x14ac:dyDescent="0.2">
      <c r="A1335" s="310" t="s">
        <v>2815</v>
      </c>
      <c r="B1335" t="b">
        <f>IF(ISBLANK(PedBerLab!$G$7),"",PedBerLab!$G$7)</f>
        <v>0</v>
      </c>
      <c r="C1335" s="310" t="b">
        <v>0</v>
      </c>
    </row>
    <row r="1336" spans="1:3" x14ac:dyDescent="0.2">
      <c r="A1336" s="310" t="s">
        <v>2816</v>
      </c>
      <c r="B1336" t="b">
        <f>IF(ISBLANK(PedBerLab!$G$8),"",PedBerLab!$G$8)</f>
        <v>0</v>
      </c>
      <c r="C1336" s="310" t="b">
        <v>0</v>
      </c>
    </row>
    <row r="1337" spans="1:3" x14ac:dyDescent="0.2">
      <c r="A1337" s="310" t="s">
        <v>2817</v>
      </c>
      <c r="B1337" t="b">
        <f>IF(ISBLANK(PedBerLab!$G$9),"",PedBerLab!$G$9)</f>
        <v>0</v>
      </c>
      <c r="C1337" s="310" t="b">
        <v>0</v>
      </c>
    </row>
    <row r="1338" spans="1:3" x14ac:dyDescent="0.2">
      <c r="A1338" s="310" t="s">
        <v>2818</v>
      </c>
      <c r="B1338" t="b">
        <f>IF(ISBLANK(PedBerLab!$G$10),"",PedBerLab!$G$10)</f>
        <v>0</v>
      </c>
      <c r="C1338" s="310" t="b">
        <v>0</v>
      </c>
    </row>
    <row r="1339" spans="1:3" x14ac:dyDescent="0.2">
      <c r="A1339" s="310" t="s">
        <v>2819</v>
      </c>
      <c r="B1339" t="b">
        <f>IF(ISBLANK(PedBerLab!$G$11),"",PedBerLab!$G$11)</f>
        <v>0</v>
      </c>
      <c r="C1339" s="310" t="b">
        <v>0</v>
      </c>
    </row>
    <row r="1340" spans="1:3" x14ac:dyDescent="0.2">
      <c r="A1340" s="310" t="s">
        <v>2820</v>
      </c>
      <c r="B1340" t="b">
        <f>IF(ISBLANK(PedBerLab!$G$12),"",PedBerLab!$G$12)</f>
        <v>0</v>
      </c>
      <c r="C1340" s="310" t="b">
        <v>0</v>
      </c>
    </row>
    <row r="1341" spans="1:3" x14ac:dyDescent="0.2">
      <c r="A1341" s="310" t="s">
        <v>2821</v>
      </c>
      <c r="B1341" t="b">
        <f>IF(ISBLANK(PedBerLab!$G$13),"",PedBerLab!$G$13)</f>
        <v>0</v>
      </c>
      <c r="C1341" s="310" t="b">
        <v>0</v>
      </c>
    </row>
    <row r="1342" spans="1:3" x14ac:dyDescent="0.2">
      <c r="A1342" s="310" t="s">
        <v>2822</v>
      </c>
      <c r="B1342" t="b">
        <f>IF(ISBLANK(PedBerLab!$G$14),"",PedBerLab!$G$14)</f>
        <v>0</v>
      </c>
      <c r="C1342" s="310" t="b">
        <v>0</v>
      </c>
    </row>
    <row r="1343" spans="1:3" x14ac:dyDescent="0.2">
      <c r="A1343" s="310" t="s">
        <v>2823</v>
      </c>
      <c r="B1343" t="b">
        <f>IF(ISBLANK(PedBerLab!$G$15),"",PedBerLab!$G$15)</f>
        <v>0</v>
      </c>
      <c r="C1343" s="310" t="b">
        <v>0</v>
      </c>
    </row>
    <row r="1344" spans="1:3" x14ac:dyDescent="0.2">
      <c r="A1344" s="310" t="s">
        <v>2824</v>
      </c>
      <c r="B1344" t="b">
        <f>IF(ISBLANK(PedBerLab!$G$16),"",PedBerLab!$G$16)</f>
        <v>0</v>
      </c>
      <c r="C1344" s="310" t="b">
        <v>0</v>
      </c>
    </row>
    <row r="1345" spans="1:3" x14ac:dyDescent="0.2">
      <c r="A1345" s="310" t="s">
        <v>2825</v>
      </c>
      <c r="B1345" t="b">
        <f>IF(ISBLANK(PedBerLab!$G$17),"",PedBerLab!$G$17)</f>
        <v>0</v>
      </c>
      <c r="C1345" s="310" t="b">
        <v>0</v>
      </c>
    </row>
    <row r="1346" spans="1:3" x14ac:dyDescent="0.2">
      <c r="A1346" s="310" t="s">
        <v>2826</v>
      </c>
      <c r="B1346" t="b">
        <f>IF(ISBLANK(PedBerLab!$G$18),"",PedBerLab!$G$18)</f>
        <v>0</v>
      </c>
      <c r="C1346" s="310" t="b">
        <v>0</v>
      </c>
    </row>
    <row r="1347" spans="1:3" x14ac:dyDescent="0.2">
      <c r="A1347" s="310" t="s">
        <v>2827</v>
      </c>
      <c r="B1347" t="b">
        <f>IF(ISBLANK(PedBerLab!$G$19),"",PedBerLab!$G$19)</f>
        <v>0</v>
      </c>
      <c r="C1347" s="310" t="b">
        <v>0</v>
      </c>
    </row>
    <row r="1348" spans="1:3" x14ac:dyDescent="0.2">
      <c r="A1348" s="310" t="s">
        <v>2828</v>
      </c>
      <c r="B1348" t="b">
        <f>IF(ISBLANK(PedBerLab!$G$20),"",PedBerLab!$G$20)</f>
        <v>0</v>
      </c>
      <c r="C1348" s="310" t="b">
        <v>0</v>
      </c>
    </row>
    <row r="1349" spans="1:3" x14ac:dyDescent="0.2">
      <c r="A1349" s="310" t="s">
        <v>2829</v>
      </c>
      <c r="B1349" t="b">
        <f>IF(ISBLANK(PedBerLab!$G$21),"",PedBerLab!$G$21)</f>
        <v>0</v>
      </c>
      <c r="C1349" s="310" t="b">
        <v>0</v>
      </c>
    </row>
    <row r="1350" spans="1:3" x14ac:dyDescent="0.2">
      <c r="A1350" s="310" t="s">
        <v>2830</v>
      </c>
      <c r="B1350" t="b">
        <f>IF(ISBLANK(PedBerLab!$G$22),"",PedBerLab!$G$22)</f>
        <v>0</v>
      </c>
      <c r="C1350" s="310" t="b">
        <v>0</v>
      </c>
    </row>
    <row r="1351" spans="1:3" x14ac:dyDescent="0.2">
      <c r="A1351" s="310" t="s">
        <v>2831</v>
      </c>
      <c r="B1351" t="b">
        <f>IF(ISBLANK(PedBerLab!$G$23),"",PedBerLab!$G$23)</f>
        <v>0</v>
      </c>
      <c r="C1351" s="310" t="b">
        <v>0</v>
      </c>
    </row>
    <row r="1352" spans="1:3" x14ac:dyDescent="0.2">
      <c r="A1352" s="310" t="s">
        <v>2832</v>
      </c>
      <c r="B1352" t="b">
        <f>IF(ISBLANK(PedBerLab!$G$24),"",PedBerLab!$G$24)</f>
        <v>0</v>
      </c>
      <c r="C1352" s="310" t="b">
        <v>0</v>
      </c>
    </row>
    <row r="1353" spans="1:3" x14ac:dyDescent="0.2">
      <c r="A1353" s="310" t="s">
        <v>2833</v>
      </c>
      <c r="B1353" t="b">
        <f>IF(ISBLANK(PedBerLab!$G$25),"",PedBerLab!$G$25)</f>
        <v>0</v>
      </c>
      <c r="C1353" s="310" t="b">
        <v>0</v>
      </c>
    </row>
    <row r="1354" spans="1:3" x14ac:dyDescent="0.2">
      <c r="A1354" s="310" t="s">
        <v>2834</v>
      </c>
      <c r="B1354" t="b">
        <f>IF(ISBLANK(PedBerLab!$G$26),"",PedBerLab!$G$26)</f>
        <v>0</v>
      </c>
      <c r="C1354" s="310" t="b">
        <v>0</v>
      </c>
    </row>
    <row r="1355" spans="1:3" x14ac:dyDescent="0.2">
      <c r="A1355" s="310" t="s">
        <v>2835</v>
      </c>
      <c r="B1355" t="b">
        <f>IF(ISBLANK(PedBerLab!$G$27),"",PedBerLab!$G$27)</f>
        <v>0</v>
      </c>
      <c r="C1355" s="310" t="b">
        <v>0</v>
      </c>
    </row>
    <row r="1356" spans="1:3" x14ac:dyDescent="0.2">
      <c r="A1356" s="310" t="s">
        <v>2836</v>
      </c>
      <c r="B1356" t="b">
        <f>IF(ISBLANK(PedBerLab!$G$28),"",PedBerLab!$G$28)</f>
        <v>0</v>
      </c>
      <c r="C1356" s="310" t="b">
        <v>0</v>
      </c>
    </row>
    <row r="1357" spans="1:3" x14ac:dyDescent="0.2">
      <c r="A1357" s="310" t="s">
        <v>2837</v>
      </c>
      <c r="B1357" t="b">
        <f>IF(ISBLANK(PedBerLab!$G$29),"",PedBerLab!$G$29)</f>
        <v>0</v>
      </c>
      <c r="C1357" s="310" t="b">
        <v>0</v>
      </c>
    </row>
    <row r="1358" spans="1:3" x14ac:dyDescent="0.2">
      <c r="A1358" s="310" t="s">
        <v>2838</v>
      </c>
      <c r="B1358" t="b">
        <f>IF(ISBLANK(PedBerLab!$G$30),"",PedBerLab!$G$30)</f>
        <v>0</v>
      </c>
      <c r="C1358" s="310" t="b">
        <v>0</v>
      </c>
    </row>
    <row r="1359" spans="1:3" x14ac:dyDescent="0.2">
      <c r="A1359" s="310" t="s">
        <v>2839</v>
      </c>
      <c r="B1359" t="b">
        <f>IF(ISBLANK(PedBerLab!$G$31),"",PedBerLab!$G$31)</f>
        <v>0</v>
      </c>
      <c r="C1359" s="310" t="b">
        <v>0</v>
      </c>
    </row>
    <row r="1360" spans="1:3" x14ac:dyDescent="0.2">
      <c r="A1360" s="310" t="s">
        <v>2840</v>
      </c>
      <c r="B1360" t="b">
        <f>IF(ISBLANK(PedBerLab!$G$32),"",PedBerLab!$G$32)</f>
        <v>0</v>
      </c>
      <c r="C1360" s="310" t="b">
        <v>0</v>
      </c>
    </row>
    <row r="1361" spans="1:3" x14ac:dyDescent="0.2">
      <c r="A1361" s="310" t="s">
        <v>2841</v>
      </c>
      <c r="B1361" t="b">
        <f>IF(ISBLANK(PedBerLab!$G$33),"",PedBerLab!$G$33)</f>
        <v>0</v>
      </c>
      <c r="C1361" s="310" t="b">
        <v>0</v>
      </c>
    </row>
    <row r="1362" spans="1:3" x14ac:dyDescent="0.2">
      <c r="A1362" s="310" t="s">
        <v>2842</v>
      </c>
      <c r="B1362" t="b">
        <f>IF(ISBLANK(PedBerLab!$G$34),"",PedBerLab!$G$34)</f>
        <v>0</v>
      </c>
      <c r="C1362" s="310" t="b">
        <v>0</v>
      </c>
    </row>
    <row r="1363" spans="1:3" x14ac:dyDescent="0.2">
      <c r="A1363" s="310" t="s">
        <v>2843</v>
      </c>
      <c r="B1363" t="b">
        <f>IF(ISBLANK(PedBerLab!$G$35),"",PedBerLab!$G$35)</f>
        <v>0</v>
      </c>
      <c r="C1363" s="310" t="b">
        <v>0</v>
      </c>
    </row>
    <row r="1364" spans="1:3" x14ac:dyDescent="0.2">
      <c r="A1364" s="310" t="s">
        <v>2844</v>
      </c>
      <c r="B1364" t="b">
        <f>IF(ISBLANK(PedBerLab!$I$4),"",PedBerLab!$I$4)</f>
        <v>0</v>
      </c>
      <c r="C1364" s="310" t="b">
        <v>0</v>
      </c>
    </row>
    <row r="1365" spans="1:3" x14ac:dyDescent="0.2">
      <c r="A1365" s="310" t="s">
        <v>2845</v>
      </c>
      <c r="B1365" t="b">
        <f>IF(ISBLANK(PedBerLab!$I$5),"",PedBerLab!$I$5)</f>
        <v>0</v>
      </c>
      <c r="C1365" s="310" t="b">
        <v>0</v>
      </c>
    </row>
    <row r="1366" spans="1:3" x14ac:dyDescent="0.2">
      <c r="A1366" s="310" t="s">
        <v>2846</v>
      </c>
      <c r="B1366" t="b">
        <f>IF(ISBLANK(PedBerLab!$I$6),"",PedBerLab!$I$6)</f>
        <v>0</v>
      </c>
      <c r="C1366" s="310" t="b">
        <v>0</v>
      </c>
    </row>
    <row r="1367" spans="1:3" x14ac:dyDescent="0.2">
      <c r="A1367" s="310" t="s">
        <v>2847</v>
      </c>
      <c r="B1367" t="b">
        <f>IF(ISBLANK(PedBerLab!$I$7),"",PedBerLab!$I$7)</f>
        <v>0</v>
      </c>
      <c r="C1367" s="310" t="b">
        <v>0</v>
      </c>
    </row>
    <row r="1368" spans="1:3" x14ac:dyDescent="0.2">
      <c r="A1368" s="310" t="s">
        <v>2848</v>
      </c>
      <c r="B1368" t="b">
        <f>IF(ISBLANK(PedBerLab!$I$8),"",PedBerLab!$I$8)</f>
        <v>0</v>
      </c>
      <c r="C1368" s="310" t="b">
        <v>0</v>
      </c>
    </row>
    <row r="1369" spans="1:3" x14ac:dyDescent="0.2">
      <c r="A1369" s="310" t="s">
        <v>2849</v>
      </c>
      <c r="B1369" t="b">
        <f>IF(ISBLANK(PedBerLab!$I$9),"",PedBerLab!$I$9)</f>
        <v>0</v>
      </c>
      <c r="C1369" s="310" t="b">
        <v>0</v>
      </c>
    </row>
    <row r="1370" spans="1:3" x14ac:dyDescent="0.2">
      <c r="A1370" s="310" t="s">
        <v>2850</v>
      </c>
      <c r="B1370" t="b">
        <f>IF(ISBLANK(PedBerLab!$I$10),"",PedBerLab!$I$10)</f>
        <v>0</v>
      </c>
      <c r="C1370" s="310" t="b">
        <v>0</v>
      </c>
    </row>
    <row r="1371" spans="1:3" x14ac:dyDescent="0.2">
      <c r="A1371" s="310" t="s">
        <v>2851</v>
      </c>
      <c r="B1371" t="b">
        <f>IF(ISBLANK(PedBerLab!$I$11),"",PedBerLab!$I$11)</f>
        <v>0</v>
      </c>
      <c r="C1371" s="310" t="b">
        <v>0</v>
      </c>
    </row>
    <row r="1372" spans="1:3" x14ac:dyDescent="0.2">
      <c r="A1372" s="310" t="s">
        <v>2852</v>
      </c>
      <c r="B1372" t="b">
        <f>IF(ISBLANK(PedBerLab!$I$12),"",PedBerLab!$I$12)</f>
        <v>0</v>
      </c>
      <c r="C1372" s="310" t="b">
        <v>0</v>
      </c>
    </row>
    <row r="1373" spans="1:3" x14ac:dyDescent="0.2">
      <c r="A1373" s="310" t="s">
        <v>2853</v>
      </c>
      <c r="B1373" t="b">
        <f>IF(ISBLANK(PedBerLab!$I$13),"",PedBerLab!$I$13)</f>
        <v>0</v>
      </c>
      <c r="C1373" s="310" t="b">
        <v>0</v>
      </c>
    </row>
    <row r="1374" spans="1:3" x14ac:dyDescent="0.2">
      <c r="A1374" s="310" t="s">
        <v>2854</v>
      </c>
      <c r="B1374" t="b">
        <f>IF(ISBLANK(PedBerLab!$I$14),"",PedBerLab!$I$14)</f>
        <v>0</v>
      </c>
      <c r="C1374" s="310" t="b">
        <v>0</v>
      </c>
    </row>
    <row r="1375" spans="1:3" x14ac:dyDescent="0.2">
      <c r="A1375" s="310" t="s">
        <v>2855</v>
      </c>
      <c r="B1375" t="b">
        <f>IF(ISBLANK(PedBerLab!$I$15),"",PedBerLab!$I$15)</f>
        <v>0</v>
      </c>
      <c r="C1375" s="310" t="b">
        <v>0</v>
      </c>
    </row>
    <row r="1376" spans="1:3" x14ac:dyDescent="0.2">
      <c r="A1376" s="310" t="s">
        <v>2856</v>
      </c>
      <c r="B1376" t="b">
        <f>IF(ISBLANK(PedBerLab!$I$16),"",PedBerLab!$I$16)</f>
        <v>0</v>
      </c>
      <c r="C1376" s="310" t="b">
        <v>0</v>
      </c>
    </row>
    <row r="1377" spans="1:3" x14ac:dyDescent="0.2">
      <c r="A1377" s="310" t="s">
        <v>2857</v>
      </c>
      <c r="B1377" t="b">
        <f>IF(ISBLANK(PedBerLab!$I$17),"",PedBerLab!$I$17)</f>
        <v>0</v>
      </c>
      <c r="C1377" s="310" t="b">
        <v>0</v>
      </c>
    </row>
    <row r="1378" spans="1:3" x14ac:dyDescent="0.2">
      <c r="A1378" s="310" t="s">
        <v>2858</v>
      </c>
      <c r="B1378" t="b">
        <f>IF(ISBLANK(PedBerLab!$I$18),"",PedBerLab!$I$18)</f>
        <v>0</v>
      </c>
      <c r="C1378" s="310" t="b">
        <v>0</v>
      </c>
    </row>
    <row r="1379" spans="1:3" x14ac:dyDescent="0.2">
      <c r="A1379" s="310" t="s">
        <v>2859</v>
      </c>
      <c r="B1379" t="b">
        <f>IF(ISBLANK(PedBerLab!$I$19),"",PedBerLab!$I$19)</f>
        <v>0</v>
      </c>
      <c r="C1379" s="310" t="b">
        <v>0</v>
      </c>
    </row>
    <row r="1380" spans="1:3" x14ac:dyDescent="0.2">
      <c r="A1380" s="310" t="s">
        <v>2860</v>
      </c>
      <c r="B1380" t="b">
        <f>IF(ISBLANK(PedBerLab!$I$20),"",PedBerLab!$I$20)</f>
        <v>0</v>
      </c>
      <c r="C1380" s="310" t="b">
        <v>0</v>
      </c>
    </row>
    <row r="1381" spans="1:3" x14ac:dyDescent="0.2">
      <c r="A1381" s="310" t="s">
        <v>2861</v>
      </c>
      <c r="B1381" t="b">
        <f>IF(ISBLANK(PedBerLab!$I$21),"",PedBerLab!$I$21)</f>
        <v>0</v>
      </c>
      <c r="C1381" s="310" t="b">
        <v>0</v>
      </c>
    </row>
    <row r="1382" spans="1:3" x14ac:dyDescent="0.2">
      <c r="A1382" s="310" t="s">
        <v>2862</v>
      </c>
      <c r="B1382" t="b">
        <f>IF(ISBLANK(PedBerLab!$I$22),"",PedBerLab!$I$22)</f>
        <v>0</v>
      </c>
      <c r="C1382" s="310" t="b">
        <v>0</v>
      </c>
    </row>
    <row r="1383" spans="1:3" x14ac:dyDescent="0.2">
      <c r="A1383" s="310" t="s">
        <v>2863</v>
      </c>
      <c r="B1383" t="b">
        <f>IF(ISBLANK(PedBerLab!$I$23),"",PedBerLab!$I$23)</f>
        <v>0</v>
      </c>
      <c r="C1383" s="310" t="b">
        <v>0</v>
      </c>
    </row>
    <row r="1384" spans="1:3" x14ac:dyDescent="0.2">
      <c r="A1384" s="310" t="s">
        <v>2864</v>
      </c>
      <c r="B1384" t="b">
        <f>IF(ISBLANK(PedBerLab!$I$24),"",PedBerLab!$I$24)</f>
        <v>0</v>
      </c>
      <c r="C1384" s="310" t="b">
        <v>0</v>
      </c>
    </row>
    <row r="1385" spans="1:3" x14ac:dyDescent="0.2">
      <c r="A1385" s="310" t="s">
        <v>2865</v>
      </c>
      <c r="B1385" t="b">
        <f>IF(ISBLANK(PedBerLab!$I$25),"",PedBerLab!$I$25)</f>
        <v>0</v>
      </c>
      <c r="C1385" s="310" t="b">
        <v>0</v>
      </c>
    </row>
    <row r="1386" spans="1:3" x14ac:dyDescent="0.2">
      <c r="A1386" s="310" t="s">
        <v>2866</v>
      </c>
      <c r="B1386" t="b">
        <f>IF(ISBLANK(PedBerLab!$I$26),"",PedBerLab!$I$26)</f>
        <v>0</v>
      </c>
      <c r="C1386" s="310" t="b">
        <v>0</v>
      </c>
    </row>
    <row r="1387" spans="1:3" x14ac:dyDescent="0.2">
      <c r="A1387" s="310" t="s">
        <v>2867</v>
      </c>
      <c r="B1387" t="b">
        <f>IF(ISBLANK(PedBerLab!$I$27),"",PedBerLab!$I$27)</f>
        <v>0</v>
      </c>
      <c r="C1387" s="310" t="b">
        <v>0</v>
      </c>
    </row>
    <row r="1388" spans="1:3" x14ac:dyDescent="0.2">
      <c r="A1388" s="310" t="s">
        <v>2868</v>
      </c>
      <c r="B1388" t="b">
        <f>IF(ISBLANK(PedBerLab!$I$28),"",PedBerLab!$I$28)</f>
        <v>0</v>
      </c>
      <c r="C1388" s="310" t="b">
        <v>0</v>
      </c>
    </row>
    <row r="1389" spans="1:3" x14ac:dyDescent="0.2">
      <c r="A1389" s="310" t="s">
        <v>2869</v>
      </c>
      <c r="B1389" t="b">
        <f>IF(ISBLANK(PedBerLab!$I$29),"",PedBerLab!$I$29)</f>
        <v>0</v>
      </c>
      <c r="C1389" s="310" t="b">
        <v>0</v>
      </c>
    </row>
    <row r="1390" spans="1:3" x14ac:dyDescent="0.2">
      <c r="A1390" s="310" t="s">
        <v>2870</v>
      </c>
      <c r="B1390" t="b">
        <f>IF(ISBLANK(PedBerLab!$I$30),"",PedBerLab!$I$30)</f>
        <v>0</v>
      </c>
      <c r="C1390" s="310" t="b">
        <v>0</v>
      </c>
    </row>
    <row r="1391" spans="1:3" x14ac:dyDescent="0.2">
      <c r="A1391" s="310" t="s">
        <v>2871</v>
      </c>
      <c r="B1391" t="b">
        <f>IF(ISBLANK(PedBerLab!$I$31),"",PedBerLab!$I$31)</f>
        <v>0</v>
      </c>
      <c r="C1391" s="310" t="b">
        <v>0</v>
      </c>
    </row>
    <row r="1392" spans="1:3" x14ac:dyDescent="0.2">
      <c r="A1392" s="310" t="s">
        <v>2872</v>
      </c>
      <c r="B1392" t="b">
        <f>IF(ISBLANK(PedBerLab!$I$32),"",PedBerLab!$I$32)</f>
        <v>0</v>
      </c>
      <c r="C1392" s="310" t="b">
        <v>0</v>
      </c>
    </row>
    <row r="1393" spans="1:3" x14ac:dyDescent="0.2">
      <c r="A1393" s="310" t="s">
        <v>2873</v>
      </c>
      <c r="B1393" t="b">
        <f>IF(ISBLANK(PedBerLab!$I$33),"",PedBerLab!$I$33)</f>
        <v>0</v>
      </c>
      <c r="C1393" s="310" t="b">
        <v>0</v>
      </c>
    </row>
    <row r="1394" spans="1:3" x14ac:dyDescent="0.2">
      <c r="A1394" s="310" t="s">
        <v>2874</v>
      </c>
      <c r="B1394" t="b">
        <f>IF(ISBLANK(PedBerLab!$I$34),"",PedBerLab!$I$34)</f>
        <v>0</v>
      </c>
      <c r="C1394" s="310" t="b">
        <v>0</v>
      </c>
    </row>
    <row r="1395" spans="1:3" x14ac:dyDescent="0.2">
      <c r="A1395" s="310" t="s">
        <v>2875</v>
      </c>
      <c r="B1395" t="b">
        <f>IF(ISBLANK(PedBerLab!$L$4),"",PedBerLab!$L$4)</f>
        <v>0</v>
      </c>
      <c r="C1395" s="310" t="b">
        <v>0</v>
      </c>
    </row>
    <row r="1396" spans="1:3" x14ac:dyDescent="0.2">
      <c r="A1396" s="310" t="s">
        <v>2876</v>
      </c>
      <c r="B1396" t="b">
        <f>IF(ISBLANK(PedBerLab!$L$5),"",PedBerLab!$L$5)</f>
        <v>0</v>
      </c>
      <c r="C1396" s="310" t="b">
        <v>0</v>
      </c>
    </row>
    <row r="1397" spans="1:3" x14ac:dyDescent="0.2">
      <c r="A1397" s="310" t="s">
        <v>2877</v>
      </c>
      <c r="B1397" t="b">
        <f>IF(ISBLANK(PedBerLab!$L$6),"",PedBerLab!$L$6)</f>
        <v>0</v>
      </c>
      <c r="C1397" s="310" t="b">
        <v>0</v>
      </c>
    </row>
    <row r="1398" spans="1:3" x14ac:dyDescent="0.2">
      <c r="A1398" s="310" t="s">
        <v>2878</v>
      </c>
      <c r="B1398" t="b">
        <f>IF(ISBLANK(PedBerLab!$L$7),"",PedBerLab!$L$7)</f>
        <v>0</v>
      </c>
      <c r="C1398" s="310" t="b">
        <v>0</v>
      </c>
    </row>
    <row r="1399" spans="1:3" x14ac:dyDescent="0.2">
      <c r="A1399" s="310" t="s">
        <v>2879</v>
      </c>
      <c r="B1399" t="b">
        <f>IF(ISBLANK(PedBerLab!$L$8),"",PedBerLab!$L$8)</f>
        <v>0</v>
      </c>
      <c r="C1399" s="310" t="b">
        <v>0</v>
      </c>
    </row>
    <row r="1400" spans="1:3" x14ac:dyDescent="0.2">
      <c r="A1400" s="310" t="s">
        <v>2880</v>
      </c>
      <c r="B1400" t="b">
        <f>IF(ISBLANK(PedBerLab!$L$9),"",PedBerLab!$L$9)</f>
        <v>0</v>
      </c>
      <c r="C1400" s="310" t="b">
        <v>0</v>
      </c>
    </row>
    <row r="1401" spans="1:3" x14ac:dyDescent="0.2">
      <c r="A1401" s="310" t="s">
        <v>2881</v>
      </c>
      <c r="B1401" t="b">
        <f>IF(ISBLANK(PedBerLab!$L$10),"",PedBerLab!$L$10)</f>
        <v>0</v>
      </c>
      <c r="C1401" s="310" t="b">
        <v>0</v>
      </c>
    </row>
    <row r="1402" spans="1:3" x14ac:dyDescent="0.2">
      <c r="A1402" s="310" t="s">
        <v>2882</v>
      </c>
      <c r="B1402" t="b">
        <f>IF(ISBLANK(PedBerLab!$L$11),"",PedBerLab!$L$11)</f>
        <v>0</v>
      </c>
      <c r="C1402" s="310" t="b">
        <v>0</v>
      </c>
    </row>
    <row r="1403" spans="1:3" x14ac:dyDescent="0.2">
      <c r="A1403" s="310" t="s">
        <v>2883</v>
      </c>
      <c r="B1403" t="b">
        <f>IF(ISBLANK(PedBerLab!$L$12),"",PedBerLab!$L$12)</f>
        <v>0</v>
      </c>
      <c r="C1403" s="310" t="b">
        <v>0</v>
      </c>
    </row>
    <row r="1404" spans="1:3" x14ac:dyDescent="0.2">
      <c r="A1404" s="310" t="s">
        <v>2884</v>
      </c>
      <c r="B1404" t="b">
        <f>IF(ISBLANK(PedBerLab!$L$13),"",PedBerLab!$L$13)</f>
        <v>0</v>
      </c>
      <c r="C1404" s="310" t="b">
        <v>0</v>
      </c>
    </row>
    <row r="1405" spans="1:3" x14ac:dyDescent="0.2">
      <c r="A1405" s="310" t="s">
        <v>2885</v>
      </c>
      <c r="B1405" t="b">
        <f>IF(ISBLANK(PedBerLab!$L$14),"",PedBerLab!$L$14)</f>
        <v>0</v>
      </c>
      <c r="C1405" s="310" t="b">
        <v>0</v>
      </c>
    </row>
    <row r="1406" spans="1:3" x14ac:dyDescent="0.2">
      <c r="A1406" s="310" t="s">
        <v>2886</v>
      </c>
      <c r="B1406" t="b">
        <f>IF(ISBLANK(PedBerLab!$L$15),"",PedBerLab!$L$15)</f>
        <v>0</v>
      </c>
      <c r="C1406" s="310" t="b">
        <v>0</v>
      </c>
    </row>
    <row r="1407" spans="1:3" x14ac:dyDescent="0.2">
      <c r="A1407" s="310" t="s">
        <v>2887</v>
      </c>
      <c r="B1407" t="b">
        <f>IF(ISBLANK(PedBerLab!$L$16),"",PedBerLab!$L$16)</f>
        <v>0</v>
      </c>
      <c r="C1407" s="310" t="b">
        <v>0</v>
      </c>
    </row>
    <row r="1408" spans="1:3" x14ac:dyDescent="0.2">
      <c r="A1408" s="310" t="s">
        <v>2888</v>
      </c>
      <c r="B1408" t="b">
        <f>IF(ISBLANK(PedBerLab!$L$17),"",PedBerLab!$L$17)</f>
        <v>0</v>
      </c>
      <c r="C1408" s="310" t="b">
        <v>0</v>
      </c>
    </row>
    <row r="1409" spans="1:3" x14ac:dyDescent="0.2">
      <c r="A1409" s="310" t="s">
        <v>2889</v>
      </c>
      <c r="B1409" t="b">
        <f>IF(ISBLANK(PedBerLab!$L$18),"",PedBerLab!$L$18)</f>
        <v>0</v>
      </c>
      <c r="C1409" s="310" t="b">
        <v>0</v>
      </c>
    </row>
    <row r="1410" spans="1:3" x14ac:dyDescent="0.2">
      <c r="A1410" s="310" t="s">
        <v>2890</v>
      </c>
      <c r="B1410" t="b">
        <f>IF(ISBLANK(PedBerLab!$L$19),"",PedBerLab!$L$19)</f>
        <v>0</v>
      </c>
      <c r="C1410" s="310" t="b">
        <v>0</v>
      </c>
    </row>
    <row r="1411" spans="1:3" x14ac:dyDescent="0.2">
      <c r="A1411" s="310" t="s">
        <v>2891</v>
      </c>
      <c r="B1411" t="b">
        <f>IF(ISBLANK(PedBerLab!$L$20),"",PedBerLab!$L$20)</f>
        <v>0</v>
      </c>
      <c r="C1411" s="310" t="b">
        <v>0</v>
      </c>
    </row>
    <row r="1412" spans="1:3" x14ac:dyDescent="0.2">
      <c r="A1412" s="310" t="s">
        <v>2892</v>
      </c>
      <c r="B1412" t="b">
        <f>IF(ISBLANK(PedBerLab!$L$21),"",PedBerLab!$L$21)</f>
        <v>0</v>
      </c>
      <c r="C1412" s="310" t="b">
        <v>0</v>
      </c>
    </row>
    <row r="1413" spans="1:3" x14ac:dyDescent="0.2">
      <c r="A1413" s="310" t="s">
        <v>2893</v>
      </c>
      <c r="B1413" t="b">
        <f>IF(ISBLANK(PedBerLab!$L$22),"",PedBerLab!$L$22)</f>
        <v>0</v>
      </c>
      <c r="C1413" s="310" t="b">
        <v>0</v>
      </c>
    </row>
    <row r="1414" spans="1:3" x14ac:dyDescent="0.2">
      <c r="A1414" s="310" t="s">
        <v>2894</v>
      </c>
      <c r="B1414" t="b">
        <f>IF(ISBLANK(PedBerLab!$L$23),"",PedBerLab!$L$23)</f>
        <v>0</v>
      </c>
      <c r="C1414" s="310" t="b">
        <v>0</v>
      </c>
    </row>
    <row r="1415" spans="1:3" x14ac:dyDescent="0.2">
      <c r="A1415" s="310" t="s">
        <v>2895</v>
      </c>
      <c r="B1415" t="b">
        <f>IF(ISBLANK(PedBerLab!$L$24),"",PedBerLab!$L$24)</f>
        <v>0</v>
      </c>
      <c r="C1415" s="310" t="b">
        <v>0</v>
      </c>
    </row>
    <row r="1416" spans="1:3" x14ac:dyDescent="0.2">
      <c r="A1416" s="310" t="s">
        <v>2896</v>
      </c>
      <c r="B1416" t="b">
        <f>IF(ISBLANK(PedBerLab!$L$25),"",PedBerLab!$L$25)</f>
        <v>0</v>
      </c>
      <c r="C1416" s="310" t="b">
        <v>0</v>
      </c>
    </row>
    <row r="1417" spans="1:3" x14ac:dyDescent="0.2">
      <c r="A1417" s="310" t="s">
        <v>2897</v>
      </c>
      <c r="B1417" t="b">
        <f>IF(ISBLANK(PedBerLab!$L$26),"",PedBerLab!$L$26)</f>
        <v>0</v>
      </c>
      <c r="C1417" s="310" t="b">
        <v>0</v>
      </c>
    </row>
    <row r="1418" spans="1:3" x14ac:dyDescent="0.2">
      <c r="A1418" s="310" t="s">
        <v>2898</v>
      </c>
      <c r="B1418" t="b">
        <f>IF(ISBLANK(PedBerLab!$L$27),"",PedBerLab!$L$27)</f>
        <v>0</v>
      </c>
      <c r="C1418" s="310" t="b">
        <v>0</v>
      </c>
    </row>
    <row r="1419" spans="1:3" x14ac:dyDescent="0.2">
      <c r="A1419" s="310" t="s">
        <v>2899</v>
      </c>
      <c r="B1419" t="b">
        <f>IF(ISBLANK(PedBerLab!$L$28),"",PedBerLab!$L$28)</f>
        <v>0</v>
      </c>
      <c r="C1419" s="310" t="b">
        <v>0</v>
      </c>
    </row>
    <row r="1420" spans="1:3" x14ac:dyDescent="0.2">
      <c r="A1420" s="310" t="s">
        <v>2900</v>
      </c>
      <c r="B1420" t="b">
        <f>IF(ISBLANK(PedBerLab!$L$29),"",PedBerLab!$L$29)</f>
        <v>0</v>
      </c>
      <c r="C1420" s="310" t="b">
        <v>0</v>
      </c>
    </row>
    <row r="1421" spans="1:3" x14ac:dyDescent="0.2">
      <c r="A1421" s="310" t="s">
        <v>2901</v>
      </c>
      <c r="B1421" t="b">
        <f>IF(ISBLANK(PedBerLab!$L$30),"",PedBerLab!$L$30)</f>
        <v>0</v>
      </c>
      <c r="C1421" s="310" t="b">
        <v>0</v>
      </c>
    </row>
    <row r="1422" spans="1:3" x14ac:dyDescent="0.2">
      <c r="A1422" s="310" t="s">
        <v>2902</v>
      </c>
      <c r="B1422" t="b">
        <f>IF(ISBLANK(PedBerLab!$L$31),"",PedBerLab!$L$31)</f>
        <v>0</v>
      </c>
      <c r="C1422" s="310" t="b">
        <v>0</v>
      </c>
    </row>
    <row r="1423" spans="1:3" x14ac:dyDescent="0.2">
      <c r="A1423" s="310" t="s">
        <v>2903</v>
      </c>
      <c r="B1423" t="b">
        <f>IF(ISBLANK(PedBerLab!$L$32),"",PedBerLab!$L$32)</f>
        <v>0</v>
      </c>
      <c r="C1423" s="310" t="b">
        <v>0</v>
      </c>
    </row>
    <row r="1424" spans="1:3" x14ac:dyDescent="0.2">
      <c r="A1424" s="310" t="s">
        <v>2904</v>
      </c>
      <c r="B1424" t="b">
        <f>IF(ISBLANK(PedBerLab!$L$33),"",PedBerLab!$L$33)</f>
        <v>0</v>
      </c>
      <c r="C1424" s="310" t="b">
        <v>0</v>
      </c>
    </row>
    <row r="1425" spans="1:3" x14ac:dyDescent="0.2">
      <c r="A1425" s="310" t="s">
        <v>2905</v>
      </c>
      <c r="B1425" t="b">
        <f>IF(ISBLANK(PedBerLab!$L$34),"",PedBerLab!$L$34)</f>
        <v>0</v>
      </c>
      <c r="C1425" s="310" t="b">
        <v>0</v>
      </c>
    </row>
    <row r="1426" spans="1:3" x14ac:dyDescent="0.2">
      <c r="A1426" s="310" t="s">
        <v>2906</v>
      </c>
      <c r="B1426" t="str">
        <f>IF(ISBLANK(GlobBerOpm!$B$4),"",GlobBerOpm!$B$4)</f>
        <v/>
      </c>
      <c r="C1426" s="130"/>
    </row>
    <row r="1427" spans="1:3" x14ac:dyDescent="0.2">
      <c r="A1427" s="310" t="s">
        <v>2907</v>
      </c>
      <c r="B1427" t="b">
        <f>IF(ISBLANK(PedBerLab!$C$4),"",PedBerLab!$C$4)</f>
        <v>0</v>
      </c>
      <c r="C1427" t="b">
        <v>0</v>
      </c>
    </row>
    <row r="1428" spans="1:3" x14ac:dyDescent="0.2">
      <c r="A1428" s="310" t="s">
        <v>2908</v>
      </c>
      <c r="B1428" t="b">
        <f>IF(ISBLANK(PedBerLab!$C$5),"",PedBerLab!$C$5)</f>
        <v>0</v>
      </c>
      <c r="C1428" s="310" t="b">
        <v>0</v>
      </c>
    </row>
    <row r="1429" spans="1:3" x14ac:dyDescent="0.2">
      <c r="A1429" s="310" t="s">
        <v>2909</v>
      </c>
      <c r="B1429" t="b">
        <f>IF(ISBLANK(PedBerLab!$C$6),"",PedBerLab!$C$6)</f>
        <v>0</v>
      </c>
      <c r="C1429" s="310" t="b">
        <v>0</v>
      </c>
    </row>
    <row r="1430" spans="1:3" x14ac:dyDescent="0.2">
      <c r="A1430" s="310" t="s">
        <v>2910</v>
      </c>
      <c r="B1430" t="b">
        <f>IF(ISBLANK(PedBerLab!$C$7),"",PedBerLab!$C$7)</f>
        <v>0</v>
      </c>
      <c r="C1430" s="310" t="b">
        <v>0</v>
      </c>
    </row>
    <row r="1431" spans="1:3" x14ac:dyDescent="0.2">
      <c r="A1431" s="310" t="s">
        <v>2911</v>
      </c>
      <c r="B1431" t="b">
        <f>IF(ISBLANK(PedBerLab!$C$8),"",PedBerLab!$C$8)</f>
        <v>0</v>
      </c>
      <c r="C1431" s="310" t="b">
        <v>0</v>
      </c>
    </row>
    <row r="1432" spans="1:3" x14ac:dyDescent="0.2">
      <c r="A1432" s="310" t="s">
        <v>2912</v>
      </c>
      <c r="B1432" t="b">
        <f>IF(ISBLANK(PedBerLab!$C$9),"",PedBerLab!$C$9)</f>
        <v>0</v>
      </c>
      <c r="C1432" s="310" t="b">
        <v>0</v>
      </c>
    </row>
    <row r="1433" spans="1:3" x14ac:dyDescent="0.2">
      <c r="A1433" s="310" t="s">
        <v>2913</v>
      </c>
      <c r="B1433" t="b">
        <f>IF(ISBLANK(PedBerLab!$C$10),"",PedBerLab!$C$10)</f>
        <v>0</v>
      </c>
      <c r="C1433" s="310" t="b">
        <v>0</v>
      </c>
    </row>
    <row r="1434" spans="1:3" x14ac:dyDescent="0.2">
      <c r="A1434" s="310" t="s">
        <v>2914</v>
      </c>
      <c r="B1434" t="b">
        <f>IF(ISBLANK(PedBerLab!$C$11),"",PedBerLab!$C$11)</f>
        <v>0</v>
      </c>
      <c r="C1434" s="310" t="b">
        <v>0</v>
      </c>
    </row>
    <row r="1435" spans="1:3" x14ac:dyDescent="0.2">
      <c r="A1435" s="310" t="s">
        <v>2915</v>
      </c>
      <c r="B1435" t="b">
        <f>IF(ISBLANK(PedBerLab!$C$12),"",PedBerLab!$C$12)</f>
        <v>0</v>
      </c>
      <c r="C1435" s="310" t="b">
        <v>0</v>
      </c>
    </row>
    <row r="1436" spans="1:3" x14ac:dyDescent="0.2">
      <c r="A1436" s="310" t="s">
        <v>2916</v>
      </c>
      <c r="B1436" t="b">
        <f>IF(ISBLANK(PedBerLab!$C$13),"",PedBerLab!$C$13)</f>
        <v>0</v>
      </c>
      <c r="C1436" s="310" t="b">
        <v>0</v>
      </c>
    </row>
    <row r="1437" spans="1:3" x14ac:dyDescent="0.2">
      <c r="A1437" s="310" t="s">
        <v>2917</v>
      </c>
      <c r="B1437" t="b">
        <f>IF(ISBLANK(PedBerLab!$C$14),"",PedBerLab!$C$14)</f>
        <v>0</v>
      </c>
      <c r="C1437" s="310" t="b">
        <v>0</v>
      </c>
    </row>
    <row r="1438" spans="1:3" x14ac:dyDescent="0.2">
      <c r="A1438" s="310" t="s">
        <v>2918</v>
      </c>
      <c r="B1438" t="b">
        <f>IF(ISBLANK(PedBerLab!$C$15),"",PedBerLab!$C$15)</f>
        <v>0</v>
      </c>
      <c r="C1438" s="310" t="b">
        <v>0</v>
      </c>
    </row>
    <row r="1439" spans="1:3" x14ac:dyDescent="0.2">
      <c r="A1439" s="310" t="s">
        <v>2919</v>
      </c>
      <c r="B1439" t="b">
        <f>IF(ISBLANK(PedBerLab!$C$16),"",PedBerLab!$C$16)</f>
        <v>0</v>
      </c>
      <c r="C1439" s="310" t="b">
        <v>0</v>
      </c>
    </row>
    <row r="1440" spans="1:3" x14ac:dyDescent="0.2">
      <c r="A1440" s="310" t="s">
        <v>2920</v>
      </c>
      <c r="B1440" t="b">
        <f>IF(ISBLANK(PedBerLab!$C$17),"",PedBerLab!$C$17)</f>
        <v>0</v>
      </c>
      <c r="C1440" s="310" t="b">
        <v>0</v>
      </c>
    </row>
    <row r="1441" spans="1:3" x14ac:dyDescent="0.2">
      <c r="A1441" s="310" t="s">
        <v>2921</v>
      </c>
      <c r="B1441" t="b">
        <f>IF(ISBLANK(PedBerLab!$C$18),"",PedBerLab!$C$18)</f>
        <v>0</v>
      </c>
      <c r="C1441" s="310" t="b">
        <v>0</v>
      </c>
    </row>
    <row r="1442" spans="1:3" x14ac:dyDescent="0.2">
      <c r="A1442" s="310" t="s">
        <v>2922</v>
      </c>
      <c r="B1442" t="b">
        <f>IF(ISBLANK(PedBerLab!$C$19),"",PedBerLab!$C$19)</f>
        <v>0</v>
      </c>
      <c r="C1442" s="310" t="b">
        <v>0</v>
      </c>
    </row>
    <row r="1443" spans="1:3" x14ac:dyDescent="0.2">
      <c r="A1443" s="310" t="s">
        <v>2923</v>
      </c>
      <c r="B1443" t="b">
        <f>IF(ISBLANK(PedBerLab!$C$20),"",PedBerLab!$C$20)</f>
        <v>0</v>
      </c>
      <c r="C1443" s="310" t="b">
        <v>0</v>
      </c>
    </row>
    <row r="1444" spans="1:3" x14ac:dyDescent="0.2">
      <c r="A1444" s="310" t="s">
        <v>2924</v>
      </c>
      <c r="B1444" t="b">
        <f>IF(ISBLANK(PedBerLab!$C$21),"",PedBerLab!$C$21)</f>
        <v>0</v>
      </c>
      <c r="C1444" s="310" t="b">
        <v>0</v>
      </c>
    </row>
    <row r="1445" spans="1:3" x14ac:dyDescent="0.2">
      <c r="A1445" s="310" t="s">
        <v>2925</v>
      </c>
      <c r="B1445" t="b">
        <f>IF(ISBLANK(PedBerLab!$C$22),"",PedBerLab!$C$22)</f>
        <v>0</v>
      </c>
      <c r="C1445" s="310" t="b">
        <v>0</v>
      </c>
    </row>
    <row r="1446" spans="1:3" x14ac:dyDescent="0.2">
      <c r="A1446" s="310" t="s">
        <v>2926</v>
      </c>
      <c r="B1446" t="b">
        <f>IF(ISBLANK(PedBerLab!$C$23),"",PedBerLab!$C$23)</f>
        <v>0</v>
      </c>
      <c r="C1446" s="310" t="b">
        <v>0</v>
      </c>
    </row>
    <row r="1447" spans="1:3" x14ac:dyDescent="0.2">
      <c r="A1447" s="310" t="s">
        <v>2927</v>
      </c>
      <c r="B1447" t="b">
        <f>IF(ISBLANK(PedBerLab!$C$24),"",PedBerLab!$C$24)</f>
        <v>0</v>
      </c>
      <c r="C1447" s="310" t="b">
        <v>0</v>
      </c>
    </row>
    <row r="1448" spans="1:3" x14ac:dyDescent="0.2">
      <c r="A1448" s="310" t="s">
        <v>2928</v>
      </c>
      <c r="B1448" t="b">
        <f>IF(ISBLANK(PedBerLab!$C$25),"",PedBerLab!$C$25)</f>
        <v>0</v>
      </c>
      <c r="C1448" s="310" t="b">
        <v>0</v>
      </c>
    </row>
    <row r="1449" spans="1:3" x14ac:dyDescent="0.2">
      <c r="A1449" s="310" t="s">
        <v>2929</v>
      </c>
      <c r="B1449" t="b">
        <f>IF(ISBLANK(PedBerLab!$C$26),"",PedBerLab!$C$26)</f>
        <v>0</v>
      </c>
      <c r="C1449" s="310" t="b">
        <v>0</v>
      </c>
    </row>
    <row r="1450" spans="1:3" x14ac:dyDescent="0.2">
      <c r="A1450" s="310" t="s">
        <v>2930</v>
      </c>
      <c r="B1450" t="b">
        <f>IF(ISBLANK(PedBerLab!$C$27),"",PedBerLab!$C$27)</f>
        <v>0</v>
      </c>
      <c r="C1450" s="310" t="b">
        <v>0</v>
      </c>
    </row>
    <row r="1451" spans="1:3" x14ac:dyDescent="0.2">
      <c r="A1451" s="310" t="s">
        <v>2931</v>
      </c>
      <c r="B1451" t="b">
        <f>IF(ISBLANK(PedBerLab!$C$28),"",PedBerLab!$C$28)</f>
        <v>0</v>
      </c>
      <c r="C1451" s="310" t="b">
        <v>0</v>
      </c>
    </row>
    <row r="1452" spans="1:3" x14ac:dyDescent="0.2">
      <c r="A1452" s="310" t="s">
        <v>2932</v>
      </c>
      <c r="B1452" t="b">
        <f>IF(ISBLANK(PedBerLab!$C$29),"",PedBerLab!$C$29)</f>
        <v>0</v>
      </c>
      <c r="C1452" s="310" t="b">
        <v>0</v>
      </c>
    </row>
    <row r="1453" spans="1:3" x14ac:dyDescent="0.2">
      <c r="A1453" s="310" t="s">
        <v>2933</v>
      </c>
      <c r="B1453" t="b">
        <f>IF(ISBLANK(PedBerLab!$C$30),"",PedBerLab!$C$30)</f>
        <v>0</v>
      </c>
      <c r="C1453" s="310" t="b">
        <v>0</v>
      </c>
    </row>
    <row r="1454" spans="1:3" x14ac:dyDescent="0.2">
      <c r="A1454" s="310" t="s">
        <v>2934</v>
      </c>
      <c r="B1454" t="b">
        <f>IF(ISBLANK(PedBerLab!$C$31),"",PedBerLab!$C$31)</f>
        <v>0</v>
      </c>
      <c r="C1454" s="310" t="b">
        <v>0</v>
      </c>
    </row>
    <row r="1455" spans="1:3" x14ac:dyDescent="0.2">
      <c r="A1455" s="310" t="s">
        <v>2935</v>
      </c>
      <c r="B1455" t="b">
        <f>IF(ISBLANK(PedBerLab!$C$32),"",PedBerLab!$C$32)</f>
        <v>0</v>
      </c>
      <c r="C1455" s="310" t="b">
        <v>0</v>
      </c>
    </row>
    <row r="1456" spans="1:3" x14ac:dyDescent="0.2">
      <c r="A1456" s="310" t="s">
        <v>2936</v>
      </c>
      <c r="B1456" t="b">
        <f>IF(ISBLANK(PedBerLab!$C$33),"",PedBerLab!$C$33)</f>
        <v>0</v>
      </c>
      <c r="C1456" s="310" t="b">
        <v>0</v>
      </c>
    </row>
    <row r="1457" spans="1:4" x14ac:dyDescent="0.2">
      <c r="A1457" s="310" t="s">
        <v>2937</v>
      </c>
      <c r="B1457" t="b">
        <f>IF(ISBLANK(PedBerLab!$C$34),"",PedBerLab!$C$34)</f>
        <v>0</v>
      </c>
      <c r="C1457" s="310" t="b">
        <v>0</v>
      </c>
    </row>
    <row r="1458" spans="1:4" x14ac:dyDescent="0.2">
      <c r="A1458" s="310" t="s">
        <v>2938</v>
      </c>
      <c r="B1458" t="b">
        <f>IF(ISBLANK(PedBerLab!$C$35),"",PedBerLab!$C$35)</f>
        <v>0</v>
      </c>
      <c r="C1458" s="310" t="b">
        <v>0</v>
      </c>
    </row>
    <row r="1459" spans="1:4" x14ac:dyDescent="0.2">
      <c r="A1459" s="310" t="s">
        <v>2939</v>
      </c>
      <c r="B1459">
        <f>IF(ISBLANK(PedBerMedIV!$C$5),"",PedBerMedIV!$C$5)</f>
        <v>5</v>
      </c>
      <c r="C1459">
        <v>1</v>
      </c>
    </row>
    <row r="1460" spans="1:4" x14ac:dyDescent="0.2">
      <c r="A1460" s="310" t="s">
        <v>2940</v>
      </c>
      <c r="B1460">
        <f>IF(ISBLANK(PedBerMedIV!$C$6),"",PedBerMedIV!$C$6)</f>
        <v>1</v>
      </c>
      <c r="C1460">
        <v>1</v>
      </c>
    </row>
    <row r="1461" spans="1:4" x14ac:dyDescent="0.2">
      <c r="A1461" s="310" t="s">
        <v>2941</v>
      </c>
      <c r="B1461">
        <f>IF(ISBLANK(PedBerMedIV!$C$7),"",PedBerMedIV!$C$7)</f>
        <v>1</v>
      </c>
      <c r="C1461">
        <v>1</v>
      </c>
    </row>
    <row r="1462" spans="1:4" s="310" customFormat="1" x14ac:dyDescent="0.2">
      <c r="A1462" s="310" t="s">
        <v>2942</v>
      </c>
      <c r="B1462">
        <f>IF(ISBLANK(PedBerMedIV!$C$8),"",PedBerMedIV!$C$8)</f>
        <v>1</v>
      </c>
      <c r="C1462">
        <v>1</v>
      </c>
      <c r="D1462"/>
    </row>
    <row r="1463" spans="1:4" s="310" customFormat="1" x14ac:dyDescent="0.2">
      <c r="A1463" s="310" t="s">
        <v>2943</v>
      </c>
      <c r="B1463">
        <f>IF(ISBLANK(PedBerMedIV!$C$9),"",PedBerMedIV!$C$9)</f>
        <v>1</v>
      </c>
      <c r="C1463">
        <v>1</v>
      </c>
    </row>
    <row r="1464" spans="1:4" s="310" customFormat="1" x14ac:dyDescent="0.2">
      <c r="A1464" s="310" t="s">
        <v>2944</v>
      </c>
      <c r="B1464">
        <f>IF(ISBLANK(PedBerMedIV!$C$10),"",PedBerMedIV!$C$10)</f>
        <v>1</v>
      </c>
      <c r="C1464">
        <v>1</v>
      </c>
    </row>
    <row r="1465" spans="1:4" s="310" customFormat="1" x14ac:dyDescent="0.2">
      <c r="A1465" s="310" t="s">
        <v>2945</v>
      </c>
      <c r="B1465">
        <f>IF(ISBLANK(PedBerMedIV!$C$11),"",PedBerMedIV!$C$11)</f>
        <v>6</v>
      </c>
      <c r="C1465">
        <v>1</v>
      </c>
    </row>
    <row r="1466" spans="1:4" s="310" customFormat="1" x14ac:dyDescent="0.2">
      <c r="A1466" s="310" t="s">
        <v>2946</v>
      </c>
      <c r="B1466">
        <f>IF(ISBLANK(PedBerMedIV!$C$12),"",PedBerMedIV!$C$12)</f>
        <v>1</v>
      </c>
      <c r="C1466">
        <v>1</v>
      </c>
    </row>
    <row r="1467" spans="1:4" x14ac:dyDescent="0.2">
      <c r="A1467" s="310" t="s">
        <v>2947</v>
      </c>
      <c r="B1467">
        <f>IF(ISBLANK(PedBerMedIV!$C$13),"",PedBerMedIV!$C$13)</f>
        <v>1</v>
      </c>
      <c r="C1467">
        <v>1</v>
      </c>
      <c r="D1467" s="310"/>
    </row>
    <row r="1468" spans="1:4" x14ac:dyDescent="0.2">
      <c r="A1468" s="310" t="s">
        <v>2948</v>
      </c>
      <c r="B1468">
        <f>IF(ISBLANK(PedBerMedIV!$C$14),"",PedBerMedIV!$C$14)</f>
        <v>1</v>
      </c>
      <c r="C1468">
        <v>1</v>
      </c>
    </row>
    <row r="1469" spans="1:4" x14ac:dyDescent="0.2">
      <c r="A1469" s="310" t="s">
        <v>2949</v>
      </c>
      <c r="B1469">
        <f>IF(ISBLANK(PedBerMedIV!$C$15),"",PedBerMedIV!$C$15)</f>
        <v>1</v>
      </c>
      <c r="C1469" s="310">
        <v>1</v>
      </c>
    </row>
    <row r="1470" spans="1:4" x14ac:dyDescent="0.2">
      <c r="A1470" s="310" t="s">
        <v>2950</v>
      </c>
      <c r="B1470">
        <f>IF(ISBLANK(PedBerMedIV!$C$16),"",PedBerMedIV!$C$16)</f>
        <v>1</v>
      </c>
      <c r="C1470" s="310">
        <v>1</v>
      </c>
    </row>
    <row r="1471" spans="1:4" x14ac:dyDescent="0.2">
      <c r="A1471" s="310" t="s">
        <v>2951</v>
      </c>
      <c r="B1471">
        <f>IF(ISBLANK(PedBerMedIV!$C$17),"",PedBerMedIV!$C$17)</f>
        <v>1</v>
      </c>
      <c r="C1471" s="310">
        <v>1</v>
      </c>
    </row>
    <row r="1472" spans="1:4" x14ac:dyDescent="0.2">
      <c r="A1472" s="310" t="s">
        <v>2952</v>
      </c>
      <c r="B1472">
        <f>IF(ISBLANK(PedBerMedIV!$C$18),"",PedBerMedIV!$C$18)</f>
        <v>1</v>
      </c>
      <c r="C1472" s="310">
        <v>1</v>
      </c>
    </row>
    <row r="1473" spans="1:4" x14ac:dyDescent="0.2">
      <c r="A1473" s="310" t="s">
        <v>2953</v>
      </c>
      <c r="B1473">
        <f>IF(ISBLANK(PedBerMedIV!$C$19),"",PedBerMedIV!$C$19)</f>
        <v>1</v>
      </c>
      <c r="C1473" s="310">
        <v>1</v>
      </c>
    </row>
    <row r="1474" spans="1:4" x14ac:dyDescent="0.2">
      <c r="A1474" s="311" t="s">
        <v>3744</v>
      </c>
      <c r="B1474" s="310" t="str">
        <f>IF(ISBLANK(PedBerMedIV!$C$21),"",PedBerMedIV!$C$21)</f>
        <v/>
      </c>
      <c r="C1474" s="130"/>
    </row>
    <row r="1475" spans="1:4" x14ac:dyDescent="0.2">
      <c r="A1475" s="311" t="s">
        <v>3745</v>
      </c>
      <c r="B1475" s="310" t="str">
        <f>IF(ISBLANK(PedBerMedIV!$C$22),"",PedBerMedIV!$C$22)</f>
        <v/>
      </c>
      <c r="C1475" s="130"/>
    </row>
    <row r="1476" spans="1:4" x14ac:dyDescent="0.2">
      <c r="A1476" s="311" t="s">
        <v>3746</v>
      </c>
      <c r="B1476" s="310" t="str">
        <f>IF(ISBLANK(PedBerMedIV!$C$23),"",PedBerMedIV!$C$23)</f>
        <v/>
      </c>
      <c r="C1476" s="130"/>
    </row>
    <row r="1477" spans="1:4" x14ac:dyDescent="0.2">
      <c r="A1477" s="311" t="s">
        <v>3747</v>
      </c>
      <c r="B1477" s="310" t="str">
        <f>IF(ISBLANK(PedBerMedIV!$C$24),"",PedBerMedIV!$C$24)</f>
        <v/>
      </c>
      <c r="C1477" s="130"/>
    </row>
    <row r="1478" spans="1:4" x14ac:dyDescent="0.2">
      <c r="A1478" s="311" t="s">
        <v>3748</v>
      </c>
      <c r="B1478" s="310" t="str">
        <f>IF(ISBLANK(PedBerMedIV!$C$25),"",PedBerMedIV!$C$25)</f>
        <v/>
      </c>
      <c r="C1478" s="130"/>
    </row>
    <row r="1479" spans="1:4" x14ac:dyDescent="0.2">
      <c r="A1479" s="310" t="s">
        <v>2954</v>
      </c>
      <c r="B1479">
        <f>IF(ISBLANK(PedBerMedIV!$F$5),"",PedBerMedIV!$F$5)</f>
        <v>1</v>
      </c>
      <c r="C1479">
        <v>1</v>
      </c>
    </row>
    <row r="1480" spans="1:4" x14ac:dyDescent="0.2">
      <c r="A1480" s="310" t="s">
        <v>2955</v>
      </c>
      <c r="B1480">
        <f>IF(ISBLANK(PedBerMedIV!$F$6),"",PedBerMedIV!$F$6)</f>
        <v>1</v>
      </c>
      <c r="C1480">
        <v>1</v>
      </c>
    </row>
    <row r="1481" spans="1:4" x14ac:dyDescent="0.2">
      <c r="A1481" s="310" t="s">
        <v>2956</v>
      </c>
      <c r="B1481">
        <f>IF(ISBLANK(PedBerMedIV!$F$7),"",PedBerMedIV!$F$7)</f>
        <v>1</v>
      </c>
      <c r="C1481">
        <v>1</v>
      </c>
    </row>
    <row r="1482" spans="1:4" s="310" customFormat="1" x14ac:dyDescent="0.2">
      <c r="A1482" s="310" t="s">
        <v>2957</v>
      </c>
      <c r="B1482">
        <f>IF(ISBLANK(PedBerMedIV!$F$8),"",PedBerMedIV!$F$8)</f>
        <v>1</v>
      </c>
      <c r="C1482">
        <v>1</v>
      </c>
      <c r="D1482"/>
    </row>
    <row r="1483" spans="1:4" s="310" customFormat="1" x14ac:dyDescent="0.2">
      <c r="A1483" s="310" t="s">
        <v>2958</v>
      </c>
      <c r="B1483">
        <f>IF(ISBLANK(PedBerMedIV!$F$9),"",PedBerMedIV!$F$9)</f>
        <v>1</v>
      </c>
      <c r="C1483">
        <v>1</v>
      </c>
    </row>
    <row r="1484" spans="1:4" s="310" customFormat="1" x14ac:dyDescent="0.2">
      <c r="A1484" s="310" t="s">
        <v>2959</v>
      </c>
      <c r="B1484">
        <f>IF(ISBLANK(PedBerMedIV!$F$10),"",PedBerMedIV!$F$10)</f>
        <v>1</v>
      </c>
      <c r="C1484">
        <v>1</v>
      </c>
    </row>
    <row r="1485" spans="1:4" s="310" customFormat="1" x14ac:dyDescent="0.2">
      <c r="A1485" s="310" t="s">
        <v>2960</v>
      </c>
      <c r="B1485">
        <f>IF(ISBLANK(PedBerMedIV!$F$11),"",PedBerMedIV!$F$11)</f>
        <v>2</v>
      </c>
      <c r="C1485">
        <v>1</v>
      </c>
    </row>
    <row r="1486" spans="1:4" s="310" customFormat="1" x14ac:dyDescent="0.2">
      <c r="A1486" s="310" t="s">
        <v>2961</v>
      </c>
      <c r="B1486">
        <f>IF(ISBLANK(PedBerMedIV!$F$12),"",PedBerMedIV!$F$12)</f>
        <v>1</v>
      </c>
      <c r="C1486">
        <v>1</v>
      </c>
    </row>
    <row r="1487" spans="1:4" x14ac:dyDescent="0.2">
      <c r="A1487" s="310" t="s">
        <v>2962</v>
      </c>
      <c r="B1487">
        <f>IF(ISBLANK(PedBerMedIV!$F$13),"",PedBerMedIV!$F$13)</f>
        <v>1</v>
      </c>
      <c r="C1487">
        <v>1</v>
      </c>
      <c r="D1487" s="310"/>
    </row>
    <row r="1488" spans="1:4" x14ac:dyDescent="0.2">
      <c r="A1488" s="310" t="s">
        <v>2963</v>
      </c>
      <c r="B1488">
        <f>IF(ISBLANK(PedBerMedIV!$F$14),"",PedBerMedIV!$F$14)</f>
        <v>1</v>
      </c>
      <c r="C1488">
        <v>1</v>
      </c>
    </row>
    <row r="1489" spans="1:4" x14ac:dyDescent="0.2">
      <c r="A1489" s="310" t="s">
        <v>2964</v>
      </c>
      <c r="B1489">
        <f>IF(ISBLANK(PedBerMedIV!$F$15),"",PedBerMedIV!$F$15)</f>
        <v>1</v>
      </c>
      <c r="C1489">
        <v>1</v>
      </c>
    </row>
    <row r="1490" spans="1:4" x14ac:dyDescent="0.2">
      <c r="A1490" s="310" t="s">
        <v>2965</v>
      </c>
      <c r="B1490">
        <f>IF(ISBLANK(PedBerMedIV!$F$16),"",PedBerMedIV!$F$16)</f>
        <v>1</v>
      </c>
      <c r="C1490">
        <v>1</v>
      </c>
    </row>
    <row r="1491" spans="1:4" x14ac:dyDescent="0.2">
      <c r="A1491" s="310" t="s">
        <v>2966</v>
      </c>
      <c r="B1491">
        <f>IF(ISBLANK(PedBerMedIV!$F$17),"",PedBerMedIV!$F$17)</f>
        <v>1</v>
      </c>
      <c r="C1491">
        <v>1</v>
      </c>
    </row>
    <row r="1492" spans="1:4" x14ac:dyDescent="0.2">
      <c r="A1492" s="310" t="s">
        <v>2967</v>
      </c>
      <c r="B1492">
        <f>IF(ISBLANK(PedBerMedIV!$F$18),"",PedBerMedIV!$F$18)</f>
        <v>1</v>
      </c>
      <c r="C1492">
        <v>1</v>
      </c>
    </row>
    <row r="1493" spans="1:4" x14ac:dyDescent="0.2">
      <c r="A1493" s="310" t="s">
        <v>2968</v>
      </c>
      <c r="B1493">
        <f>IF(ISBLANK(PedBerMedIV!$F$19),"",PedBerMedIV!$F$19)</f>
        <v>1</v>
      </c>
      <c r="C1493">
        <v>1</v>
      </c>
    </row>
    <row r="1494" spans="1:4" x14ac:dyDescent="0.2">
      <c r="A1494" s="311" t="s">
        <v>3749</v>
      </c>
      <c r="B1494" s="310">
        <f>IF(ISBLANK(PedBerMedIV!$F$21),"",PedBerMedIV!$F$21)</f>
        <v>1</v>
      </c>
      <c r="C1494" s="310">
        <v>1</v>
      </c>
    </row>
    <row r="1495" spans="1:4" x14ac:dyDescent="0.2">
      <c r="A1495" s="311" t="s">
        <v>3750</v>
      </c>
      <c r="B1495" s="310">
        <f>IF(ISBLANK(PedBerMedIV!$F$22),"",PedBerMedIV!$F$22)</f>
        <v>1</v>
      </c>
      <c r="C1495" s="310">
        <v>1</v>
      </c>
    </row>
    <row r="1496" spans="1:4" x14ac:dyDescent="0.2">
      <c r="A1496" s="311" t="s">
        <v>3751</v>
      </c>
      <c r="B1496" s="310">
        <f>IF(ISBLANK(PedBerMedIV!$F$23),"",PedBerMedIV!$F$23)</f>
        <v>1</v>
      </c>
      <c r="C1496" s="310">
        <v>1</v>
      </c>
    </row>
    <row r="1497" spans="1:4" x14ac:dyDescent="0.2">
      <c r="A1497" s="311" t="s">
        <v>3752</v>
      </c>
      <c r="B1497" s="310">
        <f>IF(ISBLANK(PedBerMedIV!$F$24),"",PedBerMedIV!$F$24)</f>
        <v>1</v>
      </c>
      <c r="C1497" s="310">
        <v>1</v>
      </c>
    </row>
    <row r="1498" spans="1:4" x14ac:dyDescent="0.2">
      <c r="A1498" s="311" t="s">
        <v>3753</v>
      </c>
      <c r="B1498" s="310">
        <f>IF(ISBLANK(PedBerMedIV!$F$25),"",PedBerMedIV!$F$25)</f>
        <v>1</v>
      </c>
      <c r="C1498" s="310">
        <v>1</v>
      </c>
    </row>
    <row r="1499" spans="1:4" x14ac:dyDescent="0.2">
      <c r="A1499" s="310" t="s">
        <v>2969</v>
      </c>
      <c r="B1499">
        <f>IF(ISBLANK(PedBerMedIV!$E$5),"",PedBerMedIV!$E$5)</f>
        <v>0</v>
      </c>
      <c r="C1499" s="312">
        <v>0</v>
      </c>
    </row>
    <row r="1500" spans="1:4" x14ac:dyDescent="0.2">
      <c r="A1500" s="310" t="s">
        <v>2970</v>
      </c>
      <c r="B1500">
        <f>IF(ISBLANK(PedBerMedIV!$E$6),"",PedBerMedIV!$E$6)</f>
        <v>0</v>
      </c>
      <c r="C1500" s="312">
        <v>0</v>
      </c>
    </row>
    <row r="1501" spans="1:4" x14ac:dyDescent="0.2">
      <c r="A1501" s="310" t="s">
        <v>2971</v>
      </c>
      <c r="B1501">
        <f>IF(ISBLANK(PedBerMedIV!$E$7),"",PedBerMedIV!$E$7)</f>
        <v>0</v>
      </c>
      <c r="C1501" s="312">
        <v>0</v>
      </c>
    </row>
    <row r="1502" spans="1:4" s="310" customFormat="1" x14ac:dyDescent="0.2">
      <c r="A1502" s="310" t="s">
        <v>2972</v>
      </c>
      <c r="B1502">
        <f>IF(ISBLANK(PedBerMedIV!$E$8),"",PedBerMedIV!$E$8)</f>
        <v>0</v>
      </c>
      <c r="C1502" s="312">
        <v>0</v>
      </c>
      <c r="D1502"/>
    </row>
    <row r="1503" spans="1:4" s="310" customFormat="1" x14ac:dyDescent="0.2">
      <c r="A1503" s="310" t="s">
        <v>2973</v>
      </c>
      <c r="B1503">
        <f>IF(ISBLANK(PedBerMedIV!$E$9),"",PedBerMedIV!$E$9)</f>
        <v>0</v>
      </c>
      <c r="C1503" s="312">
        <v>0</v>
      </c>
    </row>
    <row r="1504" spans="1:4" s="310" customFormat="1" x14ac:dyDescent="0.2">
      <c r="A1504" s="310" t="s">
        <v>2974</v>
      </c>
      <c r="B1504">
        <f>IF(ISBLANK(PedBerMedIV!$E$10),"",PedBerMedIV!$E$10)</f>
        <v>0</v>
      </c>
      <c r="C1504" s="312">
        <v>0</v>
      </c>
    </row>
    <row r="1505" spans="1:4" s="310" customFormat="1" x14ac:dyDescent="0.2">
      <c r="A1505" s="310" t="s">
        <v>2975</v>
      </c>
      <c r="B1505">
        <f>IF(ISBLANK(PedBerMedIV!$E$11),"",PedBerMedIV!$E$11)</f>
        <v>0</v>
      </c>
      <c r="C1505" s="312">
        <v>0</v>
      </c>
    </row>
    <row r="1506" spans="1:4" s="310" customFormat="1" x14ac:dyDescent="0.2">
      <c r="A1506" s="310" t="s">
        <v>2976</v>
      </c>
      <c r="B1506">
        <f>IF(ISBLANK(PedBerMedIV!$E$12),"",PedBerMedIV!$E$12)</f>
        <v>0</v>
      </c>
      <c r="C1506" s="312">
        <v>0</v>
      </c>
    </row>
    <row r="1507" spans="1:4" x14ac:dyDescent="0.2">
      <c r="A1507" s="310" t="s">
        <v>2977</v>
      </c>
      <c r="B1507">
        <f>IF(ISBLANK(PedBerMedIV!$E$13),"",PedBerMedIV!$E$13)</f>
        <v>0</v>
      </c>
      <c r="C1507" s="312">
        <v>0</v>
      </c>
      <c r="D1507" s="310"/>
    </row>
    <row r="1508" spans="1:4" x14ac:dyDescent="0.2">
      <c r="A1508" s="310" t="s">
        <v>2978</v>
      </c>
      <c r="B1508">
        <f>IF(ISBLANK(PedBerMedIV!$E$14),"",PedBerMedIV!$E$14)</f>
        <v>0</v>
      </c>
      <c r="C1508" s="312">
        <v>0</v>
      </c>
    </row>
    <row r="1509" spans="1:4" x14ac:dyDescent="0.2">
      <c r="A1509" s="310" t="s">
        <v>2979</v>
      </c>
      <c r="B1509">
        <f>IF(ISBLANK(PedBerMedIV!$E$15),"",PedBerMedIV!$E$15)</f>
        <v>0</v>
      </c>
      <c r="C1509" s="312">
        <v>0</v>
      </c>
    </row>
    <row r="1510" spans="1:4" x14ac:dyDescent="0.2">
      <c r="A1510" s="310" t="s">
        <v>2980</v>
      </c>
      <c r="B1510">
        <f>IF(ISBLANK(PedBerMedIV!$E$16),"",PedBerMedIV!$E$16)</f>
        <v>0</v>
      </c>
      <c r="C1510" s="312">
        <v>0</v>
      </c>
    </row>
    <row r="1511" spans="1:4" x14ac:dyDescent="0.2">
      <c r="A1511" s="310" t="s">
        <v>2981</v>
      </c>
      <c r="B1511">
        <f>IF(ISBLANK(PedBerMedIV!$E$17),"",PedBerMedIV!$E$17)</f>
        <v>0</v>
      </c>
      <c r="C1511" s="312">
        <v>0</v>
      </c>
    </row>
    <row r="1512" spans="1:4" x14ac:dyDescent="0.2">
      <c r="A1512" s="310" t="s">
        <v>2982</v>
      </c>
      <c r="B1512">
        <f>IF(ISBLANK(PedBerMedIV!$E$18),"",PedBerMedIV!$E$18)</f>
        <v>0</v>
      </c>
      <c r="C1512" s="312">
        <v>0</v>
      </c>
    </row>
    <row r="1513" spans="1:4" x14ac:dyDescent="0.2">
      <c r="A1513" s="310" t="s">
        <v>2983</v>
      </c>
      <c r="B1513">
        <f>IF(ISBLANK(PedBerMedIV!$E$19),"",PedBerMedIV!$E$19)</f>
        <v>0</v>
      </c>
      <c r="C1513" s="312">
        <v>0</v>
      </c>
    </row>
    <row r="1514" spans="1:4" x14ac:dyDescent="0.2">
      <c r="A1514" s="311" t="s">
        <v>3755</v>
      </c>
      <c r="B1514" s="310">
        <f>IF(ISBLANK(PedBerMedIV!$E$21),"",PedBerMedIV!$E$21)</f>
        <v>0</v>
      </c>
      <c r="C1514" s="312">
        <v>0</v>
      </c>
    </row>
    <row r="1515" spans="1:4" x14ac:dyDescent="0.2">
      <c r="A1515" s="311" t="s">
        <v>3757</v>
      </c>
      <c r="B1515" s="310">
        <f>IF(ISBLANK(PedBerMedIV!$E$22),"",PedBerMedIV!$E$22)</f>
        <v>0</v>
      </c>
      <c r="C1515" s="312">
        <v>0</v>
      </c>
    </row>
    <row r="1516" spans="1:4" x14ac:dyDescent="0.2">
      <c r="A1516" s="311" t="s">
        <v>3758</v>
      </c>
      <c r="B1516" s="310">
        <f>IF(ISBLANK(PedBerMedIV!$E$23),"",PedBerMedIV!$E$23)</f>
        <v>0</v>
      </c>
      <c r="C1516" s="312">
        <v>0</v>
      </c>
    </row>
    <row r="1517" spans="1:4" x14ac:dyDescent="0.2">
      <c r="A1517" s="311" t="s">
        <v>3760</v>
      </c>
      <c r="B1517" s="310">
        <f>IF(ISBLANK(PedBerMedIV!$E$24),"",PedBerMedIV!$E$24)</f>
        <v>0</v>
      </c>
      <c r="C1517" s="312">
        <v>0</v>
      </c>
    </row>
    <row r="1518" spans="1:4" x14ac:dyDescent="0.2">
      <c r="A1518" s="311" t="s">
        <v>3762</v>
      </c>
      <c r="B1518" s="310">
        <f>IF(ISBLANK(PedBerMedIV!$E$25),"",PedBerMedIV!$E$25)</f>
        <v>0</v>
      </c>
      <c r="C1518" s="312">
        <v>0</v>
      </c>
    </row>
    <row r="1519" spans="1:4" x14ac:dyDescent="0.2">
      <c r="A1519" s="310" t="s">
        <v>2984</v>
      </c>
      <c r="B1519" t="str">
        <f>IF(ISBLANK(PedBerMedIV!$C$28),"",PedBerMedIV!$C$28)</f>
        <v/>
      </c>
      <c r="C1519" s="130"/>
    </row>
    <row r="1520" spans="1:4" x14ac:dyDescent="0.2">
      <c r="A1520" s="310" t="s">
        <v>2985</v>
      </c>
      <c r="B1520">
        <f>IF(ISBLANK(PedBerMedIV!$G$5),"",PedBerMedIV!$G$5)</f>
        <v>8</v>
      </c>
      <c r="C1520" s="312">
        <v>0</v>
      </c>
    </row>
    <row r="1521" spans="1:4" x14ac:dyDescent="0.2">
      <c r="A1521" s="310" t="s">
        <v>2986</v>
      </c>
      <c r="B1521">
        <f>IF(ISBLANK(PedBerMedIV!$G$6),"",PedBerMedIV!$G$6)</f>
        <v>0</v>
      </c>
      <c r="C1521" s="312">
        <v>0</v>
      </c>
    </row>
    <row r="1522" spans="1:4" x14ac:dyDescent="0.2">
      <c r="A1522" s="310" t="s">
        <v>2987</v>
      </c>
      <c r="B1522">
        <f>IF(ISBLANK(PedBerMedIV!$G$7),"",PedBerMedIV!$G$7)</f>
        <v>0</v>
      </c>
      <c r="C1522" s="312">
        <v>0</v>
      </c>
    </row>
    <row r="1523" spans="1:4" s="310" customFormat="1" x14ac:dyDescent="0.2">
      <c r="A1523" s="310" t="s">
        <v>2988</v>
      </c>
      <c r="B1523">
        <f>IF(ISBLANK(PedBerMedIV!$G$8),"",PedBerMedIV!$G$8)</f>
        <v>0</v>
      </c>
      <c r="C1523" s="312">
        <v>0</v>
      </c>
      <c r="D1523"/>
    </row>
    <row r="1524" spans="1:4" s="310" customFormat="1" x14ac:dyDescent="0.2">
      <c r="A1524" s="310" t="s">
        <v>2989</v>
      </c>
      <c r="B1524">
        <f>IF(ISBLANK(PedBerMedIV!$G$9),"",PedBerMedIV!$G$9)</f>
        <v>0</v>
      </c>
      <c r="C1524" s="312">
        <v>0</v>
      </c>
    </row>
    <row r="1525" spans="1:4" s="310" customFormat="1" x14ac:dyDescent="0.2">
      <c r="A1525" s="310" t="s">
        <v>2990</v>
      </c>
      <c r="B1525">
        <f>IF(ISBLANK(PedBerMedIV!$G$10),"",PedBerMedIV!$G$10)</f>
        <v>0</v>
      </c>
      <c r="C1525" s="312">
        <v>0</v>
      </c>
    </row>
    <row r="1526" spans="1:4" s="310" customFormat="1" x14ac:dyDescent="0.2">
      <c r="A1526" s="310" t="s">
        <v>2991</v>
      </c>
      <c r="B1526">
        <f>IF(ISBLANK(PedBerMedIV!$G$11),"",PedBerMedIV!$G$11)</f>
        <v>3</v>
      </c>
      <c r="C1526" s="312">
        <v>0</v>
      </c>
    </row>
    <row r="1527" spans="1:4" s="310" customFormat="1" x14ac:dyDescent="0.2">
      <c r="A1527" s="310" t="s">
        <v>2992</v>
      </c>
      <c r="B1527">
        <f>IF(ISBLANK(PedBerMedIV!$G$12),"",PedBerMedIV!$G$12)</f>
        <v>0</v>
      </c>
      <c r="C1527" s="312">
        <v>0</v>
      </c>
    </row>
    <row r="1528" spans="1:4" x14ac:dyDescent="0.2">
      <c r="A1528" s="310" t="s">
        <v>2993</v>
      </c>
      <c r="B1528">
        <f>IF(ISBLANK(PedBerMedIV!$G$13),"",PedBerMedIV!$G$13)</f>
        <v>0</v>
      </c>
      <c r="C1528" s="312">
        <v>0</v>
      </c>
      <c r="D1528" s="310"/>
    </row>
    <row r="1529" spans="1:4" x14ac:dyDescent="0.2">
      <c r="A1529" s="310" t="s">
        <v>2994</v>
      </c>
      <c r="B1529">
        <f>IF(ISBLANK(PedBerMedIV!$G$14),"",PedBerMedIV!$G$14)</f>
        <v>0</v>
      </c>
      <c r="C1529" s="312">
        <v>0</v>
      </c>
    </row>
    <row r="1530" spans="1:4" x14ac:dyDescent="0.2">
      <c r="A1530" s="310" t="s">
        <v>2995</v>
      </c>
      <c r="B1530">
        <f>IF(ISBLANK(PedBerMedIV!$G$15),"",PedBerMedIV!$G$15)</f>
        <v>0</v>
      </c>
      <c r="C1530" s="312">
        <v>0</v>
      </c>
    </row>
    <row r="1531" spans="1:4" x14ac:dyDescent="0.2">
      <c r="A1531" s="310" t="s">
        <v>2996</v>
      </c>
      <c r="B1531">
        <f>IF(ISBLANK(PedBerMedIV!$G$16),"",PedBerMedIV!$G$16)</f>
        <v>0</v>
      </c>
      <c r="C1531" s="312">
        <v>0</v>
      </c>
    </row>
    <row r="1532" spans="1:4" x14ac:dyDescent="0.2">
      <c r="A1532" s="310" t="s">
        <v>2997</v>
      </c>
      <c r="B1532">
        <f>IF(ISBLANK(PedBerMedIV!$G$17),"",PedBerMedIV!$G$17)</f>
        <v>0</v>
      </c>
      <c r="C1532" s="312">
        <v>0</v>
      </c>
    </row>
    <row r="1533" spans="1:4" x14ac:dyDescent="0.2">
      <c r="A1533" s="310" t="s">
        <v>2998</v>
      </c>
      <c r="B1533">
        <f>IF(ISBLANK(PedBerMedIV!$G$18),"",PedBerMedIV!$G$18)</f>
        <v>0</v>
      </c>
      <c r="C1533" s="312">
        <v>0</v>
      </c>
    </row>
    <row r="1534" spans="1:4" x14ac:dyDescent="0.2">
      <c r="A1534" s="310" t="s">
        <v>2999</v>
      </c>
      <c r="B1534">
        <f>IF(ISBLANK(PedBerMedIV!$G$19),"",PedBerMedIV!$G$19)</f>
        <v>0</v>
      </c>
      <c r="C1534" s="312">
        <v>0</v>
      </c>
    </row>
    <row r="1535" spans="1:4" x14ac:dyDescent="0.2">
      <c r="A1535" s="311" t="s">
        <v>3763</v>
      </c>
      <c r="B1535" s="310">
        <f>IF(ISBLANK(PedBerMedIV!$G$21),"",PedBerMedIV!$G$21)</f>
        <v>0</v>
      </c>
      <c r="C1535" s="312">
        <v>0</v>
      </c>
    </row>
    <row r="1536" spans="1:4" x14ac:dyDescent="0.2">
      <c r="A1536" s="311" t="s">
        <v>3764</v>
      </c>
      <c r="B1536" s="310">
        <f>IF(ISBLANK(PedBerMedIV!$G$22),"",PedBerMedIV!$G$22)</f>
        <v>0</v>
      </c>
      <c r="C1536" s="312">
        <v>0</v>
      </c>
    </row>
    <row r="1537" spans="1:4" x14ac:dyDescent="0.2">
      <c r="A1537" s="311" t="s">
        <v>3765</v>
      </c>
      <c r="B1537" s="310">
        <f>IF(ISBLANK(PedBerMedIV!$G$23),"",PedBerMedIV!$G$23)</f>
        <v>0</v>
      </c>
      <c r="C1537" s="312">
        <v>0</v>
      </c>
    </row>
    <row r="1538" spans="1:4" x14ac:dyDescent="0.2">
      <c r="A1538" s="311" t="s">
        <v>3766</v>
      </c>
      <c r="B1538" s="310">
        <f>IF(ISBLANK(PedBerMedIV!$G$24),"",PedBerMedIV!$G$24)</f>
        <v>0</v>
      </c>
      <c r="C1538" s="312">
        <v>0</v>
      </c>
    </row>
    <row r="1539" spans="1:4" x14ac:dyDescent="0.2">
      <c r="A1539" s="311" t="s">
        <v>3767</v>
      </c>
      <c r="B1539" s="310">
        <f>IF(ISBLANK(PedBerMedIV!$G$25),"",PedBerMedIV!$G$25)</f>
        <v>0</v>
      </c>
      <c r="C1539" s="312">
        <v>0</v>
      </c>
    </row>
    <row r="1540" spans="1:4" x14ac:dyDescent="0.2">
      <c r="A1540" s="310" t="s">
        <v>3000</v>
      </c>
      <c r="B1540">
        <f>IF(ISBLANK(PedBerMedIV!$D$5),"",PedBerMedIV!$D$5)</f>
        <v>0</v>
      </c>
      <c r="C1540" s="312">
        <v>0</v>
      </c>
    </row>
    <row r="1541" spans="1:4" x14ac:dyDescent="0.2">
      <c r="A1541" s="310" t="s">
        <v>3001</v>
      </c>
      <c r="B1541">
        <f>IF(ISBLANK(PedBerMedIV!$D$6),"",PedBerMedIV!$D$6)</f>
        <v>0</v>
      </c>
      <c r="C1541" s="312">
        <v>0</v>
      </c>
    </row>
    <row r="1542" spans="1:4" x14ac:dyDescent="0.2">
      <c r="A1542" s="310" t="s">
        <v>3002</v>
      </c>
      <c r="B1542">
        <f>IF(ISBLANK(PedBerMedIV!$D$7),"",PedBerMedIV!$D$7)</f>
        <v>0</v>
      </c>
      <c r="C1542" s="312">
        <v>0</v>
      </c>
    </row>
    <row r="1543" spans="1:4" s="310" customFormat="1" x14ac:dyDescent="0.2">
      <c r="A1543" s="310" t="s">
        <v>3003</v>
      </c>
      <c r="B1543">
        <f>IF(ISBLANK(PedBerMedIV!$D$8),"",PedBerMedIV!$D$8)</f>
        <v>0</v>
      </c>
      <c r="C1543" s="312">
        <v>0</v>
      </c>
      <c r="D1543"/>
    </row>
    <row r="1544" spans="1:4" s="310" customFormat="1" x14ac:dyDescent="0.2">
      <c r="A1544" s="310" t="s">
        <v>3004</v>
      </c>
      <c r="B1544">
        <f>IF(ISBLANK(PedBerMedIV!$D$9),"",PedBerMedIV!$D$9)</f>
        <v>0</v>
      </c>
      <c r="C1544" s="312">
        <v>0</v>
      </c>
    </row>
    <row r="1545" spans="1:4" s="310" customFormat="1" x14ac:dyDescent="0.2">
      <c r="A1545" s="310" t="s">
        <v>3005</v>
      </c>
      <c r="B1545">
        <f>IF(ISBLANK(PedBerMedIV!$D$10),"",PedBerMedIV!$D$10)</f>
        <v>0</v>
      </c>
      <c r="C1545" s="312">
        <v>0</v>
      </c>
    </row>
    <row r="1546" spans="1:4" s="310" customFormat="1" x14ac:dyDescent="0.2">
      <c r="A1546" s="310" t="s">
        <v>3006</v>
      </c>
      <c r="B1546">
        <f>IF(ISBLANK(PedBerMedIV!$D$11),"",PedBerMedIV!$D$11)</f>
        <v>0</v>
      </c>
      <c r="C1546" s="312">
        <v>0</v>
      </c>
    </row>
    <row r="1547" spans="1:4" s="310" customFormat="1" x14ac:dyDescent="0.2">
      <c r="A1547" s="310" t="s">
        <v>3007</v>
      </c>
      <c r="B1547">
        <f>IF(ISBLANK(PedBerMedIV!$D$12),"",PedBerMedIV!$D$12)</f>
        <v>0</v>
      </c>
      <c r="C1547" s="312">
        <v>0</v>
      </c>
    </row>
    <row r="1548" spans="1:4" x14ac:dyDescent="0.2">
      <c r="A1548" s="310" t="s">
        <v>3008</v>
      </c>
      <c r="B1548">
        <f>IF(ISBLANK(PedBerMedIV!$D$13),"",PedBerMedIV!$D$13)</f>
        <v>0</v>
      </c>
      <c r="C1548" s="312">
        <v>0</v>
      </c>
      <c r="D1548" s="310"/>
    </row>
    <row r="1549" spans="1:4" x14ac:dyDescent="0.2">
      <c r="A1549" s="310" t="s">
        <v>3009</v>
      </c>
      <c r="B1549">
        <f>IF(ISBLANK(PedBerMedIV!$D$14),"",PedBerMedIV!$D$14)</f>
        <v>0</v>
      </c>
      <c r="C1549" s="312">
        <v>0</v>
      </c>
    </row>
    <row r="1550" spans="1:4" x14ac:dyDescent="0.2">
      <c r="A1550" s="310" t="s">
        <v>3010</v>
      </c>
      <c r="B1550">
        <f>IF(ISBLANK(PedBerMedIV!$D$15),"",PedBerMedIV!$D$15)</f>
        <v>0</v>
      </c>
      <c r="C1550" s="312">
        <v>0</v>
      </c>
    </row>
    <row r="1551" spans="1:4" x14ac:dyDescent="0.2">
      <c r="A1551" s="310" t="s">
        <v>3011</v>
      </c>
      <c r="B1551">
        <f>IF(ISBLANK(PedBerMedIV!$D$16),"",PedBerMedIV!$D$16)</f>
        <v>0</v>
      </c>
      <c r="C1551" s="312">
        <v>0</v>
      </c>
    </row>
    <row r="1552" spans="1:4" x14ac:dyDescent="0.2">
      <c r="A1552" s="310" t="s">
        <v>3012</v>
      </c>
      <c r="B1552">
        <f>IF(ISBLANK(PedBerMedIV!$D$17),"",PedBerMedIV!$D$17)</f>
        <v>0</v>
      </c>
      <c r="C1552" s="312">
        <v>0</v>
      </c>
    </row>
    <row r="1553" spans="1:3" x14ac:dyDescent="0.2">
      <c r="A1553" s="310" t="s">
        <v>3013</v>
      </c>
      <c r="B1553">
        <f>IF(ISBLANK(PedBerMedIV!$D$18),"",PedBerMedIV!$D$18)</f>
        <v>0</v>
      </c>
      <c r="C1553" s="312">
        <v>0</v>
      </c>
    </row>
    <row r="1554" spans="1:3" x14ac:dyDescent="0.2">
      <c r="A1554" s="310" t="s">
        <v>3014</v>
      </c>
      <c r="B1554">
        <f>IF(ISBLANK(PedBerMedIV!$D$19),"",PedBerMedIV!$D$19)</f>
        <v>0</v>
      </c>
      <c r="C1554" s="312">
        <v>0</v>
      </c>
    </row>
    <row r="1555" spans="1:3" x14ac:dyDescent="0.2">
      <c r="A1555" s="311" t="s">
        <v>3769</v>
      </c>
      <c r="B1555" s="310">
        <f>IF(ISBLANK(PedBerMedIV!$D$21),"",PedBerMedIV!$D$21)</f>
        <v>0</v>
      </c>
      <c r="C1555" s="312">
        <v>0</v>
      </c>
    </row>
    <row r="1556" spans="1:3" x14ac:dyDescent="0.2">
      <c r="A1556" s="311" t="s">
        <v>3771</v>
      </c>
      <c r="B1556" s="310">
        <f>IF(ISBLANK(PedBerMedIV!$D$22),"",PedBerMedIV!$D$22)</f>
        <v>0</v>
      </c>
      <c r="C1556" s="312">
        <v>0</v>
      </c>
    </row>
    <row r="1557" spans="1:3" x14ac:dyDescent="0.2">
      <c r="A1557" s="311" t="s">
        <v>3772</v>
      </c>
      <c r="B1557" s="310">
        <f>IF(ISBLANK(PedBerMedIV!$D$23),"",PedBerMedIV!$D$23)</f>
        <v>0</v>
      </c>
      <c r="C1557" s="312">
        <v>0</v>
      </c>
    </row>
    <row r="1558" spans="1:3" x14ac:dyDescent="0.2">
      <c r="A1558" s="311" t="s">
        <v>3774</v>
      </c>
      <c r="B1558" s="310">
        <f>IF(ISBLANK(PedBerMedIV!$D$24),"",PedBerMedIV!$D$24)</f>
        <v>0</v>
      </c>
      <c r="C1558" s="312">
        <v>0</v>
      </c>
    </row>
    <row r="1559" spans="1:3" x14ac:dyDescent="0.2">
      <c r="A1559" s="311" t="s">
        <v>3776</v>
      </c>
      <c r="B1559" s="310">
        <f>IF(ISBLANK(PedBerMedIV!$D$25),"",PedBerMedIV!$D$25)</f>
        <v>0</v>
      </c>
      <c r="C1559" s="312">
        <v>0</v>
      </c>
    </row>
    <row r="1560" spans="1:3" x14ac:dyDescent="0.2">
      <c r="A1560" s="310" t="s">
        <v>3015</v>
      </c>
      <c r="B1560">
        <f>IF(ISBLANK(PedBerIVenPM!$H$2),"",PedBerIVenPM!$H$2)</f>
        <v>1</v>
      </c>
      <c r="C1560">
        <v>1</v>
      </c>
    </row>
    <row r="1561" spans="1:3" x14ac:dyDescent="0.2">
      <c r="A1561" s="310" t="s">
        <v>3016</v>
      </c>
      <c r="B1561">
        <f>IF(ISBLANK(PedBerIVenPM!$K$2),"",PedBerIVenPM!$K$2)</f>
        <v>1</v>
      </c>
      <c r="C1561">
        <v>1</v>
      </c>
    </row>
    <row r="1562" spans="1:3" x14ac:dyDescent="0.2">
      <c r="A1562" s="310" t="s">
        <v>3017</v>
      </c>
      <c r="B1562">
        <f>IF(ISBLANK(PedBerIVenPM!$K$5),"",PedBerIVenPM!$K$5)</f>
        <v>2</v>
      </c>
      <c r="C1562">
        <v>2</v>
      </c>
    </row>
    <row r="1563" spans="1:3" x14ac:dyDescent="0.2">
      <c r="A1563" s="310" t="s">
        <v>3018</v>
      </c>
      <c r="B1563">
        <f>IF(ISBLANK(PedBerIVenPM!$K$4),"",PedBerIVenPM!$K$4)</f>
        <v>20</v>
      </c>
      <c r="C1563">
        <v>20</v>
      </c>
    </row>
    <row r="1564" spans="1:3" x14ac:dyDescent="0.2">
      <c r="A1564" s="310" t="s">
        <v>3019</v>
      </c>
      <c r="B1564">
        <f>IF(ISBLANK(PedBerIVenPM!$K$1),"",PedBerIVenPM!$K$1)</f>
        <v>30</v>
      </c>
      <c r="C1564">
        <v>30</v>
      </c>
    </row>
    <row r="1565" spans="1:3" x14ac:dyDescent="0.2">
      <c r="A1565" s="310" t="s">
        <v>3020</v>
      </c>
      <c r="B1565">
        <f>IF(ISBLANK(PedBerIVenPM!$I$2),"",PedBerIVenPM!$I$2)</f>
        <v>1</v>
      </c>
      <c r="C1565">
        <v>1</v>
      </c>
    </row>
    <row r="1566" spans="1:3" x14ac:dyDescent="0.2">
      <c r="A1566" s="310" t="s">
        <v>3021</v>
      </c>
      <c r="B1566">
        <f>IF(ISBLANK(PedBerIVenPM!$K$3),"",PedBerIVenPM!$K$3)</f>
        <v>1</v>
      </c>
      <c r="C1566">
        <v>1</v>
      </c>
    </row>
    <row r="1567" spans="1:3" x14ac:dyDescent="0.2">
      <c r="A1567" s="310" t="s">
        <v>3022</v>
      </c>
      <c r="B1567">
        <f>IF(ISBLANK(PedBerIVenPM!$K$6),"",PedBerIVenPM!$K$6)</f>
        <v>10</v>
      </c>
      <c r="C1567">
        <v>10</v>
      </c>
    </row>
    <row r="1568" spans="1:3" x14ac:dyDescent="0.2">
      <c r="A1568" s="310" t="s">
        <v>3023</v>
      </c>
      <c r="B1568" t="b">
        <f>IF(ISBLANK(PedBerTPN!$C$9),"",PedBerTPN!$C$9)</f>
        <v>0</v>
      </c>
      <c r="C1568" t="b">
        <v>0</v>
      </c>
    </row>
    <row r="1569" spans="1:3" x14ac:dyDescent="0.2">
      <c r="A1569" s="310" t="s">
        <v>3024</v>
      </c>
      <c r="B1569">
        <f>IF(ISBLANK(PedBerTPN!$E$9),"",PedBerTPN!$E$9)</f>
        <v>0</v>
      </c>
      <c r="C1569" s="312">
        <v>0</v>
      </c>
    </row>
    <row r="1570" spans="1:3" x14ac:dyDescent="0.2">
      <c r="A1570" s="310" t="s">
        <v>3025</v>
      </c>
      <c r="B1570" t="b">
        <f>IF(ISBLANK(PedBerTPN!$C$8),"",PedBerTPN!$C$8)</f>
        <v>0</v>
      </c>
      <c r="C1570" t="b">
        <v>0</v>
      </c>
    </row>
    <row r="1571" spans="1:3" x14ac:dyDescent="0.2">
      <c r="A1571" s="310" t="s">
        <v>3026</v>
      </c>
      <c r="B1571" t="b">
        <f>IF(ISBLANK(PedBerTPN!$C$22),"",PedBerTPN!$C$22)</f>
        <v>0</v>
      </c>
      <c r="C1571" t="b">
        <v>0</v>
      </c>
    </row>
    <row r="1572" spans="1:3" x14ac:dyDescent="0.2">
      <c r="A1572" s="310" t="s">
        <v>3027</v>
      </c>
      <c r="B1572">
        <f>IF(ISBLANK(PedBerTPN!$E$8),"",PedBerTPN!$E$8)</f>
        <v>0</v>
      </c>
      <c r="C1572" s="312">
        <v>0</v>
      </c>
    </row>
    <row r="1573" spans="1:3" x14ac:dyDescent="0.2">
      <c r="A1573" s="310" t="s">
        <v>3028</v>
      </c>
      <c r="B1573">
        <f>IF(ISBLANK(PedBerTPN!$E$22),"",PedBerTPN!$E$22)</f>
        <v>0</v>
      </c>
      <c r="C1573" s="312">
        <v>0</v>
      </c>
    </row>
    <row r="1574" spans="1:3" x14ac:dyDescent="0.2">
      <c r="A1574" s="310" t="s">
        <v>3029</v>
      </c>
      <c r="B1574">
        <f>IF(ISBLANK(PedBerTPN!$B$4),"",PedBerTPN!$B$4)</f>
        <v>1</v>
      </c>
      <c r="C1574">
        <v>1</v>
      </c>
    </row>
    <row r="1575" spans="1:3" x14ac:dyDescent="0.2">
      <c r="A1575" s="310" t="s">
        <v>3030</v>
      </c>
      <c r="B1575" t="b">
        <f>IF(ISBLANK(PedBerTPN!$C$11),"",PedBerTPN!$C$11)</f>
        <v>0</v>
      </c>
      <c r="C1575" t="b">
        <v>0</v>
      </c>
    </row>
    <row r="1576" spans="1:3" x14ac:dyDescent="0.2">
      <c r="A1576" s="310" t="s">
        <v>3031</v>
      </c>
      <c r="B1576">
        <f>IF(ISBLANK(PedBerTPN!$E$11),"",PedBerTPN!$E$11)</f>
        <v>0</v>
      </c>
      <c r="C1576" s="312">
        <v>0</v>
      </c>
    </row>
    <row r="1577" spans="1:3" x14ac:dyDescent="0.2">
      <c r="A1577" s="310" t="s">
        <v>3032</v>
      </c>
      <c r="B1577">
        <f>IF(ISBLANK(PedBerTPN!$D$12),"",PedBerTPN!$D$12)</f>
        <v>0</v>
      </c>
      <c r="C1577" s="312">
        <v>0</v>
      </c>
    </row>
    <row r="1578" spans="1:3" x14ac:dyDescent="0.2">
      <c r="A1578" s="310" t="s">
        <v>3033</v>
      </c>
      <c r="B1578" t="b">
        <f>IF(ISBLANK(PedBerTPN!$C$10),"",PedBerTPN!$C$10)</f>
        <v>0</v>
      </c>
      <c r="C1578" t="b">
        <v>0</v>
      </c>
    </row>
    <row r="1579" spans="1:3" x14ac:dyDescent="0.2">
      <c r="A1579" s="310" t="s">
        <v>3034</v>
      </c>
      <c r="B1579">
        <f>IF(ISBLANK(PedBerTPN!$E$10),"",PedBerTPN!$E$10)</f>
        <v>0</v>
      </c>
      <c r="C1579" s="312">
        <v>0</v>
      </c>
    </row>
    <row r="1580" spans="1:3" x14ac:dyDescent="0.2">
      <c r="A1580" s="310" t="s">
        <v>3035</v>
      </c>
      <c r="B1580" t="b">
        <f>IF(ISBLANK(PedBerTPN!$C$7),"",PedBerTPN!$C$7)</f>
        <v>0</v>
      </c>
      <c r="C1580" t="b">
        <v>0</v>
      </c>
    </row>
    <row r="1581" spans="1:3" x14ac:dyDescent="0.2">
      <c r="A1581" s="310" t="s">
        <v>3036</v>
      </c>
      <c r="B1581" t="b">
        <f>IF(ISBLANK(PedBerTPN!$C$21),"",PedBerTPN!$C$21)</f>
        <v>0</v>
      </c>
      <c r="C1581" s="310" t="b">
        <v>0</v>
      </c>
    </row>
    <row r="1582" spans="1:3" x14ac:dyDescent="0.2">
      <c r="A1582" s="310" t="s">
        <v>3037</v>
      </c>
      <c r="B1582">
        <f>IF(ISBLANK(PedBerTPN!$E$7),"",PedBerTPN!$E$7)</f>
        <v>0</v>
      </c>
      <c r="C1582" s="312">
        <v>0</v>
      </c>
    </row>
    <row r="1583" spans="1:3" x14ac:dyDescent="0.2">
      <c r="A1583" s="310" t="s">
        <v>3038</v>
      </c>
      <c r="B1583">
        <f>IF(ISBLANK(PedBerTPN!$E$21),"",PedBerTPN!$E$21)</f>
        <v>0</v>
      </c>
      <c r="C1583" s="312">
        <v>0</v>
      </c>
    </row>
    <row r="1584" spans="1:3" x14ac:dyDescent="0.2">
      <c r="A1584" s="310" t="s">
        <v>3039</v>
      </c>
      <c r="B1584">
        <f>IF(ISBLANK(GlobBerOpm!$B$3),"",GlobBerOpm!$B$3)</f>
        <v>0</v>
      </c>
      <c r="C1584" s="312">
        <v>0</v>
      </c>
    </row>
    <row r="1585" spans="1:3" x14ac:dyDescent="0.2">
      <c r="A1585" s="310" t="s">
        <v>3040</v>
      </c>
      <c r="B1585">
        <f>IF(ISBLANK(PedBerTPN!$E$5),"",PedBerTPN!$E$5)</f>
        <v>0</v>
      </c>
      <c r="C1585" s="312">
        <v>0</v>
      </c>
    </row>
    <row r="1586" spans="1:3" x14ac:dyDescent="0.2">
      <c r="A1586" s="310" t="s">
        <v>3041</v>
      </c>
      <c r="B1586">
        <f>IF(ISBLANK(PedBerTPN!$C$16),"",PedBerTPN!$C$16)</f>
        <v>0</v>
      </c>
      <c r="C1586" s="312">
        <v>0</v>
      </c>
    </row>
    <row r="1587" spans="1:3" x14ac:dyDescent="0.2">
      <c r="A1587" s="310" t="s">
        <v>3042</v>
      </c>
      <c r="B1587" t="b">
        <f>IF(ISBLANK(PedBerTPN!$C$15),"",PedBerTPN!$C$15)</f>
        <v>0</v>
      </c>
      <c r="C1587" t="b">
        <v>0</v>
      </c>
    </row>
    <row r="1588" spans="1:3" x14ac:dyDescent="0.2">
      <c r="A1588" s="310" t="s">
        <v>3043</v>
      </c>
      <c r="B1588">
        <f>IF(ISBLANK(PedBerTPN!$E$15),"",PedBerTPN!$E$15)</f>
        <v>1</v>
      </c>
      <c r="C1588">
        <v>1</v>
      </c>
    </row>
    <row r="1589" spans="1:3" x14ac:dyDescent="0.2">
      <c r="A1589" s="310" t="s">
        <v>3044</v>
      </c>
      <c r="B1589">
        <f>IF(ISBLANK(PedBerTPN!$B$6),"",PedBerTPN!$B$6)</f>
        <v>1</v>
      </c>
      <c r="C1589">
        <v>1</v>
      </c>
    </row>
    <row r="1590" spans="1:3" x14ac:dyDescent="0.2">
      <c r="A1590" s="310" t="s">
        <v>3045</v>
      </c>
      <c r="B1590">
        <f>IF(ISBLANK(PedBerTPN!$D$3),"",PedBerTPN!$D$3)</f>
        <v>0</v>
      </c>
      <c r="C1590" s="312">
        <v>0</v>
      </c>
    </row>
    <row r="1591" spans="1:3" x14ac:dyDescent="0.2">
      <c r="A1591" s="310" t="s">
        <v>3046</v>
      </c>
      <c r="B1591">
        <f>IF(ISBLANK(PedBerTPN!$B$20),"",PedBerTPN!$B$20)</f>
        <v>1</v>
      </c>
      <c r="C1591">
        <v>1</v>
      </c>
    </row>
    <row r="1592" spans="1:3" x14ac:dyDescent="0.2">
      <c r="A1592" s="310" t="s">
        <v>3047</v>
      </c>
      <c r="B1592">
        <f>IF(ISBLANK(PedBerTPN!$D$19),"",PedBerTPN!$D$19)</f>
        <v>0</v>
      </c>
      <c r="C1592" s="312">
        <v>0</v>
      </c>
    </row>
    <row r="1593" spans="1:3" x14ac:dyDescent="0.2">
      <c r="A1593" s="310" t="s">
        <v>3048</v>
      </c>
      <c r="B1593" t="b">
        <f>IF(ISBLANK(PedBerTPN!$C$14),"",PedBerTPN!$C$14)</f>
        <v>0</v>
      </c>
      <c r="C1593" t="b">
        <v>0</v>
      </c>
    </row>
    <row r="1594" spans="1:3" x14ac:dyDescent="0.2">
      <c r="A1594" s="310" t="s">
        <v>3049</v>
      </c>
      <c r="B1594">
        <f>IF(ISBLANK(PedBerTPN!$E$14),"",PedBerTPN!$E$14)</f>
        <v>1</v>
      </c>
      <c r="C1594">
        <v>1</v>
      </c>
    </row>
    <row r="1595" spans="1:3" x14ac:dyDescent="0.2">
      <c r="A1595" s="310" t="s">
        <v>3050</v>
      </c>
      <c r="B1595">
        <f>IF(ISBLANK(PedBerTPN!$E$4),"",PedBerTPN!$E$4)</f>
        <v>0</v>
      </c>
      <c r="C1595" s="312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4"/>
  <sheetViews>
    <sheetView workbookViewId="0">
      <selection activeCell="B10" sqref="B10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51" t="s">
        <v>370</v>
      </c>
    </row>
    <row r="2" spans="1:7" x14ac:dyDescent="0.2">
      <c r="A2" s="311" t="s">
        <v>489</v>
      </c>
    </row>
    <row r="3" spans="1:7" s="310" customFormat="1" x14ac:dyDescent="0.2">
      <c r="A3" t="s">
        <v>206</v>
      </c>
      <c r="B3"/>
    </row>
    <row r="4" spans="1:7" s="310" customFormat="1" x14ac:dyDescent="0.2">
      <c r="A4" t="s">
        <v>207</v>
      </c>
      <c r="B4"/>
    </row>
    <row r="5" spans="1:7" x14ac:dyDescent="0.2">
      <c r="A5" s="311" t="s">
        <v>3146</v>
      </c>
      <c r="B5" s="24">
        <v>1462</v>
      </c>
      <c r="C5" s="4"/>
      <c r="D5" s="4"/>
      <c r="E5" s="4"/>
      <c r="G5" s="4"/>
    </row>
    <row r="6" spans="1:7" x14ac:dyDescent="0.2">
      <c r="A6" t="s">
        <v>267</v>
      </c>
      <c r="B6" s="122">
        <v>10</v>
      </c>
      <c r="C6" s="4"/>
      <c r="D6" s="4"/>
      <c r="E6" s="4"/>
      <c r="G6" s="4"/>
    </row>
    <row r="7" spans="1:7" x14ac:dyDescent="0.2">
      <c r="A7" t="s">
        <v>128</v>
      </c>
      <c r="B7">
        <v>0</v>
      </c>
    </row>
    <row r="8" spans="1:7" x14ac:dyDescent="0.2">
      <c r="A8" s="311" t="s">
        <v>3145</v>
      </c>
      <c r="B8">
        <v>0</v>
      </c>
    </row>
    <row r="9" spans="1:7" x14ac:dyDescent="0.2">
      <c r="A9" s="311" t="s">
        <v>3144</v>
      </c>
      <c r="B9" s="17">
        <v>1462</v>
      </c>
      <c r="E9" s="128"/>
    </row>
    <row r="10" spans="1:7" s="310" customFormat="1" x14ac:dyDescent="0.2">
      <c r="A10" s="311" t="s">
        <v>4639</v>
      </c>
      <c r="B10" s="17">
        <v>0</v>
      </c>
      <c r="E10" s="128"/>
    </row>
    <row r="11" spans="1:7" s="310" customFormat="1" x14ac:dyDescent="0.2">
      <c r="A11" s="311" t="s">
        <v>4640</v>
      </c>
      <c r="B11" s="17">
        <v>0</v>
      </c>
      <c r="E11" s="128"/>
    </row>
    <row r="12" spans="1:7" x14ac:dyDescent="0.2">
      <c r="E12" s="151"/>
    </row>
    <row r="13" spans="1:7" x14ac:dyDescent="0.2">
      <c r="A13" t="s">
        <v>205</v>
      </c>
      <c r="B13" s="24">
        <f ca="1" xml:space="preserve"> TODAY()</f>
        <v>42755</v>
      </c>
    </row>
    <row r="14" spans="1:7" x14ac:dyDescent="0.2">
      <c r="A14" t="s">
        <v>437</v>
      </c>
      <c r="B14" s="128"/>
      <c r="E14" s="151"/>
    </row>
    <row r="15" spans="1:7" s="310" customFormat="1" x14ac:dyDescent="0.2">
      <c r="A15" s="311" t="s">
        <v>3793</v>
      </c>
      <c r="B15" s="128" t="str">
        <f>IF(IsEmptyDate(_Pat_OpnDatum),"",DateToString(_Pat_OpnDatum)&amp;" "&amp;B22)</f>
        <v/>
      </c>
      <c r="E15" s="151"/>
    </row>
    <row r="16" spans="1:7" s="310" customFormat="1" x14ac:dyDescent="0.2">
      <c r="A16" s="311" t="s">
        <v>3146</v>
      </c>
      <c r="B16" s="128" t="str">
        <f ca="1">IF(NOW()-__4_GebDatum&gt;100,"",TEXT(__4_GebDatum,"dd-mmm-yy"))</f>
        <v/>
      </c>
      <c r="E16" s="151"/>
    </row>
    <row r="17" spans="1:5" s="310" customFormat="1" x14ac:dyDescent="0.2">
      <c r="A17" s="311" t="s">
        <v>3794</v>
      </c>
      <c r="B17" s="17" t="str">
        <f>IF(__0_PatNum&gt;0,__0_PatNum,"")</f>
        <v/>
      </c>
      <c r="E17" s="151"/>
    </row>
    <row r="18" spans="1:5" x14ac:dyDescent="0.2">
      <c r="A18" s="311" t="s">
        <v>3789</v>
      </c>
      <c r="B18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9" spans="1:5" s="310" customFormat="1" x14ac:dyDescent="0.2">
      <c r="A19" s="311" t="s">
        <v>3790</v>
      </c>
      <c r="B19" s="31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0" spans="1:5" s="310" customFormat="1" x14ac:dyDescent="0.2">
      <c r="A20" s="311" t="s">
        <v>3143</v>
      </c>
      <c r="B20" s="310" t="str">
        <f ca="1">IF(Var_AfspraakDatum-__4_GebDatum&lt;=28,B19,B18)</f>
        <v/>
      </c>
    </row>
    <row r="21" spans="1:5" x14ac:dyDescent="0.2">
      <c r="A21" s="311" t="s">
        <v>3788</v>
      </c>
      <c r="B21" t="str">
        <f>IF(__2_AchterNaam="","",__2_AchterNaam&amp;", "&amp;__3_VoorNaam)</f>
        <v/>
      </c>
    </row>
    <row r="22" spans="1:5" x14ac:dyDescent="0.2">
      <c r="A22" s="311" t="s">
        <v>3791</v>
      </c>
      <c r="B22" t="str">
        <f ca="1">IF(AND(__4_GebDatum&gt;0,_Pat_OpnDatum&gt;0),"(dag "&amp;Var_AfspraakDatum-_Pat_OpnDatum+1&amp;")", "")</f>
        <v>(dag 41294)</v>
      </c>
    </row>
    <row r="23" spans="1:5" x14ac:dyDescent="0.2">
      <c r="A23" s="311" t="s">
        <v>267</v>
      </c>
      <c r="B23" t="str">
        <f>IF(_Pat_Gewicht&gt;0,"Gewicht: "&amp;_Pat_Gewicht/10&amp;" kg", "Gewicht:")</f>
        <v>Gewicht: 1 kg</v>
      </c>
    </row>
    <row r="24" spans="1:5" x14ac:dyDescent="0.2">
      <c r="A24" s="311" t="s">
        <v>3792</v>
      </c>
      <c r="B24" t="str">
        <f>IF(_Pat_Lengte&gt;0,"Lengte: "&amp;_Pat_Lengte&amp;" cm","Lengte:")</f>
        <v>Lengte:</v>
      </c>
    </row>
    <row r="25" spans="1:5" x14ac:dyDescent="0.2">
      <c r="A25" s="311" t="s">
        <v>52</v>
      </c>
      <c r="B25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9" spans="1:5" x14ac:dyDescent="0.2">
      <c r="B29" s="128"/>
    </row>
    <row r="30" spans="1:5" x14ac:dyDescent="0.2">
      <c r="B30" s="128"/>
    </row>
    <row r="34" spans="2:2" x14ac:dyDescent="0.2">
      <c r="B34" s="12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R18" sqref="R18"/>
    </sheetView>
  </sheetViews>
  <sheetFormatPr defaultColWidth="9.140625" defaultRowHeight="12.75" x14ac:dyDescent="0.2"/>
  <cols>
    <col min="1" max="1" width="4.7109375" style="771" customWidth="1"/>
    <col min="2" max="2" width="6" style="771" customWidth="1"/>
    <col min="3" max="3" width="7.5703125" style="771" customWidth="1"/>
    <col min="4" max="4" width="4.28515625" style="771" customWidth="1"/>
    <col min="5" max="5" width="27" style="771" customWidth="1"/>
    <col min="6" max="6" width="13.42578125" style="771" customWidth="1"/>
    <col min="7" max="7" width="11.140625" style="771" customWidth="1"/>
    <col min="8" max="8" width="16.7109375" style="771" customWidth="1"/>
    <col min="9" max="9" width="16.5703125" style="771" customWidth="1"/>
    <col min="10" max="10" width="20.140625" style="771" customWidth="1"/>
    <col min="11" max="11" width="13.28515625" style="771" customWidth="1"/>
    <col min="12" max="12" width="9.140625" style="771"/>
    <col min="13" max="13" width="12.7109375" style="771" customWidth="1"/>
    <col min="14" max="15" width="9.140625" style="771"/>
    <col min="16" max="17" width="9.42578125" style="771" bestFit="1" customWidth="1"/>
    <col min="18" max="16384" width="9.140625" style="771"/>
  </cols>
  <sheetData>
    <row r="1" spans="1:84" s="508" customFormat="1" ht="17.25" customHeight="1" x14ac:dyDescent="0.2">
      <c r="A1" s="769"/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P1" s="506"/>
      <c r="Q1" s="506"/>
      <c r="R1" s="506"/>
    </row>
    <row r="2" spans="1:84" s="508" customFormat="1" ht="17.25" customHeight="1" x14ac:dyDescent="0.2">
      <c r="B2" s="800"/>
      <c r="C2" s="800"/>
      <c r="D2" s="800"/>
      <c r="E2" s="497" t="s">
        <v>297</v>
      </c>
      <c r="F2" s="498">
        <f ca="1">Var_AfspraakDatum</f>
        <v>42755</v>
      </c>
      <c r="G2" s="499"/>
      <c r="H2" s="497" t="s">
        <v>3989</v>
      </c>
      <c r="I2" s="770" t="str">
        <f>PatDetails!B15</f>
        <v/>
      </c>
      <c r="J2" s="500" t="str">
        <f>PatDetails!B23</f>
        <v>Gewicht: 1 kg</v>
      </c>
      <c r="K2" s="800"/>
      <c r="L2" s="497" t="s">
        <v>490</v>
      </c>
      <c r="M2" s="497">
        <f>__1_Bed</f>
        <v>0</v>
      </c>
      <c r="N2" s="800"/>
      <c r="P2" s="506"/>
      <c r="Q2" s="506"/>
      <c r="R2" s="506"/>
    </row>
    <row r="3" spans="1:84" s="508" customFormat="1" ht="17.25" customHeight="1" x14ac:dyDescent="0.2">
      <c r="B3" s="800"/>
      <c r="C3" s="800"/>
      <c r="D3" s="525"/>
      <c r="E3" s="497" t="s">
        <v>28</v>
      </c>
      <c r="F3" s="501" t="str">
        <f>PatDetails!B21</f>
        <v/>
      </c>
      <c r="G3" s="501"/>
      <c r="H3" s="497" t="s">
        <v>3990</v>
      </c>
      <c r="I3" s="770" t="str">
        <f ca="1">PatDetails!B16</f>
        <v/>
      </c>
      <c r="J3" s="500" t="str">
        <f>PatDetails!B24</f>
        <v>Lengte:</v>
      </c>
      <c r="K3" s="800"/>
      <c r="L3" s="497"/>
      <c r="M3" s="497"/>
      <c r="N3" s="800"/>
      <c r="P3" s="506"/>
      <c r="Q3" s="506"/>
      <c r="R3" s="506"/>
    </row>
    <row r="4" spans="1:84" s="508" customFormat="1" ht="17.25" customHeight="1" x14ac:dyDescent="0.2">
      <c r="B4" s="800"/>
      <c r="C4" s="800"/>
      <c r="D4" s="800"/>
      <c r="E4" s="502" t="s">
        <v>3984</v>
      </c>
      <c r="F4" s="503" t="str">
        <f>PatDetails!B17</f>
        <v/>
      </c>
      <c r="G4" s="499"/>
      <c r="H4" s="497" t="s">
        <v>268</v>
      </c>
      <c r="I4" s="800" t="str">
        <f ca="1">PatDetails!B20</f>
        <v/>
      </c>
      <c r="J4" s="504" t="str">
        <f>PatDetails!B25</f>
        <v>Lichamelijk oppervlak:</v>
      </c>
      <c r="K4" s="800"/>
      <c r="L4" s="497"/>
      <c r="M4" s="497"/>
      <c r="N4" s="800"/>
      <c r="P4" s="507"/>
      <c r="Q4" s="507"/>
      <c r="R4" s="507"/>
    </row>
    <row r="5" spans="1:84" s="508" customFormat="1" ht="8.1" customHeight="1" x14ac:dyDescent="0.2">
      <c r="B5" s="800"/>
      <c r="C5" s="800"/>
      <c r="D5" s="800"/>
      <c r="E5" s="497"/>
      <c r="F5" s="497"/>
      <c r="G5" s="499"/>
      <c r="H5" s="497"/>
      <c r="I5" s="800"/>
      <c r="J5" s="504"/>
      <c r="K5" s="497"/>
      <c r="L5" s="497"/>
      <c r="M5" s="497"/>
      <c r="N5" s="800"/>
      <c r="P5" s="507"/>
      <c r="Q5" s="507"/>
      <c r="R5" s="507"/>
    </row>
    <row r="6" spans="1:84" ht="8.1" customHeight="1" x14ac:dyDescent="0.2">
      <c r="C6" s="510"/>
      <c r="D6" s="511"/>
      <c r="E6" s="802"/>
      <c r="F6" s="512"/>
      <c r="G6" s="513"/>
      <c r="H6" s="802"/>
      <c r="I6" s="514"/>
      <c r="J6" s="802"/>
      <c r="K6" s="802"/>
      <c r="L6" s="802"/>
      <c r="M6" s="802"/>
      <c r="N6" s="802"/>
      <c r="O6" s="511"/>
      <c r="P6" s="507"/>
      <c r="Q6" s="507"/>
      <c r="R6" s="507"/>
      <c r="S6" s="511"/>
      <c r="T6" s="511"/>
      <c r="U6" s="511"/>
      <c r="V6" s="511"/>
      <c r="W6" s="511"/>
      <c r="X6" s="511"/>
      <c r="Y6" s="511"/>
      <c r="Z6" s="511"/>
      <c r="AA6" s="511"/>
      <c r="AB6" s="516"/>
      <c r="AC6" s="516"/>
      <c r="AD6" s="516"/>
      <c r="AE6" s="516"/>
      <c r="AF6" s="516"/>
      <c r="AG6" s="516"/>
      <c r="AH6" s="516"/>
      <c r="AI6" s="516"/>
      <c r="AJ6" s="516"/>
      <c r="AK6" s="516"/>
      <c r="AL6" s="516"/>
      <c r="AM6" s="516"/>
      <c r="AN6" s="516"/>
      <c r="AO6" s="516"/>
      <c r="AP6" s="516"/>
      <c r="AQ6" s="516"/>
      <c r="AR6" s="516"/>
      <c r="AS6" s="516"/>
      <c r="AT6" s="516"/>
      <c r="AU6" s="516"/>
      <c r="AV6" s="516"/>
      <c r="AW6" s="516"/>
      <c r="AX6" s="516"/>
      <c r="AY6" s="516"/>
      <c r="AZ6" s="516"/>
      <c r="BA6" s="516"/>
      <c r="BB6" s="516"/>
      <c r="BC6" s="516"/>
      <c r="BD6" s="516"/>
      <c r="BE6" s="516"/>
      <c r="BF6" s="516"/>
      <c r="BG6" s="516"/>
      <c r="BH6" s="516"/>
      <c r="BI6" s="516"/>
      <c r="BJ6" s="516"/>
      <c r="BK6" s="516"/>
      <c r="BL6" s="516"/>
      <c r="BM6" s="516"/>
      <c r="BN6" s="516"/>
      <c r="BO6" s="516"/>
      <c r="BP6" s="516"/>
      <c r="BQ6" s="516"/>
      <c r="BR6" s="516"/>
      <c r="BS6" s="516"/>
      <c r="BT6" s="516"/>
      <c r="BU6" s="516"/>
      <c r="BV6" s="516"/>
      <c r="BW6" s="516"/>
      <c r="BX6" s="516"/>
      <c r="BY6" s="516"/>
      <c r="BZ6" s="516"/>
      <c r="CA6" s="516"/>
      <c r="CB6" s="516"/>
      <c r="CC6" s="516"/>
      <c r="CD6" s="516"/>
      <c r="CE6" s="516"/>
      <c r="CF6" s="516"/>
    </row>
    <row r="7" spans="1:84" ht="20.100000000000001" customHeight="1" x14ac:dyDescent="0.2">
      <c r="B7" s="806" t="s">
        <v>3785</v>
      </c>
      <c r="C7" s="806"/>
      <c r="D7" s="806"/>
      <c r="E7" s="807" t="s">
        <v>324</v>
      </c>
      <c r="F7" s="806" t="s">
        <v>199</v>
      </c>
      <c r="G7" s="808" t="s">
        <v>304</v>
      </c>
      <c r="H7" s="808" t="s">
        <v>150</v>
      </c>
      <c r="I7" s="808" t="s">
        <v>51</v>
      </c>
      <c r="J7" s="808" t="s">
        <v>325</v>
      </c>
      <c r="K7" s="808" t="s">
        <v>3779</v>
      </c>
      <c r="L7" s="808" t="s">
        <v>304</v>
      </c>
      <c r="M7" s="808" t="s">
        <v>321</v>
      </c>
      <c r="N7" s="808"/>
      <c r="O7" s="517"/>
      <c r="P7" s="507"/>
      <c r="Q7" s="507"/>
      <c r="R7" s="507"/>
      <c r="S7" s="517"/>
      <c r="T7" s="517"/>
      <c r="U7" s="517"/>
      <c r="V7" s="507"/>
      <c r="W7" s="507"/>
      <c r="X7" s="507"/>
      <c r="Y7" s="507"/>
      <c r="Z7" s="507"/>
      <c r="AA7" s="507"/>
      <c r="AC7" s="516"/>
      <c r="AH7" s="516"/>
      <c r="AI7" s="516"/>
      <c r="AJ7" s="516"/>
      <c r="AK7" s="516"/>
      <c r="AL7" s="516"/>
      <c r="AM7" s="516"/>
      <c r="AN7" s="516"/>
      <c r="AO7" s="516"/>
      <c r="AP7" s="516"/>
      <c r="AQ7" s="516"/>
      <c r="AR7" s="516"/>
      <c r="AS7" s="516"/>
      <c r="AT7" s="516"/>
      <c r="AU7" s="516"/>
      <c r="AV7" s="516"/>
      <c r="AW7" s="516"/>
      <c r="AX7" s="516"/>
      <c r="AY7" s="516"/>
      <c r="AZ7" s="516"/>
      <c r="BA7" s="516"/>
      <c r="BB7" s="516"/>
      <c r="BC7" s="516"/>
      <c r="BD7" s="516"/>
      <c r="BE7" s="516"/>
      <c r="BF7" s="516"/>
      <c r="BG7" s="516"/>
      <c r="BH7" s="516"/>
      <c r="BI7" s="516"/>
      <c r="BJ7" s="516"/>
      <c r="BK7" s="516"/>
      <c r="BL7" s="516"/>
      <c r="BM7" s="516"/>
      <c r="BN7" s="516"/>
      <c r="BO7" s="516"/>
      <c r="BP7" s="516"/>
      <c r="BQ7" s="516"/>
      <c r="BR7" s="516"/>
      <c r="BS7" s="516"/>
      <c r="BT7" s="516"/>
      <c r="BU7" s="516"/>
      <c r="BV7" s="516"/>
      <c r="BW7" s="516"/>
      <c r="BX7" s="516"/>
      <c r="BY7" s="516"/>
      <c r="BZ7" s="516"/>
      <c r="CA7" s="516"/>
      <c r="CB7" s="516"/>
      <c r="CC7" s="516"/>
      <c r="CD7" s="516"/>
      <c r="CE7" s="516"/>
      <c r="CF7" s="516"/>
    </row>
    <row r="8" spans="1:84" ht="8.1" customHeight="1" thickBot="1" x14ac:dyDescent="0.25">
      <c r="C8" s="511"/>
      <c r="D8" s="511"/>
      <c r="E8" s="511"/>
      <c r="F8" s="511"/>
      <c r="G8" s="511"/>
      <c r="H8" s="511"/>
      <c r="I8" s="511"/>
      <c r="J8" s="511"/>
      <c r="K8" s="511"/>
      <c r="L8" s="511"/>
      <c r="M8" s="511"/>
      <c r="N8" s="511"/>
      <c r="O8" s="511"/>
      <c r="P8" s="506"/>
      <c r="Q8" s="506"/>
      <c r="R8" s="506"/>
      <c r="S8" s="511"/>
      <c r="T8" s="511"/>
      <c r="U8" s="511"/>
      <c r="V8" s="511"/>
      <c r="W8" s="511"/>
      <c r="X8" s="511"/>
      <c r="Y8" s="511"/>
      <c r="Z8" s="511"/>
      <c r="AA8" s="511"/>
      <c r="AC8" s="516"/>
      <c r="AH8" s="516"/>
      <c r="AI8" s="516"/>
      <c r="AJ8" s="516"/>
      <c r="AK8" s="516"/>
      <c r="AL8" s="516"/>
      <c r="AM8" s="516"/>
      <c r="AN8" s="516"/>
      <c r="AO8" s="516"/>
      <c r="AP8" s="516"/>
      <c r="AQ8" s="516"/>
      <c r="AR8" s="516"/>
      <c r="AS8" s="516"/>
      <c r="AT8" s="516"/>
      <c r="AU8" s="516"/>
      <c r="AV8" s="516"/>
      <c r="AW8" s="516"/>
      <c r="AX8" s="516"/>
      <c r="AY8" s="516"/>
      <c r="AZ8" s="516"/>
      <c r="BA8" s="516"/>
      <c r="BB8" s="516"/>
      <c r="BC8" s="516"/>
      <c r="BD8" s="516"/>
      <c r="BE8" s="516"/>
      <c r="BF8" s="516"/>
      <c r="BG8" s="516"/>
      <c r="BH8" s="516"/>
      <c r="BI8" s="516"/>
      <c r="BJ8" s="516"/>
      <c r="BK8" s="516"/>
      <c r="BL8" s="516"/>
      <c r="BM8" s="516"/>
      <c r="BN8" s="516"/>
      <c r="BO8" s="516"/>
      <c r="BP8" s="516"/>
      <c r="BQ8" s="516"/>
      <c r="BR8" s="516"/>
      <c r="BS8" s="516"/>
      <c r="BT8" s="516"/>
      <c r="BU8" s="516"/>
      <c r="BV8" s="516"/>
      <c r="BW8" s="516"/>
      <c r="BX8" s="516"/>
      <c r="BY8" s="516"/>
      <c r="BZ8" s="516"/>
      <c r="CA8" s="516"/>
      <c r="CB8" s="516"/>
      <c r="CC8" s="516"/>
      <c r="CD8" s="516"/>
      <c r="CE8" s="516"/>
      <c r="CF8" s="516"/>
    </row>
    <row r="9" spans="1:84" ht="20.100000000000001" customHeight="1" thickTop="1" thickBot="1" x14ac:dyDescent="0.25">
      <c r="B9" s="519" t="str">
        <f>PedBerMedIV!Z5</f>
        <v>verw</v>
      </c>
      <c r="C9" s="519" t="str">
        <f>PedBerMedIV!AA5</f>
        <v/>
      </c>
      <c r="D9" s="494">
        <v>1</v>
      </c>
      <c r="E9" s="772">
        <f>PedBerMedIV!C5</f>
        <v>5</v>
      </c>
      <c r="F9" s="774" t="str">
        <f>PedBerMedIV!AC5</f>
        <v>50 mg</v>
      </c>
      <c r="G9" s="774" t="str">
        <f>PedBerMedIV!AD5</f>
        <v>50 ml</v>
      </c>
      <c r="H9" s="776"/>
      <c r="I9" s="776" t="str">
        <f>PedBerMedIV!AF5</f>
        <v>0,8 ml/uur</v>
      </c>
      <c r="J9" s="776">
        <f>PedBerMedIV!AG5</f>
        <v>10.666400000000001</v>
      </c>
      <c r="K9" s="776" t="str">
        <f>PedBerMedIV!AH5</f>
        <v>microg/kg/min</v>
      </c>
      <c r="L9" s="776" t="str">
        <f>PedBerMedIV!AI5</f>
        <v>19,2 ml</v>
      </c>
      <c r="M9" s="776" t="str">
        <f>PedBerMedIV!AJ5</f>
        <v>5-15 microg/kg/min</v>
      </c>
      <c r="N9" s="776"/>
      <c r="O9" s="511"/>
      <c r="P9" s="507"/>
      <c r="Q9" s="507"/>
      <c r="R9" s="507"/>
      <c r="S9" s="511"/>
      <c r="T9" s="511"/>
      <c r="U9" s="511"/>
      <c r="V9" s="511"/>
      <c r="W9" s="511"/>
      <c r="X9" s="511"/>
      <c r="Y9" s="511"/>
      <c r="Z9" s="511"/>
      <c r="AA9" s="511"/>
      <c r="AC9" s="516"/>
      <c r="AD9" s="771">
        <f>IF(E9&lt;&gt;0,INDEX(Tbl_Ped_MedContIV,PedBerMedIV!$C5,6)*(PedBerMedIV!G5/10))</f>
        <v>120</v>
      </c>
      <c r="AE9" s="771">
        <f>IF(AD9&gt;=10,0,IF(AD9&gt;=1,1,IF(AD9&gt;=0,2,IF(AD9&gt;=0.1,3,IF(AD9&gt;=0.01,4,5)))))</f>
        <v>0</v>
      </c>
      <c r="AF9" s="771">
        <f>ROUND(AD9,AE9)</f>
        <v>120</v>
      </c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</row>
    <row r="10" spans="1:84" ht="20.100000000000001" customHeight="1" thickTop="1" thickBot="1" x14ac:dyDescent="0.25">
      <c r="B10" s="519" t="str">
        <f>PedBerMedIV!Z6</f>
        <v/>
      </c>
      <c r="C10" s="519" t="str">
        <f>PedBerMedIV!AA6</f>
        <v/>
      </c>
      <c r="D10" s="494">
        <v>2</v>
      </c>
      <c r="E10" s="772">
        <f>PedBerMedIV!C6</f>
        <v>1</v>
      </c>
      <c r="F10" s="774" t="str">
        <f>PedBerMedIV!AC6</f>
        <v/>
      </c>
      <c r="G10" s="774" t="str">
        <f>PedBerMedIV!AD6</f>
        <v/>
      </c>
      <c r="H10" s="776"/>
      <c r="I10" s="776" t="str">
        <f>PedBerMedIV!AF6</f>
        <v/>
      </c>
      <c r="J10" s="776" t="str">
        <f>PedBerMedIV!AG6</f>
        <v/>
      </c>
      <c r="K10" s="776" t="str">
        <f>PedBerMedIV!AH6</f>
        <v/>
      </c>
      <c r="L10" s="776" t="str">
        <f>PedBerMedIV!AI6</f>
        <v/>
      </c>
      <c r="M10" s="776" t="str">
        <f>PedBerMedIV!AJ6</f>
        <v/>
      </c>
      <c r="N10" s="776"/>
      <c r="O10" s="511"/>
      <c r="P10" s="506"/>
      <c r="Q10" s="506"/>
      <c r="R10" s="506"/>
      <c r="S10" s="511"/>
      <c r="T10" s="511"/>
      <c r="U10" s="511"/>
      <c r="V10" s="511"/>
      <c r="W10" s="511"/>
      <c r="X10" s="511"/>
      <c r="Y10" s="511"/>
      <c r="Z10" s="511"/>
      <c r="AA10" s="511"/>
      <c r="AC10" s="516"/>
      <c r="AD10" s="771">
        <f>IF(E10&lt;&gt;0,INDEX(Tbl_Ped_MedContIV,PedBerMedIV!$C6,6)*(PedBerMedIV!G6/10))</f>
        <v>0</v>
      </c>
      <c r="AE10" s="771">
        <f t="shared" ref="AE10:AE18" si="0">IF(AD10&gt;=10,0,IF(AD10&gt;=1,1,IF(AD10&gt;=0,2,IF(AD10&gt;=0.1,3,IF(AD10&gt;=0.01,4,5)))))</f>
        <v>2</v>
      </c>
      <c r="AF10" s="771">
        <f t="shared" ref="AF10:AF18" si="1">ROUND(AD10,AE10)</f>
        <v>0</v>
      </c>
      <c r="AH10" s="516"/>
      <c r="AI10" s="516"/>
      <c r="AJ10" s="516"/>
      <c r="AK10" s="516"/>
      <c r="AL10" s="516"/>
      <c r="AM10" s="516"/>
      <c r="AN10" s="516"/>
      <c r="AO10" s="516"/>
      <c r="AP10" s="516"/>
      <c r="AQ10" s="516"/>
      <c r="AR10" s="516"/>
      <c r="AS10" s="516"/>
      <c r="AT10" s="516"/>
      <c r="AU10" s="516"/>
      <c r="AV10" s="516"/>
      <c r="AW10" s="516"/>
      <c r="AX10" s="516"/>
      <c r="AY10" s="516"/>
      <c r="AZ10" s="516"/>
      <c r="BA10" s="516"/>
      <c r="BB10" s="516"/>
      <c r="BC10" s="516"/>
      <c r="BD10" s="516"/>
      <c r="BE10" s="516"/>
      <c r="BF10" s="516"/>
      <c r="BG10" s="516"/>
      <c r="BH10" s="516"/>
      <c r="BI10" s="516"/>
      <c r="BJ10" s="516"/>
      <c r="BK10" s="516"/>
      <c r="BL10" s="516"/>
      <c r="BM10" s="516"/>
      <c r="BN10" s="516"/>
      <c r="BO10" s="516"/>
      <c r="BP10" s="516"/>
      <c r="BQ10" s="516"/>
      <c r="BR10" s="516"/>
      <c r="BS10" s="516"/>
      <c r="BT10" s="516"/>
      <c r="BU10" s="516"/>
      <c r="BV10" s="516"/>
      <c r="BW10" s="516"/>
      <c r="BX10" s="516"/>
      <c r="BY10" s="516"/>
      <c r="BZ10" s="516"/>
      <c r="CA10" s="516"/>
      <c r="CB10" s="516"/>
      <c r="CC10" s="516"/>
      <c r="CD10" s="516"/>
      <c r="CE10" s="516"/>
      <c r="CF10" s="516"/>
    </row>
    <row r="11" spans="1:84" ht="20.100000000000001" customHeight="1" thickTop="1" thickBot="1" x14ac:dyDescent="0.25">
      <c r="B11" s="519" t="str">
        <f>PedBerMedIV!Z7</f>
        <v/>
      </c>
      <c r="C11" s="519" t="str">
        <f>PedBerMedIV!AA7</f>
        <v/>
      </c>
      <c r="D11" s="494">
        <v>3</v>
      </c>
      <c r="E11" s="772">
        <f>PedBerMedIV!C7</f>
        <v>1</v>
      </c>
      <c r="F11" s="774" t="str">
        <f>PedBerMedIV!AC7</f>
        <v/>
      </c>
      <c r="G11" s="774" t="str">
        <f>PedBerMedIV!AD7</f>
        <v/>
      </c>
      <c r="H11" s="776"/>
      <c r="I11" s="776" t="str">
        <f>PedBerMedIV!AF7</f>
        <v/>
      </c>
      <c r="J11" s="776" t="str">
        <f>PedBerMedIV!AG7</f>
        <v/>
      </c>
      <c r="K11" s="776" t="str">
        <f>PedBerMedIV!AH7</f>
        <v/>
      </c>
      <c r="L11" s="776" t="str">
        <f>PedBerMedIV!AI7</f>
        <v/>
      </c>
      <c r="M11" s="776" t="str">
        <f>PedBerMedIV!AJ7</f>
        <v/>
      </c>
      <c r="N11" s="776"/>
      <c r="O11" s="511"/>
      <c r="P11" s="506"/>
      <c r="Q11" s="506"/>
      <c r="R11" s="506"/>
      <c r="S11" s="511"/>
      <c r="T11" s="511"/>
      <c r="U11" s="511"/>
      <c r="V11" s="511"/>
      <c r="W11" s="511"/>
      <c r="X11" s="511"/>
      <c r="Y11" s="511"/>
      <c r="Z11" s="511"/>
      <c r="AA11" s="511"/>
      <c r="AC11" s="516"/>
      <c r="AD11" s="771">
        <f>IF(E11&lt;&gt;0,INDEX(Tbl_Ped_MedContIV,PedBerMedIV!$C7,6)*(PedBerMedIV!G7/10))</f>
        <v>0</v>
      </c>
      <c r="AE11" s="771">
        <f t="shared" si="0"/>
        <v>2</v>
      </c>
      <c r="AF11" s="771">
        <f t="shared" si="1"/>
        <v>0</v>
      </c>
      <c r="AH11" s="516"/>
      <c r="AI11" s="516"/>
      <c r="AJ11" s="516"/>
      <c r="AK11" s="516"/>
      <c r="AL11" s="516"/>
      <c r="AM11" s="516"/>
      <c r="AN11" s="516"/>
      <c r="AO11" s="516"/>
      <c r="AP11" s="516"/>
      <c r="AQ11" s="516"/>
      <c r="AR11" s="516"/>
      <c r="AS11" s="516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6"/>
      <c r="BH11" s="516"/>
      <c r="BI11" s="516"/>
      <c r="BJ11" s="516"/>
      <c r="BK11" s="516"/>
      <c r="BL11" s="516"/>
      <c r="BM11" s="516"/>
      <c r="BN11" s="516"/>
      <c r="BO11" s="516"/>
      <c r="BP11" s="516"/>
      <c r="BQ11" s="516"/>
      <c r="BR11" s="516"/>
      <c r="BS11" s="516"/>
      <c r="BT11" s="516"/>
      <c r="BU11" s="516"/>
      <c r="BV11" s="516"/>
      <c r="BW11" s="516"/>
      <c r="BX11" s="516"/>
      <c r="BY11" s="516"/>
      <c r="BZ11" s="516"/>
      <c r="CA11" s="516"/>
      <c r="CB11" s="516"/>
      <c r="CC11" s="516"/>
      <c r="CD11" s="516"/>
      <c r="CE11" s="516"/>
      <c r="CF11" s="516"/>
    </row>
    <row r="12" spans="1:84" ht="20.100000000000001" customHeight="1" thickTop="1" thickBot="1" x14ac:dyDescent="0.25">
      <c r="B12" s="519" t="str">
        <f>PedBerMedIV!Z8</f>
        <v/>
      </c>
      <c r="C12" s="519" t="str">
        <f>PedBerMedIV!AA8</f>
        <v/>
      </c>
      <c r="D12" s="494">
        <v>4</v>
      </c>
      <c r="E12" s="772">
        <f>PedBerMedIV!C8</f>
        <v>1</v>
      </c>
      <c r="F12" s="774" t="str">
        <f>PedBerMedIV!AC8</f>
        <v/>
      </c>
      <c r="G12" s="774" t="str">
        <f>PedBerMedIV!AD8</f>
        <v/>
      </c>
      <c r="H12" s="776"/>
      <c r="I12" s="776" t="str">
        <f>PedBerMedIV!AF8</f>
        <v/>
      </c>
      <c r="J12" s="776" t="str">
        <f>PedBerMedIV!AG8</f>
        <v/>
      </c>
      <c r="K12" s="776" t="str">
        <f>PedBerMedIV!AH8</f>
        <v/>
      </c>
      <c r="L12" s="776" t="str">
        <f>PedBerMedIV!AI8</f>
        <v/>
      </c>
      <c r="M12" s="776" t="str">
        <f>PedBerMedIV!AJ8</f>
        <v/>
      </c>
      <c r="N12" s="776"/>
      <c r="O12" s="511"/>
      <c r="P12" s="511"/>
      <c r="Q12" s="511"/>
      <c r="R12" s="511"/>
      <c r="S12" s="511"/>
      <c r="T12" s="511"/>
      <c r="U12" s="511"/>
      <c r="V12" s="511"/>
      <c r="W12" s="511"/>
      <c r="X12" s="511"/>
      <c r="Y12" s="511"/>
      <c r="Z12" s="511"/>
      <c r="AA12" s="511"/>
      <c r="AC12" s="516"/>
      <c r="AD12" s="771">
        <f>IF(E12&lt;&gt;0,INDEX(Tbl_Ped_MedContIV,PedBerMedIV!$C8,6)*(PedBerMedIV!G8/10))</f>
        <v>0</v>
      </c>
      <c r="AE12" s="771">
        <f t="shared" si="0"/>
        <v>2</v>
      </c>
      <c r="AF12" s="771">
        <f t="shared" si="1"/>
        <v>0</v>
      </c>
      <c r="AH12" s="516"/>
      <c r="AI12" s="516"/>
      <c r="AJ12" s="516"/>
      <c r="AK12" s="516"/>
      <c r="AL12" s="516"/>
      <c r="AM12" s="516"/>
      <c r="AN12" s="516"/>
      <c r="AO12" s="516"/>
      <c r="AP12" s="516"/>
      <c r="AQ12" s="516"/>
      <c r="AR12" s="516"/>
      <c r="AS12" s="516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6"/>
      <c r="BH12" s="516"/>
      <c r="BI12" s="516"/>
      <c r="BJ12" s="516"/>
      <c r="BK12" s="516"/>
      <c r="BL12" s="516"/>
      <c r="BM12" s="516"/>
      <c r="BN12" s="516"/>
      <c r="BO12" s="516"/>
      <c r="BP12" s="516"/>
      <c r="BQ12" s="516"/>
      <c r="BR12" s="516"/>
      <c r="BS12" s="516"/>
      <c r="BT12" s="516"/>
      <c r="BU12" s="516"/>
      <c r="BV12" s="516"/>
      <c r="BW12" s="516"/>
      <c r="BX12" s="516"/>
      <c r="BY12" s="516"/>
      <c r="BZ12" s="516"/>
      <c r="CA12" s="516"/>
      <c r="CB12" s="516"/>
      <c r="CC12" s="516"/>
      <c r="CD12" s="516"/>
      <c r="CE12" s="516"/>
      <c r="CF12" s="516"/>
    </row>
    <row r="13" spans="1:84" ht="20.100000000000001" customHeight="1" thickTop="1" thickBot="1" x14ac:dyDescent="0.25">
      <c r="B13" s="519" t="str">
        <f>PedBerMedIV!Z9</f>
        <v/>
      </c>
      <c r="C13" s="519" t="str">
        <f>PedBerMedIV!AA9</f>
        <v/>
      </c>
      <c r="D13" s="494">
        <v>5</v>
      </c>
      <c r="E13" s="772">
        <f>PedBerMedIV!C9</f>
        <v>1</v>
      </c>
      <c r="F13" s="774" t="str">
        <f>PedBerMedIV!AC9</f>
        <v/>
      </c>
      <c r="G13" s="774" t="str">
        <f>PedBerMedIV!AD9</f>
        <v/>
      </c>
      <c r="H13" s="776"/>
      <c r="I13" s="776" t="str">
        <f>PedBerMedIV!AF9</f>
        <v/>
      </c>
      <c r="J13" s="776" t="str">
        <f>PedBerMedIV!AG9</f>
        <v/>
      </c>
      <c r="K13" s="776" t="str">
        <f>PedBerMedIV!AH9</f>
        <v/>
      </c>
      <c r="L13" s="776" t="str">
        <f>PedBerMedIV!AI9</f>
        <v/>
      </c>
      <c r="M13" s="776" t="str">
        <f>PedBerMedIV!AJ9</f>
        <v/>
      </c>
      <c r="N13" s="776"/>
      <c r="O13" s="511"/>
      <c r="P13" s="511"/>
      <c r="Q13" s="511"/>
      <c r="R13" s="511"/>
      <c r="S13" s="511"/>
      <c r="T13" s="511"/>
      <c r="U13" s="511"/>
      <c r="V13" s="511"/>
      <c r="W13" s="511"/>
      <c r="X13" s="511"/>
      <c r="Y13" s="511"/>
      <c r="Z13" s="511"/>
      <c r="AA13" s="511"/>
      <c r="AC13" s="516"/>
      <c r="AD13" s="771">
        <f>IF(E13&lt;&gt;0,INDEX(Tbl_Ped_MedContIV,PedBerMedIV!$C9,6)*(PedBerMedIV!G9/10))</f>
        <v>0</v>
      </c>
      <c r="AE13" s="771">
        <f t="shared" si="0"/>
        <v>2</v>
      </c>
      <c r="AF13" s="771">
        <f t="shared" si="1"/>
        <v>0</v>
      </c>
      <c r="AH13" s="516"/>
      <c r="AI13" s="516"/>
      <c r="AJ13" s="516"/>
      <c r="AK13" s="516"/>
      <c r="AL13" s="516"/>
      <c r="AM13" s="516"/>
      <c r="AN13" s="516"/>
      <c r="AO13" s="516"/>
      <c r="AP13" s="516"/>
      <c r="AQ13" s="516"/>
      <c r="AR13" s="516"/>
      <c r="AS13" s="516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6"/>
      <c r="BH13" s="516"/>
      <c r="BI13" s="516"/>
      <c r="BJ13" s="516"/>
      <c r="BK13" s="516"/>
      <c r="BL13" s="516"/>
      <c r="BM13" s="516"/>
      <c r="BN13" s="516"/>
      <c r="BO13" s="516"/>
      <c r="BP13" s="516"/>
      <c r="BQ13" s="516"/>
      <c r="BR13" s="516"/>
      <c r="BS13" s="516"/>
      <c r="BT13" s="516"/>
      <c r="BU13" s="516"/>
      <c r="BV13" s="516"/>
      <c r="BW13" s="516"/>
      <c r="BX13" s="516"/>
      <c r="BY13" s="516"/>
      <c r="BZ13" s="516"/>
      <c r="CA13" s="516"/>
      <c r="CB13" s="516"/>
      <c r="CC13" s="516"/>
      <c r="CD13" s="516"/>
      <c r="CE13" s="516"/>
      <c r="CF13" s="516"/>
    </row>
    <row r="14" spans="1:84" ht="20.100000000000001" customHeight="1" thickTop="1" thickBot="1" x14ac:dyDescent="0.25">
      <c r="B14" s="519" t="str">
        <f>PedBerMedIV!Z10</f>
        <v/>
      </c>
      <c r="C14" s="519" t="str">
        <f>PedBerMedIV!AA10</f>
        <v/>
      </c>
      <c r="D14" s="494">
        <v>6</v>
      </c>
      <c r="E14" s="772">
        <f>PedBerMedIV!C10</f>
        <v>1</v>
      </c>
      <c r="F14" s="774" t="str">
        <f>PedBerMedIV!AC10</f>
        <v/>
      </c>
      <c r="G14" s="774" t="str">
        <f>PedBerMedIV!AD10</f>
        <v/>
      </c>
      <c r="H14" s="776"/>
      <c r="I14" s="776" t="str">
        <f>PedBerMedIV!AF10</f>
        <v/>
      </c>
      <c r="J14" s="776" t="str">
        <f>PedBerMedIV!AG10</f>
        <v/>
      </c>
      <c r="K14" s="776" t="str">
        <f>PedBerMedIV!AH10</f>
        <v/>
      </c>
      <c r="L14" s="776" t="str">
        <f>PedBerMedIV!AI10</f>
        <v/>
      </c>
      <c r="M14" s="776" t="str">
        <f>PedBerMedIV!AJ10</f>
        <v/>
      </c>
      <c r="N14" s="776"/>
      <c r="O14" s="511"/>
      <c r="P14" s="511"/>
      <c r="Q14" s="511"/>
      <c r="R14" s="511"/>
      <c r="S14" s="511"/>
      <c r="T14" s="511"/>
      <c r="U14" s="511"/>
      <c r="V14" s="511"/>
      <c r="W14" s="511"/>
      <c r="X14" s="511"/>
      <c r="Y14" s="511"/>
      <c r="Z14" s="511"/>
      <c r="AA14" s="511"/>
      <c r="AC14" s="516"/>
      <c r="AD14" s="771">
        <f>IF(E14&lt;&gt;0,INDEX(Tbl_Ped_MedContIV,PedBerMedIV!$C10,6)*(PedBerMedIV!G10/10))</f>
        <v>0</v>
      </c>
      <c r="AE14" s="771">
        <f t="shared" si="0"/>
        <v>2</v>
      </c>
      <c r="AF14" s="771">
        <f t="shared" si="1"/>
        <v>0</v>
      </c>
      <c r="AH14" s="516"/>
      <c r="AI14" s="516"/>
      <c r="AJ14" s="516"/>
      <c r="AK14" s="516"/>
      <c r="AL14" s="516"/>
      <c r="AM14" s="516"/>
      <c r="AN14" s="516"/>
      <c r="AO14" s="516"/>
      <c r="AP14" s="516"/>
      <c r="AQ14" s="516"/>
      <c r="AR14" s="516"/>
      <c r="AS14" s="516"/>
      <c r="AT14" s="516"/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6"/>
      <c r="BP14" s="516"/>
      <c r="BQ14" s="516"/>
      <c r="BR14" s="516"/>
      <c r="BS14" s="516"/>
      <c r="BT14" s="516"/>
      <c r="BU14" s="516"/>
      <c r="BV14" s="516"/>
      <c r="BW14" s="516"/>
      <c r="BX14" s="516"/>
      <c r="BY14" s="516"/>
      <c r="BZ14" s="516"/>
      <c r="CA14" s="516"/>
      <c r="CB14" s="516"/>
      <c r="CC14" s="516"/>
      <c r="CD14" s="516"/>
      <c r="CE14" s="516"/>
      <c r="CF14" s="516"/>
    </row>
    <row r="15" spans="1:84" ht="20.100000000000001" customHeight="1" thickTop="1" thickBot="1" x14ac:dyDescent="0.25">
      <c r="B15" s="519" t="str">
        <f>PedBerMedIV!Z11</f>
        <v>verw</v>
      </c>
      <c r="C15" s="519" t="str">
        <f>PedBerMedIV!AA11</f>
        <v/>
      </c>
      <c r="D15" s="494">
        <v>7</v>
      </c>
      <c r="E15" s="772">
        <f>PedBerMedIV!C11</f>
        <v>6</v>
      </c>
      <c r="F15" s="774" t="str">
        <f>PedBerMedIV!AC11</f>
        <v>0,15 mg</v>
      </c>
      <c r="G15" s="774" t="str">
        <f>PedBerMedIV!AD11</f>
        <v>50 ml</v>
      </c>
      <c r="H15" s="776"/>
      <c r="I15" s="776" t="str">
        <f>PedBerMedIV!AF11</f>
        <v>0,3 ml/uur</v>
      </c>
      <c r="J15" s="776">
        <f>PedBerMedIV!AG11</f>
        <v>0.27</v>
      </c>
      <c r="K15" s="776" t="str">
        <f>PedBerMedIV!AH11</f>
        <v>microg/kg/uur</v>
      </c>
      <c r="L15" s="776" t="str">
        <f>PedBerMedIV!AI11</f>
        <v>7,2 ml</v>
      </c>
      <c r="M15" s="776" t="str">
        <f>PedBerMedIV!AJ11</f>
        <v>0,25-2 microg/kg/uur</v>
      </c>
      <c r="N15" s="776"/>
      <c r="O15" s="511"/>
      <c r="P15" s="511"/>
      <c r="Q15" s="511"/>
      <c r="R15" s="511"/>
      <c r="S15" s="511"/>
      <c r="T15" s="511"/>
      <c r="U15" s="511"/>
      <c r="V15" s="511"/>
      <c r="W15" s="511"/>
      <c r="X15" s="511"/>
      <c r="Y15" s="511"/>
      <c r="Z15" s="511"/>
      <c r="AA15" s="511"/>
      <c r="AC15" s="516"/>
      <c r="AD15" s="771">
        <f>IF(E15&lt;&gt;0,INDEX(Tbl_Ped_MedContIV,PedBerMedIV!$C11,6)*(PedBerMedIV!G11/10))</f>
        <v>0.09</v>
      </c>
      <c r="AE15" s="771">
        <f t="shared" si="0"/>
        <v>2</v>
      </c>
      <c r="AF15" s="771">
        <f t="shared" si="1"/>
        <v>0.09</v>
      </c>
      <c r="AH15" s="516"/>
      <c r="AI15" s="516"/>
      <c r="AJ15" s="516"/>
      <c r="AK15" s="516"/>
      <c r="AL15" s="516"/>
      <c r="AM15" s="516"/>
      <c r="AN15" s="516"/>
      <c r="AO15" s="516"/>
      <c r="AP15" s="516"/>
      <c r="AQ15" s="516"/>
      <c r="AR15" s="516"/>
      <c r="AS15" s="516"/>
      <c r="AT15" s="516"/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516"/>
      <c r="BF15" s="516"/>
      <c r="BG15" s="516"/>
      <c r="BH15" s="516"/>
      <c r="BI15" s="516"/>
      <c r="BJ15" s="516"/>
      <c r="BK15" s="516"/>
      <c r="BL15" s="516"/>
      <c r="BM15" s="516"/>
      <c r="BN15" s="516"/>
      <c r="BO15" s="516"/>
      <c r="BP15" s="516"/>
      <c r="BQ15" s="516"/>
      <c r="BR15" s="516"/>
      <c r="BS15" s="516"/>
      <c r="BT15" s="516"/>
      <c r="BU15" s="516"/>
      <c r="BV15" s="516"/>
      <c r="BW15" s="516"/>
      <c r="BX15" s="516"/>
      <c r="BY15" s="516"/>
      <c r="BZ15" s="516"/>
      <c r="CA15" s="516"/>
      <c r="CB15" s="516"/>
      <c r="CC15" s="516"/>
      <c r="CD15" s="516"/>
      <c r="CE15" s="516"/>
      <c r="CF15" s="516"/>
    </row>
    <row r="16" spans="1:84" ht="20.100000000000001" customHeight="1" thickTop="1" thickBot="1" x14ac:dyDescent="0.25">
      <c r="B16" s="519" t="str">
        <f>PedBerMedIV!Z12</f>
        <v/>
      </c>
      <c r="C16" s="519" t="str">
        <f>PedBerMedIV!AA12</f>
        <v/>
      </c>
      <c r="D16" s="494">
        <v>8</v>
      </c>
      <c r="E16" s="772">
        <f>PedBerMedIV!C12</f>
        <v>1</v>
      </c>
      <c r="F16" s="774" t="str">
        <f>PedBerMedIV!AC12</f>
        <v/>
      </c>
      <c r="G16" s="774" t="str">
        <f>PedBerMedIV!AD12</f>
        <v/>
      </c>
      <c r="H16" s="776"/>
      <c r="I16" s="776" t="str">
        <f>PedBerMedIV!AF12</f>
        <v/>
      </c>
      <c r="J16" s="776" t="str">
        <f>PedBerMedIV!AG12</f>
        <v/>
      </c>
      <c r="K16" s="776" t="str">
        <f>PedBerMedIV!AH12</f>
        <v/>
      </c>
      <c r="L16" s="776" t="str">
        <f>PedBerMedIV!AI12</f>
        <v/>
      </c>
      <c r="M16" s="776" t="str">
        <f>PedBerMedIV!AJ12</f>
        <v/>
      </c>
      <c r="N16" s="776"/>
      <c r="O16" s="511"/>
      <c r="P16" s="511"/>
      <c r="Q16" s="511"/>
      <c r="R16" s="511"/>
      <c r="S16" s="511"/>
      <c r="T16" s="511"/>
      <c r="U16" s="511"/>
      <c r="V16" s="511"/>
      <c r="W16" s="511"/>
      <c r="X16" s="511"/>
      <c r="Y16" s="511"/>
      <c r="Z16" s="511"/>
      <c r="AA16" s="511"/>
      <c r="AC16" s="516"/>
      <c r="AD16" s="771">
        <f>IF(E16&lt;&gt;0,INDEX(Tbl_Ped_MedContIV,PedBerMedIV!$C12,6)*(PedBerMedIV!G12/10))</f>
        <v>0</v>
      </c>
      <c r="AE16" s="771">
        <f t="shared" si="0"/>
        <v>2</v>
      </c>
      <c r="AF16" s="771">
        <f t="shared" si="1"/>
        <v>0</v>
      </c>
      <c r="AH16" s="516"/>
      <c r="AI16" s="516"/>
      <c r="AJ16" s="516"/>
      <c r="AK16" s="516"/>
      <c r="AL16" s="516"/>
      <c r="AM16" s="516"/>
      <c r="AN16" s="516"/>
      <c r="AO16" s="516"/>
      <c r="AP16" s="516"/>
      <c r="AQ16" s="516"/>
      <c r="AR16" s="516"/>
      <c r="AS16" s="516"/>
      <c r="AT16" s="516"/>
      <c r="AU16" s="516"/>
      <c r="AV16" s="516"/>
      <c r="AW16" s="516"/>
      <c r="AX16" s="516"/>
      <c r="AY16" s="516"/>
      <c r="AZ16" s="516"/>
      <c r="BA16" s="516"/>
      <c r="BB16" s="516"/>
      <c r="BC16" s="516"/>
      <c r="BD16" s="516"/>
      <c r="BE16" s="516"/>
      <c r="BF16" s="516"/>
      <c r="BG16" s="516"/>
      <c r="BH16" s="516"/>
      <c r="BI16" s="516"/>
      <c r="BJ16" s="516"/>
      <c r="BK16" s="516"/>
      <c r="BL16" s="516"/>
      <c r="BM16" s="516"/>
      <c r="BN16" s="516"/>
      <c r="BO16" s="516"/>
      <c r="BP16" s="516"/>
      <c r="BQ16" s="516"/>
      <c r="BR16" s="516"/>
      <c r="BS16" s="516"/>
      <c r="BT16" s="516"/>
      <c r="BU16" s="516"/>
      <c r="BV16" s="516"/>
      <c r="BW16" s="516"/>
      <c r="BX16" s="516"/>
      <c r="BY16" s="516"/>
      <c r="BZ16" s="516"/>
      <c r="CA16" s="516"/>
      <c r="CB16" s="516"/>
      <c r="CC16" s="516"/>
      <c r="CD16" s="516"/>
      <c r="CE16" s="516"/>
      <c r="CF16" s="516"/>
    </row>
    <row r="17" spans="2:84" ht="20.100000000000001" customHeight="1" thickTop="1" thickBot="1" x14ac:dyDescent="0.25">
      <c r="B17" s="519" t="str">
        <f>PedBerMedIV!Z13</f>
        <v/>
      </c>
      <c r="C17" s="519" t="str">
        <f>PedBerMedIV!AA13</f>
        <v/>
      </c>
      <c r="D17" s="494">
        <v>9</v>
      </c>
      <c r="E17" s="772">
        <f>PedBerMedIV!C13</f>
        <v>1</v>
      </c>
      <c r="F17" s="774" t="str">
        <f>PedBerMedIV!AC13</f>
        <v/>
      </c>
      <c r="G17" s="774" t="str">
        <f>PedBerMedIV!AD13</f>
        <v/>
      </c>
      <c r="H17" s="776"/>
      <c r="I17" s="776" t="str">
        <f>PedBerMedIV!AF13</f>
        <v/>
      </c>
      <c r="J17" s="776" t="str">
        <f>PedBerMedIV!AG13</f>
        <v/>
      </c>
      <c r="K17" s="776" t="str">
        <f>PedBerMedIV!AH13</f>
        <v/>
      </c>
      <c r="L17" s="776" t="str">
        <f>PedBerMedIV!AI13</f>
        <v/>
      </c>
      <c r="M17" s="776" t="str">
        <f>PedBerMedIV!AJ13</f>
        <v/>
      </c>
      <c r="N17" s="776"/>
      <c r="O17" s="511"/>
      <c r="P17" s="511"/>
      <c r="Q17" s="511"/>
      <c r="R17" s="511"/>
      <c r="S17" s="511"/>
      <c r="T17" s="511"/>
      <c r="U17" s="511"/>
      <c r="V17" s="511"/>
      <c r="W17" s="511"/>
      <c r="X17" s="511"/>
      <c r="Y17" s="511"/>
      <c r="Z17" s="511"/>
      <c r="AA17" s="511"/>
      <c r="AC17" s="516"/>
      <c r="AD17" s="771">
        <f>IF(E17&lt;&gt;0,INDEX(Tbl_Ped_MedContIV,PedBerMedIV!$C13,6)*(PedBerMedIV!G13/10))</f>
        <v>0</v>
      </c>
      <c r="AE17" s="771">
        <f t="shared" si="0"/>
        <v>2</v>
      </c>
      <c r="AF17" s="771">
        <f t="shared" si="1"/>
        <v>0</v>
      </c>
      <c r="AH17" s="516"/>
      <c r="AI17" s="516"/>
      <c r="AJ17" s="516"/>
      <c r="AK17" s="516"/>
      <c r="AL17" s="516"/>
      <c r="AM17" s="516"/>
      <c r="AN17" s="516"/>
      <c r="AO17" s="516"/>
      <c r="AP17" s="516"/>
      <c r="AQ17" s="516"/>
      <c r="AR17" s="516"/>
      <c r="AS17" s="516"/>
      <c r="AT17" s="516"/>
      <c r="AU17" s="516"/>
      <c r="AV17" s="516"/>
      <c r="AW17" s="516"/>
      <c r="AX17" s="516"/>
      <c r="AY17" s="516"/>
      <c r="AZ17" s="516"/>
      <c r="BA17" s="516"/>
      <c r="BB17" s="516"/>
      <c r="BC17" s="516"/>
      <c r="BD17" s="516"/>
      <c r="BE17" s="516"/>
      <c r="BF17" s="516"/>
      <c r="BG17" s="516"/>
      <c r="BH17" s="516"/>
      <c r="BI17" s="516"/>
      <c r="BJ17" s="516"/>
      <c r="BK17" s="516"/>
      <c r="BL17" s="516"/>
      <c r="BM17" s="516"/>
      <c r="BN17" s="516"/>
      <c r="BO17" s="516"/>
      <c r="BP17" s="516"/>
      <c r="BQ17" s="516"/>
      <c r="BR17" s="516"/>
      <c r="BS17" s="516"/>
      <c r="BT17" s="516"/>
      <c r="BU17" s="516"/>
      <c r="BV17" s="516"/>
      <c r="BW17" s="516"/>
      <c r="BX17" s="516"/>
      <c r="BY17" s="516"/>
      <c r="BZ17" s="516"/>
      <c r="CA17" s="516"/>
      <c r="CB17" s="516"/>
      <c r="CC17" s="516"/>
      <c r="CD17" s="516"/>
      <c r="CE17" s="516"/>
      <c r="CF17" s="516"/>
    </row>
    <row r="18" spans="2:84" ht="20.100000000000001" customHeight="1" thickTop="1" thickBot="1" x14ac:dyDescent="0.25">
      <c r="B18" s="519" t="str">
        <f>PedBerMedIV!Z14</f>
        <v/>
      </c>
      <c r="C18" s="519" t="str">
        <f>PedBerMedIV!AA14</f>
        <v/>
      </c>
      <c r="D18" s="494">
        <v>10</v>
      </c>
      <c r="E18" s="772">
        <f>PedBerMedIV!C14</f>
        <v>1</v>
      </c>
      <c r="F18" s="774" t="str">
        <f>PedBerMedIV!AC14</f>
        <v/>
      </c>
      <c r="G18" s="774" t="str">
        <f>PedBerMedIV!AD14</f>
        <v/>
      </c>
      <c r="H18" s="776"/>
      <c r="I18" s="776" t="str">
        <f>PedBerMedIV!AF14</f>
        <v/>
      </c>
      <c r="J18" s="776" t="str">
        <f>PedBerMedIV!AG14</f>
        <v/>
      </c>
      <c r="K18" s="776" t="str">
        <f>PedBerMedIV!AH14</f>
        <v/>
      </c>
      <c r="L18" s="776" t="str">
        <f>PedBerMedIV!AI14</f>
        <v/>
      </c>
      <c r="M18" s="776" t="str">
        <f>PedBerMedIV!AJ14</f>
        <v/>
      </c>
      <c r="N18" s="776"/>
      <c r="O18" s="511"/>
      <c r="P18" s="511"/>
      <c r="Q18" s="511"/>
      <c r="R18" s="511"/>
      <c r="S18" s="511"/>
      <c r="T18" s="511"/>
      <c r="U18" s="511"/>
      <c r="V18" s="511"/>
      <c r="W18" s="511"/>
      <c r="X18" s="511"/>
      <c r="Y18" s="511"/>
      <c r="Z18" s="511"/>
      <c r="AA18" s="511"/>
      <c r="AC18" s="516"/>
      <c r="AD18" s="771">
        <f>IF(E18&lt;&gt;0,INDEX(Tbl_Ped_MedContIV,PedBerMedIV!$C14,6)*(PedBerMedIV!G14/10))</f>
        <v>0</v>
      </c>
      <c r="AE18" s="771">
        <f t="shared" si="0"/>
        <v>2</v>
      </c>
      <c r="AF18" s="771">
        <f t="shared" si="1"/>
        <v>0</v>
      </c>
      <c r="AH18" s="516"/>
      <c r="AI18" s="516"/>
      <c r="AJ18" s="516"/>
      <c r="AK18" s="516"/>
      <c r="AL18" s="516"/>
      <c r="AM18" s="516"/>
      <c r="AN18" s="516"/>
      <c r="AO18" s="516"/>
      <c r="AP18" s="516"/>
      <c r="AQ18" s="516"/>
      <c r="AR18" s="516"/>
      <c r="AS18" s="516"/>
      <c r="AT18" s="516"/>
      <c r="AU18" s="516"/>
      <c r="AV18" s="516"/>
      <c r="AW18" s="516"/>
      <c r="AX18" s="516"/>
      <c r="AY18" s="516"/>
      <c r="AZ18" s="516"/>
      <c r="BA18" s="516"/>
      <c r="BB18" s="516"/>
      <c r="BC18" s="516"/>
      <c r="BD18" s="516"/>
      <c r="BE18" s="516"/>
      <c r="BF18" s="516"/>
      <c r="BG18" s="516"/>
      <c r="BH18" s="516"/>
      <c r="BI18" s="516"/>
      <c r="BJ18" s="516"/>
      <c r="BK18" s="516"/>
      <c r="BL18" s="516"/>
      <c r="BM18" s="516"/>
      <c r="BN18" s="516"/>
      <c r="BO18" s="516"/>
      <c r="BP18" s="516"/>
      <c r="BQ18" s="516"/>
      <c r="BR18" s="516"/>
      <c r="BS18" s="516"/>
      <c r="BT18" s="516"/>
      <c r="BU18" s="516"/>
      <c r="BV18" s="516"/>
      <c r="BW18" s="516"/>
      <c r="BX18" s="516"/>
      <c r="BY18" s="516"/>
      <c r="BZ18" s="516"/>
      <c r="CA18" s="516"/>
      <c r="CB18" s="516"/>
      <c r="CC18" s="516"/>
      <c r="CD18" s="516"/>
      <c r="CE18" s="516"/>
      <c r="CF18" s="516"/>
    </row>
    <row r="19" spans="2:84" ht="20.100000000000001" customHeight="1" thickTop="1" thickBot="1" x14ac:dyDescent="0.25">
      <c r="B19" s="519" t="str">
        <f>PedBerMedIV!Z15</f>
        <v/>
      </c>
      <c r="C19" s="519" t="str">
        <f>PedBerMedIV!AA15</f>
        <v/>
      </c>
      <c r="D19" s="494">
        <v>11</v>
      </c>
      <c r="E19" s="772">
        <f>PedBerMedIV!C15</f>
        <v>1</v>
      </c>
      <c r="F19" s="774" t="str">
        <f>PedBerMedIV!AC15</f>
        <v/>
      </c>
      <c r="G19" s="774" t="str">
        <f>PedBerMedIV!AD15</f>
        <v/>
      </c>
      <c r="H19" s="776"/>
      <c r="I19" s="776" t="str">
        <f>PedBerMedIV!AF15</f>
        <v/>
      </c>
      <c r="J19" s="776" t="str">
        <f>PedBerMedIV!AG15</f>
        <v/>
      </c>
      <c r="K19" s="776" t="str">
        <f>PedBerMedIV!AH15</f>
        <v/>
      </c>
      <c r="L19" s="776" t="str">
        <f>PedBerMedIV!AI15</f>
        <v/>
      </c>
      <c r="M19" s="776" t="str">
        <f>PedBerMedIV!AJ15</f>
        <v/>
      </c>
      <c r="N19" s="776"/>
      <c r="O19" s="511"/>
      <c r="P19" s="511"/>
      <c r="Q19" s="511"/>
      <c r="R19" s="511"/>
      <c r="S19" s="511"/>
      <c r="T19" s="511"/>
      <c r="U19" s="511"/>
      <c r="V19" s="511"/>
      <c r="W19" s="511"/>
      <c r="X19" s="511"/>
      <c r="Y19" s="511"/>
      <c r="Z19" s="511"/>
      <c r="AA19" s="511"/>
      <c r="AC19" s="516"/>
      <c r="AH19" s="516"/>
      <c r="AI19" s="516"/>
      <c r="AJ19" s="516"/>
      <c r="AK19" s="516"/>
      <c r="AL19" s="516"/>
      <c r="AM19" s="516"/>
      <c r="AN19" s="516"/>
      <c r="AO19" s="516"/>
      <c r="AP19" s="516"/>
      <c r="AQ19" s="516"/>
      <c r="AR19" s="516"/>
      <c r="AS19" s="516"/>
      <c r="AT19" s="516"/>
      <c r="AU19" s="516"/>
      <c r="AV19" s="516"/>
      <c r="AW19" s="516"/>
      <c r="AX19" s="516"/>
      <c r="AY19" s="516"/>
      <c r="AZ19" s="516"/>
      <c r="BA19" s="516"/>
      <c r="BB19" s="516"/>
      <c r="BC19" s="516"/>
      <c r="BD19" s="516"/>
      <c r="BE19" s="516"/>
      <c r="BF19" s="516"/>
      <c r="BG19" s="516"/>
      <c r="BH19" s="516"/>
      <c r="BI19" s="516"/>
      <c r="BJ19" s="516"/>
      <c r="BK19" s="516"/>
      <c r="BL19" s="516"/>
      <c r="BM19" s="516"/>
      <c r="BN19" s="516"/>
      <c r="BO19" s="516"/>
      <c r="BP19" s="516"/>
      <c r="BQ19" s="516"/>
      <c r="BR19" s="516"/>
      <c r="BS19" s="516"/>
      <c r="BT19" s="516"/>
      <c r="BU19" s="516"/>
      <c r="BV19" s="516"/>
      <c r="BW19" s="516"/>
      <c r="BX19" s="516"/>
      <c r="BY19" s="516"/>
      <c r="BZ19" s="516"/>
      <c r="CA19" s="516"/>
      <c r="CB19" s="516"/>
      <c r="CC19" s="516"/>
      <c r="CD19" s="516"/>
      <c r="CE19" s="516"/>
      <c r="CF19" s="516"/>
    </row>
    <row r="20" spans="2:84" ht="20.100000000000001" customHeight="1" thickTop="1" thickBot="1" x14ac:dyDescent="0.25">
      <c r="B20" s="519" t="str">
        <f>PedBerMedIV!Z16</f>
        <v/>
      </c>
      <c r="C20" s="519" t="str">
        <f>PedBerMedIV!AA16</f>
        <v/>
      </c>
      <c r="D20" s="494">
        <v>12</v>
      </c>
      <c r="E20" s="772">
        <f>PedBerMedIV!C16</f>
        <v>1</v>
      </c>
      <c r="F20" s="774" t="str">
        <f>PedBerMedIV!AC16</f>
        <v/>
      </c>
      <c r="G20" s="774" t="str">
        <f>PedBerMedIV!AD16</f>
        <v/>
      </c>
      <c r="H20" s="776"/>
      <c r="I20" s="776" t="str">
        <f>PedBerMedIV!AF16</f>
        <v/>
      </c>
      <c r="J20" s="776" t="str">
        <f>PedBerMedIV!AG16</f>
        <v/>
      </c>
      <c r="K20" s="776" t="str">
        <f>PedBerMedIV!AH16</f>
        <v/>
      </c>
      <c r="L20" s="776" t="str">
        <f>PedBerMedIV!AI16</f>
        <v/>
      </c>
      <c r="M20" s="776" t="str">
        <f>PedBerMedIV!AJ16</f>
        <v/>
      </c>
      <c r="N20" s="776"/>
      <c r="O20" s="511"/>
      <c r="P20" s="511"/>
      <c r="Q20" s="511"/>
      <c r="R20" s="511"/>
      <c r="S20" s="511"/>
      <c r="T20" s="511"/>
      <c r="U20" s="511"/>
      <c r="V20" s="511"/>
      <c r="W20" s="511"/>
      <c r="X20" s="511"/>
      <c r="Y20" s="511"/>
      <c r="Z20" s="511"/>
      <c r="AA20" s="511"/>
      <c r="AC20" s="516"/>
      <c r="AH20" s="516"/>
      <c r="AI20" s="516"/>
      <c r="AJ20" s="516"/>
      <c r="AK20" s="516"/>
      <c r="AL20" s="516"/>
      <c r="AM20" s="516"/>
      <c r="AN20" s="516"/>
      <c r="AO20" s="516"/>
      <c r="AP20" s="516"/>
      <c r="AQ20" s="516"/>
      <c r="AR20" s="516"/>
      <c r="AS20" s="516"/>
      <c r="AT20" s="516"/>
      <c r="AU20" s="516"/>
      <c r="AV20" s="516"/>
      <c r="AW20" s="516"/>
      <c r="AX20" s="516"/>
      <c r="AY20" s="516"/>
      <c r="AZ20" s="516"/>
      <c r="BA20" s="516"/>
      <c r="BB20" s="516"/>
      <c r="BC20" s="516"/>
      <c r="BD20" s="516"/>
      <c r="BE20" s="516"/>
      <c r="BF20" s="516"/>
      <c r="BG20" s="516"/>
      <c r="BH20" s="516"/>
      <c r="BI20" s="516"/>
      <c r="BJ20" s="516"/>
      <c r="BK20" s="516"/>
      <c r="BL20" s="516"/>
      <c r="BM20" s="516"/>
      <c r="BN20" s="516"/>
      <c r="BO20" s="516"/>
      <c r="BP20" s="516"/>
      <c r="BQ20" s="516"/>
      <c r="BR20" s="516"/>
      <c r="BS20" s="516"/>
      <c r="BT20" s="516"/>
      <c r="BU20" s="516"/>
      <c r="BV20" s="516"/>
      <c r="BW20" s="516"/>
      <c r="BX20" s="516"/>
      <c r="BY20" s="516"/>
      <c r="BZ20" s="516"/>
      <c r="CA20" s="516"/>
      <c r="CB20" s="516"/>
      <c r="CC20" s="516"/>
      <c r="CD20" s="516"/>
      <c r="CE20" s="516"/>
      <c r="CF20" s="516"/>
    </row>
    <row r="21" spans="2:84" ht="20.100000000000001" customHeight="1" thickTop="1" thickBot="1" x14ac:dyDescent="0.25">
      <c r="B21" s="519" t="str">
        <f>PedBerMedIV!Z17</f>
        <v/>
      </c>
      <c r="C21" s="519" t="str">
        <f>PedBerMedIV!AA17</f>
        <v/>
      </c>
      <c r="D21" s="494">
        <v>13</v>
      </c>
      <c r="E21" s="772">
        <f>PedBerMedIV!C17</f>
        <v>1</v>
      </c>
      <c r="F21" s="774" t="str">
        <f>PedBerMedIV!AC17</f>
        <v/>
      </c>
      <c r="G21" s="774" t="str">
        <f>PedBerMedIV!AD17</f>
        <v/>
      </c>
      <c r="H21" s="776"/>
      <c r="I21" s="776" t="str">
        <f>PedBerMedIV!AF17</f>
        <v/>
      </c>
      <c r="J21" s="776" t="str">
        <f>PedBerMedIV!AG17</f>
        <v/>
      </c>
      <c r="K21" s="776" t="str">
        <f>PedBerMedIV!AH17</f>
        <v/>
      </c>
      <c r="L21" s="776" t="str">
        <f>PedBerMedIV!AI17</f>
        <v/>
      </c>
      <c r="M21" s="776" t="str">
        <f>PedBerMedIV!AJ17</f>
        <v/>
      </c>
      <c r="N21" s="776"/>
      <c r="O21" s="511"/>
      <c r="P21" s="511"/>
      <c r="Q21" s="511"/>
      <c r="R21" s="511"/>
      <c r="S21" s="511"/>
      <c r="T21" s="511"/>
      <c r="U21" s="511"/>
      <c r="V21" s="511"/>
      <c r="W21" s="511"/>
      <c r="X21" s="511"/>
      <c r="Y21" s="511"/>
      <c r="Z21" s="511"/>
      <c r="AA21" s="511"/>
      <c r="AC21" s="516"/>
      <c r="AH21" s="516"/>
      <c r="AI21" s="516"/>
      <c r="AJ21" s="516"/>
      <c r="AK21" s="516"/>
      <c r="AL21" s="516"/>
      <c r="AM21" s="516"/>
      <c r="AN21" s="516"/>
      <c r="AO21" s="516"/>
      <c r="AP21" s="516"/>
      <c r="AQ21" s="516"/>
      <c r="AR21" s="516"/>
      <c r="AS21" s="516"/>
      <c r="AT21" s="516"/>
      <c r="AU21" s="516"/>
      <c r="AV21" s="516"/>
      <c r="AW21" s="516"/>
      <c r="AX21" s="516"/>
      <c r="AY21" s="516"/>
      <c r="AZ21" s="516"/>
      <c r="BA21" s="516"/>
      <c r="BB21" s="516"/>
      <c r="BC21" s="516"/>
      <c r="BD21" s="516"/>
      <c r="BE21" s="516"/>
      <c r="BF21" s="516"/>
      <c r="BG21" s="516"/>
      <c r="BH21" s="516"/>
      <c r="BI21" s="516"/>
      <c r="BJ21" s="516"/>
      <c r="BK21" s="516"/>
      <c r="BL21" s="516"/>
      <c r="BM21" s="516"/>
      <c r="BN21" s="516"/>
      <c r="BO21" s="516"/>
      <c r="BP21" s="516"/>
      <c r="BQ21" s="516"/>
      <c r="BR21" s="516"/>
      <c r="BS21" s="516"/>
      <c r="BT21" s="516"/>
      <c r="BU21" s="516"/>
      <c r="BV21" s="516"/>
      <c r="BW21" s="516"/>
      <c r="BX21" s="516"/>
      <c r="BY21" s="516"/>
      <c r="BZ21" s="516"/>
      <c r="CA21" s="516"/>
      <c r="CB21" s="516"/>
      <c r="CC21" s="516"/>
      <c r="CD21" s="516"/>
      <c r="CE21" s="516"/>
      <c r="CF21" s="516"/>
    </row>
    <row r="22" spans="2:84" ht="20.100000000000001" customHeight="1" thickTop="1" thickBot="1" x14ac:dyDescent="0.25">
      <c r="B22" s="519" t="str">
        <f>PedBerMedIV!Z18</f>
        <v/>
      </c>
      <c r="C22" s="519" t="str">
        <f>PedBerMedIV!AA18</f>
        <v/>
      </c>
      <c r="D22" s="494">
        <v>14</v>
      </c>
      <c r="E22" s="772">
        <f>PedBerMedIV!C18</f>
        <v>1</v>
      </c>
      <c r="F22" s="774" t="str">
        <f>PedBerMedIV!AC18</f>
        <v/>
      </c>
      <c r="G22" s="774" t="str">
        <f>PedBerMedIV!AD18</f>
        <v/>
      </c>
      <c r="H22" s="776"/>
      <c r="I22" s="776" t="str">
        <f>PedBerMedIV!AF18</f>
        <v/>
      </c>
      <c r="J22" s="776" t="str">
        <f>PedBerMedIV!AG18</f>
        <v/>
      </c>
      <c r="K22" s="776" t="str">
        <f>PedBerMedIV!AH18</f>
        <v/>
      </c>
      <c r="L22" s="776" t="str">
        <f>PedBerMedIV!AI18</f>
        <v/>
      </c>
      <c r="M22" s="776" t="str">
        <f>PedBerMedIV!AJ18</f>
        <v/>
      </c>
      <c r="N22" s="776"/>
      <c r="O22" s="511"/>
      <c r="P22" s="511"/>
      <c r="Q22" s="511"/>
      <c r="R22" s="511"/>
      <c r="S22" s="511"/>
      <c r="T22" s="511"/>
      <c r="U22" s="511"/>
      <c r="V22" s="511"/>
      <c r="W22" s="511"/>
      <c r="X22" s="511"/>
      <c r="Y22" s="511"/>
      <c r="Z22" s="511"/>
      <c r="AA22" s="511"/>
      <c r="AC22" s="516"/>
      <c r="AH22" s="516"/>
      <c r="AI22" s="516"/>
      <c r="AJ22" s="516"/>
      <c r="AK22" s="516"/>
      <c r="AL22" s="516"/>
      <c r="AM22" s="516"/>
      <c r="AN22" s="516"/>
      <c r="AO22" s="516"/>
      <c r="AP22" s="516"/>
      <c r="AQ22" s="516"/>
      <c r="AR22" s="516"/>
      <c r="AS22" s="516"/>
      <c r="AT22" s="516"/>
      <c r="AU22" s="516"/>
      <c r="AV22" s="516"/>
      <c r="AW22" s="516"/>
      <c r="AX22" s="516"/>
      <c r="AY22" s="516"/>
      <c r="AZ22" s="516"/>
      <c r="BA22" s="516"/>
      <c r="BB22" s="516"/>
      <c r="BC22" s="516"/>
      <c r="BD22" s="516"/>
      <c r="BE22" s="516"/>
      <c r="BF22" s="516"/>
      <c r="BG22" s="516"/>
      <c r="BH22" s="516"/>
      <c r="BI22" s="516"/>
      <c r="BJ22" s="516"/>
      <c r="BK22" s="516"/>
      <c r="BL22" s="516"/>
      <c r="BM22" s="516"/>
      <c r="BN22" s="516"/>
      <c r="BO22" s="516"/>
      <c r="BP22" s="516"/>
      <c r="BQ22" s="516"/>
      <c r="BR22" s="516"/>
      <c r="BS22" s="516"/>
      <c r="BT22" s="516"/>
      <c r="BU22" s="516"/>
      <c r="BV22" s="516"/>
      <c r="BW22" s="516"/>
      <c r="BX22" s="516"/>
      <c r="BY22" s="516"/>
      <c r="BZ22" s="516"/>
      <c r="CA22" s="516"/>
      <c r="CB22" s="516"/>
      <c r="CC22" s="516"/>
      <c r="CD22" s="516"/>
      <c r="CE22" s="516"/>
      <c r="CF22" s="516"/>
    </row>
    <row r="23" spans="2:84" ht="20.100000000000001" customHeight="1" thickTop="1" thickBot="1" x14ac:dyDescent="0.25">
      <c r="B23" s="519" t="str">
        <f>PedBerMedIV!Z19</f>
        <v/>
      </c>
      <c r="C23" s="519" t="str">
        <f>PedBerMedIV!AA19</f>
        <v/>
      </c>
      <c r="D23" s="494">
        <v>15</v>
      </c>
      <c r="E23" s="773">
        <f>PedBerMedIV!C19</f>
        <v>1</v>
      </c>
      <c r="F23" s="775" t="str">
        <f>PedBerMedIV!AC19</f>
        <v/>
      </c>
      <c r="G23" s="775" t="str">
        <f>PedBerMedIV!AD19</f>
        <v/>
      </c>
      <c r="H23" s="753"/>
      <c r="I23" s="753" t="str">
        <f>PedBerMedIV!AF19</f>
        <v/>
      </c>
      <c r="J23" s="753" t="str">
        <f>PedBerMedIV!AG19</f>
        <v/>
      </c>
      <c r="K23" s="753" t="str">
        <f>PedBerMedIV!AH19</f>
        <v/>
      </c>
      <c r="L23" s="753" t="str">
        <f>PedBerMedIV!AI19</f>
        <v/>
      </c>
      <c r="M23" s="753" t="str">
        <f>PedBerMedIV!AJ19</f>
        <v/>
      </c>
      <c r="N23" s="753"/>
      <c r="O23" s="511"/>
      <c r="P23" s="511"/>
      <c r="Q23" s="511"/>
      <c r="R23" s="511"/>
      <c r="S23" s="511"/>
      <c r="T23" s="511"/>
      <c r="U23" s="511"/>
      <c r="V23" s="511"/>
      <c r="W23" s="511"/>
      <c r="X23" s="511"/>
      <c r="Y23" s="511"/>
      <c r="Z23" s="511"/>
      <c r="AA23" s="511"/>
      <c r="AC23" s="516"/>
      <c r="AH23" s="516"/>
      <c r="AI23" s="516"/>
      <c r="AJ23" s="516"/>
      <c r="AK23" s="516"/>
      <c r="AL23" s="516"/>
      <c r="AM23" s="516"/>
      <c r="AN23" s="516"/>
      <c r="AO23" s="516"/>
      <c r="AP23" s="516"/>
      <c r="AQ23" s="516"/>
      <c r="AR23" s="516"/>
      <c r="AS23" s="516"/>
      <c r="AT23" s="516"/>
      <c r="AU23" s="516"/>
      <c r="AV23" s="516"/>
      <c r="AW23" s="516"/>
      <c r="AX23" s="516"/>
      <c r="AY23" s="516"/>
      <c r="AZ23" s="516"/>
      <c r="BA23" s="516"/>
      <c r="BB23" s="516"/>
      <c r="BC23" s="516"/>
      <c r="BD23" s="516"/>
      <c r="BE23" s="516"/>
      <c r="BF23" s="516"/>
      <c r="BG23" s="516"/>
      <c r="BH23" s="516"/>
      <c r="BI23" s="516"/>
      <c r="BJ23" s="516"/>
      <c r="BK23" s="516"/>
      <c r="BL23" s="516"/>
      <c r="BM23" s="516"/>
      <c r="BN23" s="516"/>
      <c r="BO23" s="516"/>
      <c r="BP23" s="516"/>
      <c r="BQ23" s="516"/>
      <c r="BR23" s="516"/>
      <c r="BS23" s="516"/>
      <c r="BT23" s="516"/>
      <c r="BU23" s="516"/>
      <c r="BV23" s="516"/>
      <c r="BW23" s="516"/>
      <c r="BX23" s="516"/>
      <c r="BY23" s="516"/>
      <c r="BZ23" s="516"/>
      <c r="CA23" s="516"/>
      <c r="CB23" s="516"/>
      <c r="CC23" s="516"/>
      <c r="CD23" s="516"/>
      <c r="CE23" s="516"/>
      <c r="CF23" s="516"/>
    </row>
    <row r="24" spans="2:84" ht="20.100000000000001" customHeight="1" thickTop="1" thickBot="1" x14ac:dyDescent="0.25">
      <c r="C24" s="511"/>
      <c r="D24" s="520"/>
      <c r="E24" s="521"/>
      <c r="F24" s="521"/>
      <c r="G24" s="507"/>
      <c r="H24" s="507"/>
      <c r="I24" s="507"/>
      <c r="J24" s="507"/>
      <c r="K24" s="507"/>
      <c r="L24" s="511"/>
      <c r="M24" s="522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C24" s="516"/>
      <c r="AH24" s="516"/>
      <c r="AI24" s="516"/>
      <c r="AJ24" s="516"/>
      <c r="AK24" s="516"/>
      <c r="AL24" s="516"/>
      <c r="AM24" s="516"/>
      <c r="AN24" s="516"/>
      <c r="AO24" s="516"/>
      <c r="AP24" s="516"/>
      <c r="AQ24" s="516"/>
      <c r="AR24" s="516"/>
      <c r="AS24" s="516"/>
      <c r="AT24" s="516"/>
      <c r="AU24" s="516"/>
      <c r="AV24" s="516"/>
      <c r="AW24" s="516"/>
      <c r="AX24" s="516"/>
      <c r="AY24" s="516"/>
      <c r="AZ24" s="516"/>
      <c r="BA24" s="516"/>
      <c r="BB24" s="516"/>
      <c r="BC24" s="516"/>
      <c r="BD24" s="516"/>
      <c r="BE24" s="516"/>
      <c r="BF24" s="516"/>
      <c r="BG24" s="516"/>
      <c r="BH24" s="516"/>
      <c r="BI24" s="516"/>
      <c r="BJ24" s="516"/>
      <c r="BK24" s="516"/>
      <c r="BL24" s="516"/>
      <c r="BM24" s="516"/>
      <c r="BN24" s="516"/>
      <c r="BO24" s="516"/>
      <c r="BP24" s="516"/>
      <c r="BQ24" s="516"/>
      <c r="BR24" s="516"/>
      <c r="BS24" s="516"/>
      <c r="BT24" s="516"/>
      <c r="BU24" s="516"/>
      <c r="BV24" s="516"/>
      <c r="BW24" s="516"/>
      <c r="BX24" s="516"/>
      <c r="BY24" s="516"/>
      <c r="BZ24" s="516"/>
      <c r="CA24" s="516"/>
      <c r="CB24" s="516"/>
      <c r="CC24" s="516"/>
      <c r="CD24" s="516"/>
      <c r="CE24" s="516"/>
      <c r="CF24" s="516"/>
    </row>
    <row r="25" spans="2:84" ht="20.100000000000001" customHeight="1" thickTop="1" thickBot="1" x14ac:dyDescent="0.25">
      <c r="B25" s="519" t="str">
        <f>PedBerMedIV!Z21</f>
        <v/>
      </c>
      <c r="C25" s="511"/>
      <c r="D25" s="494">
        <v>16</v>
      </c>
      <c r="E25" s="777" t="str">
        <f>PedBerMedIV!AB21</f>
        <v/>
      </c>
      <c r="F25" s="777">
        <f>PedBerMedIV!AC21</f>
        <v>0</v>
      </c>
      <c r="G25" s="776" t="str">
        <f>PedBerMedIV!AD21</f>
        <v/>
      </c>
      <c r="H25" s="776"/>
      <c r="I25" s="776" t="str">
        <f>PedBerMedIV!AF21</f>
        <v/>
      </c>
      <c r="J25" s="776" t="str">
        <f>PedBerMedIV!AG21</f>
        <v/>
      </c>
      <c r="K25" s="776"/>
      <c r="L25" s="776" t="str">
        <f>IF(PedBerMedIV!M21&lt;&gt;0,PedBerMedIV!M21&amp;" ml","")</f>
        <v/>
      </c>
      <c r="M25" s="776"/>
      <c r="N25" s="776"/>
      <c r="O25" s="511"/>
      <c r="P25" s="511"/>
      <c r="Q25" s="511"/>
      <c r="R25" s="511"/>
      <c r="S25" s="511"/>
      <c r="T25" s="511"/>
      <c r="U25" s="511"/>
      <c r="V25" s="511"/>
      <c r="W25" s="511"/>
      <c r="X25" s="511"/>
      <c r="Y25" s="511"/>
      <c r="Z25" s="511"/>
      <c r="AA25" s="511"/>
      <c r="AC25" s="516"/>
      <c r="AD25" s="516"/>
      <c r="AE25" s="516"/>
      <c r="AF25" s="516"/>
      <c r="AG25" s="516"/>
      <c r="AH25" s="516"/>
      <c r="AI25" s="516"/>
      <c r="AJ25" s="516"/>
      <c r="AK25" s="516"/>
      <c r="AL25" s="516"/>
      <c r="AM25" s="516"/>
      <c r="AN25" s="516"/>
      <c r="AO25" s="516"/>
      <c r="AP25" s="516"/>
      <c r="AQ25" s="516"/>
      <c r="AR25" s="516"/>
      <c r="AS25" s="516"/>
      <c r="AT25" s="516"/>
      <c r="AU25" s="516"/>
      <c r="AV25" s="516"/>
      <c r="AW25" s="516"/>
      <c r="AX25" s="516"/>
      <c r="AY25" s="516"/>
      <c r="AZ25" s="516"/>
      <c r="BA25" s="516"/>
      <c r="BB25" s="516"/>
      <c r="BC25" s="516"/>
      <c r="BD25" s="516"/>
      <c r="BE25" s="516"/>
      <c r="BF25" s="516"/>
      <c r="BG25" s="516"/>
      <c r="BH25" s="516"/>
      <c r="BI25" s="516"/>
      <c r="BJ25" s="516"/>
      <c r="BK25" s="516"/>
      <c r="BL25" s="516"/>
      <c r="BM25" s="516"/>
      <c r="BN25" s="516"/>
      <c r="BO25" s="516"/>
      <c r="BP25" s="516"/>
      <c r="BQ25" s="516"/>
      <c r="BR25" s="516"/>
      <c r="BS25" s="516"/>
      <c r="BT25" s="516"/>
      <c r="BU25" s="516"/>
      <c r="BV25" s="516"/>
      <c r="BW25" s="516"/>
      <c r="BX25" s="516"/>
      <c r="BY25" s="516"/>
      <c r="BZ25" s="516"/>
      <c r="CA25" s="516"/>
      <c r="CB25" s="516"/>
      <c r="CC25" s="516"/>
      <c r="CD25" s="516"/>
      <c r="CE25" s="516"/>
      <c r="CF25" s="516"/>
    </row>
    <row r="26" spans="2:84" ht="20.100000000000001" customHeight="1" thickTop="1" thickBot="1" x14ac:dyDescent="0.25">
      <c r="B26" s="519" t="str">
        <f>PedBerMedIV!Z21</f>
        <v/>
      </c>
      <c r="C26" s="511"/>
      <c r="D26" s="494">
        <v>17</v>
      </c>
      <c r="E26" s="777" t="str">
        <f>PedBerMedIV!AB22</f>
        <v/>
      </c>
      <c r="F26" s="777">
        <f>PedBerMedIV!AC22</f>
        <v>0</v>
      </c>
      <c r="G26" s="776" t="str">
        <f>PedBerMedIV!AD22</f>
        <v/>
      </c>
      <c r="H26" s="776"/>
      <c r="I26" s="776" t="str">
        <f>PedBerMedIV!AF22</f>
        <v/>
      </c>
      <c r="J26" s="776" t="str">
        <f>PedBerMedIV!AG22</f>
        <v/>
      </c>
      <c r="K26" s="776"/>
      <c r="L26" s="776" t="str">
        <f>IF(PedBerMedIV!M22&lt;&gt;0,PedBerMedIV!M22&amp;" ml","")</f>
        <v/>
      </c>
      <c r="M26" s="776"/>
      <c r="N26" s="776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511"/>
      <c r="AC26" s="516"/>
      <c r="AD26" s="516"/>
      <c r="AE26" s="516"/>
      <c r="AF26" s="516"/>
      <c r="AG26" s="516"/>
      <c r="AH26" s="516"/>
      <c r="AI26" s="516"/>
      <c r="AJ26" s="516"/>
      <c r="AK26" s="516"/>
      <c r="AL26" s="516"/>
      <c r="AM26" s="516"/>
      <c r="AN26" s="516"/>
      <c r="AO26" s="516"/>
      <c r="AP26" s="516"/>
      <c r="AQ26" s="516"/>
      <c r="AR26" s="516"/>
      <c r="AS26" s="516"/>
      <c r="AT26" s="516"/>
      <c r="AU26" s="516"/>
      <c r="AV26" s="516"/>
      <c r="AW26" s="516"/>
      <c r="AX26" s="516"/>
      <c r="AY26" s="516"/>
      <c r="AZ26" s="516"/>
      <c r="BA26" s="516"/>
      <c r="BB26" s="516"/>
      <c r="BC26" s="516"/>
      <c r="BD26" s="516"/>
      <c r="BE26" s="516"/>
      <c r="BF26" s="516"/>
      <c r="BG26" s="516"/>
      <c r="BH26" s="516"/>
      <c r="BI26" s="516"/>
      <c r="BJ26" s="516"/>
      <c r="BK26" s="516"/>
      <c r="BL26" s="516"/>
      <c r="BM26" s="516"/>
      <c r="BN26" s="516"/>
      <c r="BO26" s="516"/>
      <c r="BP26" s="516"/>
      <c r="BQ26" s="516"/>
      <c r="BR26" s="516"/>
      <c r="BS26" s="516"/>
      <c r="BT26" s="516"/>
      <c r="BU26" s="516"/>
      <c r="BV26" s="516"/>
      <c r="BW26" s="516"/>
      <c r="BX26" s="516"/>
      <c r="BY26" s="516"/>
      <c r="BZ26" s="516"/>
      <c r="CA26" s="516"/>
      <c r="CB26" s="516"/>
      <c r="CC26" s="516"/>
      <c r="CD26" s="516"/>
      <c r="CE26" s="516"/>
      <c r="CF26" s="516"/>
    </row>
    <row r="27" spans="2:84" ht="20.100000000000001" customHeight="1" thickTop="1" thickBot="1" x14ac:dyDescent="0.25">
      <c r="B27" s="519" t="str">
        <f>PedBerMedIV!Z22</f>
        <v/>
      </c>
      <c r="C27" s="511"/>
      <c r="D27" s="494">
        <v>18</v>
      </c>
      <c r="E27" s="777" t="str">
        <f>PedBerMedIV!AB23</f>
        <v/>
      </c>
      <c r="F27" s="777">
        <f>PedBerMedIV!AC23</f>
        <v>0</v>
      </c>
      <c r="G27" s="776" t="str">
        <f>PedBerMedIV!AD23</f>
        <v/>
      </c>
      <c r="H27" s="776"/>
      <c r="I27" s="776" t="str">
        <f>PedBerMedIV!AF23</f>
        <v/>
      </c>
      <c r="J27" s="776" t="str">
        <f>PedBerMedIV!AG23</f>
        <v/>
      </c>
      <c r="K27" s="776"/>
      <c r="L27" s="776" t="str">
        <f>IF(PedBerMedIV!M23&lt;&gt;0,PedBerMedIV!M23&amp;" ml","")</f>
        <v/>
      </c>
      <c r="M27" s="776"/>
      <c r="N27" s="776"/>
      <c r="O27" s="511"/>
      <c r="P27" s="511"/>
      <c r="Q27" s="511"/>
      <c r="R27" s="511"/>
      <c r="S27" s="511"/>
      <c r="T27" s="511"/>
      <c r="U27" s="511"/>
      <c r="V27" s="511"/>
      <c r="W27" s="511"/>
      <c r="X27" s="511"/>
      <c r="Y27" s="511"/>
      <c r="Z27" s="511"/>
      <c r="AA27" s="511"/>
      <c r="AC27" s="516"/>
      <c r="AD27" s="516"/>
      <c r="AE27" s="516"/>
      <c r="AF27" s="516"/>
      <c r="AG27" s="516"/>
      <c r="AH27" s="516"/>
      <c r="AI27" s="516"/>
      <c r="AJ27" s="516"/>
      <c r="AK27" s="516"/>
      <c r="AL27" s="516"/>
      <c r="AM27" s="516"/>
      <c r="AN27" s="516"/>
      <c r="AO27" s="516"/>
      <c r="AP27" s="516"/>
      <c r="AQ27" s="516"/>
      <c r="AR27" s="516"/>
      <c r="AS27" s="516"/>
      <c r="AT27" s="516"/>
      <c r="AU27" s="516"/>
      <c r="AV27" s="516"/>
      <c r="AW27" s="516"/>
      <c r="AX27" s="516"/>
      <c r="AY27" s="516"/>
      <c r="AZ27" s="516"/>
      <c r="BA27" s="516"/>
      <c r="BB27" s="516"/>
      <c r="BC27" s="516"/>
      <c r="BD27" s="516"/>
      <c r="BE27" s="516"/>
      <c r="BF27" s="516"/>
      <c r="BG27" s="516"/>
      <c r="BH27" s="516"/>
      <c r="BI27" s="516"/>
      <c r="BJ27" s="516"/>
      <c r="BK27" s="516"/>
      <c r="BL27" s="516"/>
      <c r="BM27" s="516"/>
      <c r="BN27" s="516"/>
      <c r="BO27" s="516"/>
      <c r="BP27" s="516"/>
      <c r="BQ27" s="516"/>
      <c r="BR27" s="516"/>
      <c r="BS27" s="516"/>
      <c r="BT27" s="516"/>
      <c r="BU27" s="516"/>
      <c r="BV27" s="516"/>
      <c r="BW27" s="516"/>
      <c r="BX27" s="516"/>
      <c r="BY27" s="516"/>
      <c r="BZ27" s="516"/>
      <c r="CA27" s="516"/>
      <c r="CB27" s="516"/>
      <c r="CC27" s="516"/>
      <c r="CD27" s="516"/>
      <c r="CE27" s="516"/>
      <c r="CF27" s="516"/>
    </row>
    <row r="28" spans="2:84" ht="20.100000000000001" customHeight="1" thickTop="1" thickBot="1" x14ac:dyDescent="0.25">
      <c r="B28" s="519" t="str">
        <f>PedBerMedIV!Z23</f>
        <v/>
      </c>
      <c r="C28" s="511"/>
      <c r="D28" s="494">
        <v>19</v>
      </c>
      <c r="E28" s="777" t="str">
        <f>PedBerMedIV!AB24</f>
        <v/>
      </c>
      <c r="F28" s="777">
        <f>PedBerMedIV!AC24</f>
        <v>0</v>
      </c>
      <c r="G28" s="776" t="str">
        <f>PedBerMedIV!AD24</f>
        <v/>
      </c>
      <c r="H28" s="776"/>
      <c r="I28" s="776" t="str">
        <f>PedBerMedIV!AF24</f>
        <v/>
      </c>
      <c r="J28" s="776" t="str">
        <f>PedBerMedIV!AG24</f>
        <v/>
      </c>
      <c r="K28" s="776"/>
      <c r="L28" s="776" t="str">
        <f>IF(PedBerMedIV!M24&lt;&gt;0,PedBerMedIV!M24&amp;" ml","")</f>
        <v/>
      </c>
      <c r="M28" s="776"/>
      <c r="N28" s="776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1"/>
      <c r="AC28" s="516"/>
      <c r="AD28" s="516"/>
      <c r="AE28" s="516"/>
      <c r="AF28" s="516"/>
      <c r="AG28" s="516"/>
      <c r="AH28" s="516"/>
      <c r="AI28" s="516"/>
      <c r="AJ28" s="516"/>
      <c r="AK28" s="516"/>
      <c r="AL28" s="516"/>
      <c r="AM28" s="516"/>
      <c r="AN28" s="516"/>
      <c r="AO28" s="516"/>
      <c r="AP28" s="516"/>
      <c r="AQ28" s="516"/>
      <c r="AR28" s="516"/>
      <c r="AS28" s="516"/>
      <c r="AT28" s="516"/>
      <c r="AU28" s="516"/>
      <c r="AV28" s="516"/>
      <c r="AW28" s="516"/>
      <c r="AX28" s="516"/>
      <c r="AY28" s="516"/>
      <c r="AZ28" s="516"/>
      <c r="BA28" s="516"/>
      <c r="BB28" s="516"/>
      <c r="BC28" s="516"/>
      <c r="BD28" s="516"/>
      <c r="BE28" s="516"/>
      <c r="BF28" s="516"/>
      <c r="BG28" s="516"/>
      <c r="BH28" s="516"/>
      <c r="BI28" s="516"/>
      <c r="BJ28" s="516"/>
      <c r="BK28" s="516"/>
      <c r="BL28" s="516"/>
      <c r="BM28" s="516"/>
      <c r="BN28" s="516"/>
      <c r="BO28" s="516"/>
      <c r="BP28" s="516"/>
      <c r="BQ28" s="516"/>
      <c r="BR28" s="516"/>
      <c r="BS28" s="516"/>
      <c r="BT28" s="516"/>
      <c r="BU28" s="516"/>
      <c r="BV28" s="516"/>
      <c r="BW28" s="516"/>
      <c r="BX28" s="516"/>
      <c r="BY28" s="516"/>
      <c r="BZ28" s="516"/>
      <c r="CA28" s="516"/>
      <c r="CB28" s="516"/>
      <c r="CC28" s="516"/>
      <c r="CD28" s="516"/>
      <c r="CE28" s="516"/>
      <c r="CF28" s="516"/>
    </row>
    <row r="29" spans="2:84" ht="20.100000000000001" customHeight="1" thickTop="1" thickBot="1" x14ac:dyDescent="0.25">
      <c r="B29" s="519" t="str">
        <f>PedBerMedIV!Z24</f>
        <v/>
      </c>
      <c r="C29" s="511"/>
      <c r="D29" s="494">
        <v>20</v>
      </c>
      <c r="E29" s="778" t="str">
        <f>PedBerMedIV!AB25</f>
        <v/>
      </c>
      <c r="F29" s="778">
        <f>PedBerMedIV!AC25</f>
        <v>0</v>
      </c>
      <c r="G29" s="753" t="str">
        <f>PedBerMedIV!AD25</f>
        <v/>
      </c>
      <c r="H29" s="753"/>
      <c r="I29" s="753" t="str">
        <f>PedBerMedIV!AF25</f>
        <v/>
      </c>
      <c r="J29" s="753" t="str">
        <f>PedBerMedIV!AG25</f>
        <v/>
      </c>
      <c r="K29" s="753"/>
      <c r="L29" s="753" t="str">
        <f>IF(PedBerMedIV!M25&lt;&gt;0,PedBerMedIV!M25&amp;" ml","")</f>
        <v/>
      </c>
      <c r="M29" s="753"/>
      <c r="N29" s="753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1"/>
      <c r="AC29" s="516"/>
      <c r="AD29" s="516"/>
      <c r="AE29" s="516"/>
      <c r="AF29" s="516"/>
      <c r="AG29" s="516"/>
      <c r="AH29" s="516"/>
      <c r="AI29" s="516"/>
      <c r="AJ29" s="516"/>
      <c r="AK29" s="516"/>
      <c r="AL29" s="516"/>
      <c r="AM29" s="516"/>
      <c r="AN29" s="516"/>
      <c r="AO29" s="516"/>
      <c r="AP29" s="516"/>
      <c r="AQ29" s="516"/>
      <c r="AR29" s="516"/>
      <c r="AS29" s="516"/>
      <c r="AT29" s="516"/>
      <c r="AU29" s="516"/>
      <c r="AV29" s="516"/>
      <c r="AW29" s="516"/>
      <c r="AX29" s="516"/>
      <c r="AY29" s="516"/>
      <c r="AZ29" s="516"/>
      <c r="BA29" s="516"/>
      <c r="BB29" s="516"/>
      <c r="BC29" s="516"/>
      <c r="BD29" s="516"/>
      <c r="BE29" s="516"/>
      <c r="BF29" s="516"/>
      <c r="BG29" s="516"/>
      <c r="BH29" s="516"/>
      <c r="BI29" s="516"/>
      <c r="BJ29" s="516"/>
      <c r="BK29" s="516"/>
      <c r="BL29" s="516"/>
      <c r="BM29" s="516"/>
      <c r="BN29" s="516"/>
      <c r="BO29" s="516"/>
      <c r="BP29" s="516"/>
      <c r="BQ29" s="516"/>
      <c r="BR29" s="516"/>
      <c r="BS29" s="516"/>
      <c r="BT29" s="516"/>
      <c r="BU29" s="516"/>
      <c r="BV29" s="516"/>
      <c r="BW29" s="516"/>
      <c r="BX29" s="516"/>
      <c r="BY29" s="516"/>
      <c r="BZ29" s="516"/>
      <c r="CA29" s="516"/>
      <c r="CB29" s="516"/>
      <c r="CC29" s="516"/>
      <c r="CD29" s="516"/>
      <c r="CE29" s="516"/>
      <c r="CF29" s="516"/>
    </row>
    <row r="30" spans="2:84" ht="13.5" thickTop="1" x14ac:dyDescent="0.2"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C30" s="516"/>
      <c r="AD30" s="516"/>
      <c r="AE30" s="516"/>
      <c r="AF30" s="516"/>
      <c r="AG30" s="516"/>
      <c r="AH30" s="516"/>
      <c r="AI30" s="516"/>
      <c r="AJ30" s="516"/>
      <c r="AK30" s="516"/>
      <c r="AL30" s="516"/>
      <c r="AM30" s="516"/>
      <c r="AN30" s="516"/>
      <c r="AO30" s="516"/>
      <c r="AP30" s="516"/>
      <c r="AQ30" s="516"/>
      <c r="AR30" s="516"/>
      <c r="AS30" s="516"/>
      <c r="AT30" s="516"/>
      <c r="AU30" s="516"/>
      <c r="AV30" s="516"/>
      <c r="AW30" s="516"/>
      <c r="AX30" s="516"/>
      <c r="AY30" s="516"/>
      <c r="AZ30" s="516"/>
      <c r="BA30" s="516"/>
      <c r="BB30" s="516"/>
      <c r="BC30" s="516"/>
      <c r="BD30" s="516"/>
      <c r="BE30" s="516"/>
      <c r="BF30" s="516"/>
      <c r="BG30" s="516"/>
      <c r="BH30" s="516"/>
      <c r="BI30" s="516"/>
      <c r="BJ30" s="516"/>
      <c r="BK30" s="516"/>
      <c r="BL30" s="516"/>
      <c r="BM30" s="516"/>
      <c r="BN30" s="516"/>
      <c r="BO30" s="516"/>
      <c r="BP30" s="516"/>
      <c r="BQ30" s="516"/>
      <c r="BR30" s="516"/>
      <c r="BS30" s="516"/>
      <c r="BT30" s="516"/>
      <c r="BU30" s="516"/>
      <c r="BV30" s="516"/>
      <c r="BW30" s="516"/>
      <c r="BX30" s="516"/>
      <c r="BY30" s="516"/>
      <c r="BZ30" s="516"/>
      <c r="CA30" s="516"/>
      <c r="CB30" s="516"/>
      <c r="CC30" s="516"/>
      <c r="CD30" s="516"/>
      <c r="CE30" s="516"/>
      <c r="CF30" s="516"/>
    </row>
    <row r="31" spans="2:84" x14ac:dyDescent="0.2">
      <c r="C31" s="511"/>
      <c r="D31" s="505"/>
      <c r="E31" s="505" t="str">
        <f>PedGuiEntTPN!C41</f>
        <v>Vocht</v>
      </c>
      <c r="F31" s="505" t="str">
        <f>PedGuiEntTPN!E41</f>
        <v>26 ml/kg</v>
      </c>
      <c r="G31" s="505" t="str">
        <f ca="1">PedGuiEntTPN!F41</f>
        <v>150 ml/kg</v>
      </c>
      <c r="H31" s="505"/>
      <c r="I31" s="505" t="str">
        <f>PedGuiEntTPN!I41</f>
        <v>Eiwit</v>
      </c>
      <c r="J31" s="505" t="str">
        <f>PedGuiEntTPN!J41</f>
        <v>0  gram/kg</v>
      </c>
      <c r="K31" s="505" t="str">
        <f>PedGuiEntTPN!K41</f>
        <v>2-2,5 g/kg</v>
      </c>
      <c r="L31" s="505"/>
      <c r="M31" s="505"/>
      <c r="N31" s="505"/>
      <c r="O31" s="523"/>
      <c r="P31" s="523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6"/>
      <c r="AB31" s="516"/>
      <c r="AC31" s="516"/>
      <c r="AD31" s="516"/>
      <c r="AE31" s="516"/>
      <c r="AF31" s="516"/>
      <c r="AG31" s="516"/>
      <c r="AH31" s="516"/>
      <c r="AI31" s="516"/>
      <c r="AJ31" s="516"/>
      <c r="AK31" s="516"/>
      <c r="AL31" s="516"/>
      <c r="AM31" s="516"/>
      <c r="AN31" s="516"/>
      <c r="AO31" s="516"/>
      <c r="AP31" s="516"/>
      <c r="AQ31" s="516"/>
      <c r="AR31" s="516"/>
      <c r="AS31" s="516"/>
      <c r="AT31" s="516"/>
      <c r="AU31" s="516"/>
      <c r="AV31" s="516"/>
      <c r="AW31" s="516"/>
      <c r="AX31" s="516"/>
      <c r="AY31" s="516"/>
      <c r="AZ31" s="516"/>
      <c r="BA31" s="516"/>
      <c r="BB31" s="516"/>
      <c r="BC31" s="516"/>
      <c r="BD31" s="516"/>
      <c r="BE31" s="516"/>
      <c r="BF31" s="516"/>
      <c r="BG31" s="516"/>
      <c r="BH31" s="516"/>
      <c r="BI31" s="516"/>
      <c r="BJ31" s="516"/>
      <c r="BK31" s="516"/>
      <c r="BL31" s="516"/>
      <c r="BM31" s="516"/>
      <c r="BN31" s="516"/>
      <c r="BO31" s="516"/>
      <c r="BP31" s="516"/>
      <c r="BQ31" s="516"/>
      <c r="BR31" s="516"/>
      <c r="BS31" s="516"/>
      <c r="BT31" s="516"/>
      <c r="BU31" s="516"/>
      <c r="BV31" s="516"/>
      <c r="BW31" s="516"/>
      <c r="BX31" s="516"/>
      <c r="BY31" s="516"/>
      <c r="BZ31" s="516"/>
      <c r="CA31" s="516"/>
      <c r="CB31" s="516"/>
      <c r="CC31" s="516"/>
      <c r="CD31" s="516"/>
      <c r="CE31" s="516"/>
    </row>
    <row r="32" spans="2:84" x14ac:dyDescent="0.2">
      <c r="C32" s="511"/>
      <c r="D32" s="505"/>
      <c r="E32" s="505" t="str">
        <f>PedGuiEntTPN!C42</f>
        <v>Calorieen</v>
      </c>
      <c r="F32" s="505" t="str">
        <f>PedGuiEntTPN!E42</f>
        <v>0 kCal/kg</v>
      </c>
      <c r="G32" s="505" t="str">
        <f ca="1">PedGuiEntTPN!F42</f>
        <v>0 kCal/kg</v>
      </c>
      <c r="H32" s="505"/>
      <c r="I32" s="505" t="str">
        <f>PedGuiEntTPN!I42</f>
        <v>Vet</v>
      </c>
      <c r="J32" s="505" t="str">
        <f>PedGuiEntTPN!J42</f>
        <v>0 gram/kg</v>
      </c>
      <c r="K32" s="505" t="str">
        <f>PedGuiEntTPN!K42</f>
        <v>4 g/kg</v>
      </c>
      <c r="L32" s="505"/>
      <c r="M32" s="505"/>
      <c r="N32" s="505"/>
      <c r="O32" s="523"/>
      <c r="P32" s="523"/>
      <c r="Q32" s="511"/>
      <c r="R32" s="511"/>
      <c r="S32" s="511"/>
      <c r="T32" s="511"/>
      <c r="U32" s="511"/>
      <c r="V32" s="511"/>
      <c r="W32" s="511"/>
      <c r="X32" s="511"/>
      <c r="Y32" s="511"/>
      <c r="Z32" s="511"/>
      <c r="AA32" s="516"/>
      <c r="AB32" s="516"/>
      <c r="AC32" s="516"/>
      <c r="AD32" s="516"/>
      <c r="AE32" s="516"/>
      <c r="AF32" s="516"/>
      <c r="AG32" s="516"/>
      <c r="AH32" s="516"/>
      <c r="AI32" s="516"/>
      <c r="AJ32" s="516"/>
      <c r="AK32" s="516"/>
      <c r="AL32" s="516"/>
      <c r="AM32" s="516"/>
      <c r="AN32" s="516"/>
      <c r="AO32" s="516"/>
      <c r="AP32" s="516"/>
      <c r="AQ32" s="516"/>
      <c r="AR32" s="516"/>
      <c r="AS32" s="516"/>
      <c r="AT32" s="516"/>
      <c r="AU32" s="516"/>
      <c r="AV32" s="516"/>
      <c r="AW32" s="516"/>
      <c r="AX32" s="516"/>
      <c r="AY32" s="516"/>
      <c r="AZ32" s="516"/>
      <c r="BA32" s="516"/>
      <c r="BB32" s="516"/>
      <c r="BC32" s="516"/>
      <c r="BD32" s="516"/>
      <c r="BE32" s="516"/>
      <c r="BF32" s="516"/>
      <c r="BG32" s="516"/>
      <c r="BH32" s="516"/>
      <c r="BI32" s="516"/>
      <c r="BJ32" s="516"/>
      <c r="BK32" s="516"/>
      <c r="BL32" s="516"/>
      <c r="BM32" s="516"/>
      <c r="BN32" s="516"/>
      <c r="BO32" s="516"/>
      <c r="BP32" s="516"/>
      <c r="BQ32" s="516"/>
      <c r="BR32" s="516"/>
      <c r="BS32" s="516"/>
      <c r="BT32" s="516"/>
      <c r="BU32" s="516"/>
      <c r="BV32" s="516"/>
      <c r="BW32" s="516"/>
      <c r="BX32" s="516"/>
      <c r="BY32" s="516"/>
      <c r="BZ32" s="516"/>
      <c r="CA32" s="516"/>
      <c r="CB32" s="516"/>
      <c r="CC32" s="516"/>
      <c r="CD32" s="516"/>
      <c r="CE32" s="516"/>
    </row>
    <row r="33" spans="3:84" x14ac:dyDescent="0.2">
      <c r="C33" s="511"/>
      <c r="D33" s="505"/>
      <c r="E33" s="505" t="str">
        <f>PedGuiEntTPN!C43</f>
        <v>Glucose/KH</v>
      </c>
      <c r="F33" s="505" t="str">
        <f>PedGuiEntTPN!E43</f>
        <v>0 g/kg</v>
      </c>
      <c r="G33" s="505" t="str">
        <f>PedGuiEntTPN!F43</f>
        <v>3,6 g/kg</v>
      </c>
      <c r="H33" s="505"/>
      <c r="I33" s="505" t="str">
        <f>PedGuiEntTPN!I43</f>
        <v>Calcium</v>
      </c>
      <c r="J33" s="505" t="str">
        <f>PedGuiEntTPN!J43</f>
        <v>0 mmol/kg</v>
      </c>
      <c r="K33" s="505" t="str">
        <f>PedGuiEntTPN!K43</f>
        <v>0,2-0,8 mmol/kg (3-10 kg:0,8; 10-20 kg:0,5; &gt; 20 kg:0,2 mmol/kg)</v>
      </c>
      <c r="L33" s="505"/>
      <c r="M33" s="505"/>
      <c r="N33" s="505"/>
      <c r="O33" s="523"/>
      <c r="P33" s="523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6"/>
      <c r="AB33" s="516"/>
      <c r="AC33" s="516"/>
      <c r="AD33" s="516"/>
      <c r="AE33" s="516"/>
      <c r="AF33" s="516"/>
      <c r="AG33" s="516"/>
      <c r="AH33" s="516"/>
      <c r="AI33" s="516"/>
      <c r="AJ33" s="516"/>
      <c r="AK33" s="516"/>
      <c r="AL33" s="516"/>
      <c r="AM33" s="516"/>
      <c r="AN33" s="516"/>
      <c r="AO33" s="516"/>
      <c r="AP33" s="516"/>
      <c r="AQ33" s="516"/>
      <c r="AR33" s="516"/>
      <c r="AS33" s="516"/>
      <c r="AT33" s="516"/>
      <c r="AU33" s="516"/>
      <c r="AV33" s="516"/>
      <c r="AW33" s="516"/>
      <c r="AX33" s="516"/>
      <c r="AY33" s="516"/>
      <c r="AZ33" s="516"/>
      <c r="BA33" s="516"/>
      <c r="BB33" s="516"/>
      <c r="BC33" s="516"/>
      <c r="BD33" s="516"/>
      <c r="BE33" s="516"/>
      <c r="BF33" s="516"/>
      <c r="BG33" s="516"/>
      <c r="BH33" s="516"/>
      <c r="BI33" s="516"/>
      <c r="BJ33" s="516"/>
      <c r="BK33" s="516"/>
      <c r="BL33" s="516"/>
      <c r="BM33" s="516"/>
      <c r="BN33" s="516"/>
      <c r="BO33" s="516"/>
      <c r="BP33" s="516"/>
      <c r="BQ33" s="516"/>
      <c r="BR33" s="516"/>
      <c r="BS33" s="516"/>
      <c r="BT33" s="516"/>
      <c r="BU33" s="516"/>
      <c r="BV33" s="516"/>
      <c r="BW33" s="516"/>
      <c r="BX33" s="516"/>
      <c r="BY33" s="516"/>
      <c r="BZ33" s="516"/>
      <c r="CA33" s="516"/>
      <c r="CB33" s="516"/>
      <c r="CC33" s="516"/>
      <c r="CD33" s="516"/>
      <c r="CE33" s="516"/>
    </row>
    <row r="34" spans="3:84" x14ac:dyDescent="0.2">
      <c r="C34" s="511"/>
      <c r="D34" s="505"/>
      <c r="E34" s="505" t="str">
        <f>PedGuiEntTPN!C44</f>
        <v xml:space="preserve">Natrium </v>
      </c>
      <c r="F34" s="505" t="str">
        <f>PedGuiEntTPN!E44</f>
        <v>1,1 mmol/kg</v>
      </c>
      <c r="G34" s="505" t="str">
        <f>PedGuiEntTPN!F44</f>
        <v>2-4 mmol/kg</v>
      </c>
      <c r="H34" s="505"/>
      <c r="I34" s="505" t="str">
        <f>PedGuiEntTPN!I44</f>
        <v>Magnesium</v>
      </c>
      <c r="J34" s="505" t="str">
        <f>PedGuiEntTPN!J44</f>
        <v>0 mmol/kg</v>
      </c>
      <c r="K34" s="505" t="str">
        <f>PedGuiEntTPN!K44</f>
        <v>0,1-0,3 mmol/kg</v>
      </c>
      <c r="L34" s="505"/>
      <c r="M34" s="505"/>
      <c r="N34" s="505"/>
      <c r="O34" s="523"/>
      <c r="P34" s="523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</row>
    <row r="35" spans="3:84" x14ac:dyDescent="0.2">
      <c r="C35" s="511"/>
      <c r="D35" s="505"/>
      <c r="E35" s="505" t="str">
        <f>PedGuiEntTPN!C45</f>
        <v>Kalium</v>
      </c>
      <c r="F35" s="505" t="str">
        <f>PedGuiEntTPN!E45</f>
        <v>0 mmol/kg</v>
      </c>
      <c r="G35" s="505" t="str">
        <f>PedGuiEntTPN!F45</f>
        <v>1-2 mmol/kg</v>
      </c>
      <c r="H35" s="505"/>
      <c r="I35" s="505" t="str">
        <f>PedGuiEntTPN!I45</f>
        <v>Fosfaat</v>
      </c>
      <c r="J35" s="505" t="str">
        <f>PedGuiEntTPN!J45</f>
        <v>0 mmol/kg</v>
      </c>
      <c r="K35" s="505" t="str">
        <f>PedGuiEntTPN!K45</f>
        <v>0,75 mmol/kg</v>
      </c>
      <c r="L35" s="505"/>
      <c r="M35" s="505"/>
      <c r="N35" s="505"/>
      <c r="O35" s="523"/>
      <c r="P35" s="523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</row>
    <row r="36" spans="3:84" ht="13.5" thickBot="1" x14ac:dyDescent="0.25">
      <c r="C36" s="511"/>
      <c r="D36" s="511"/>
      <c r="E36" s="511"/>
      <c r="F36" s="511"/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</row>
    <row r="37" spans="3:84" ht="14.25" thickTop="1" thickBot="1" x14ac:dyDescent="0.25">
      <c r="C37" s="511"/>
      <c r="D37" s="494"/>
      <c r="E37" s="495" t="s">
        <v>285</v>
      </c>
      <c r="F37" s="828">
        <f>PedBerMedIV!C28</f>
        <v>0</v>
      </c>
      <c r="G37" s="829"/>
      <c r="H37" s="829"/>
      <c r="I37" s="829"/>
      <c r="J37" s="829"/>
      <c r="K37" s="829"/>
      <c r="L37" s="829"/>
      <c r="M37" s="829"/>
      <c r="N37" s="829"/>
      <c r="O37" s="511"/>
      <c r="P37" s="511"/>
      <c r="Q37" s="511"/>
      <c r="R37" s="511"/>
      <c r="S37" s="511"/>
      <c r="T37" s="511"/>
      <c r="U37" s="511"/>
      <c r="V37" s="511"/>
      <c r="W37" s="511"/>
      <c r="X37" s="511"/>
      <c r="Y37" s="511"/>
      <c r="Z37" s="511"/>
      <c r="AA37" s="511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</row>
    <row r="38" spans="3:84" ht="13.5" thickTop="1" x14ac:dyDescent="0.2">
      <c r="C38" s="511"/>
      <c r="D38" s="494"/>
      <c r="E38" s="496"/>
      <c r="F38" s="829"/>
      <c r="G38" s="829"/>
      <c r="H38" s="829"/>
      <c r="I38" s="829"/>
      <c r="J38" s="829"/>
      <c r="K38" s="829"/>
      <c r="L38" s="829"/>
      <c r="M38" s="829"/>
      <c r="N38" s="829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6"/>
      <c r="AC38" s="516"/>
      <c r="AD38" s="516"/>
      <c r="AE38" s="516"/>
      <c r="AF38" s="516"/>
      <c r="AG38" s="516"/>
      <c r="AH38" s="516"/>
      <c r="AI38" s="516"/>
      <c r="AJ38" s="516"/>
      <c r="AK38" s="516"/>
      <c r="AL38" s="516"/>
      <c r="AM38" s="516"/>
      <c r="AN38" s="516"/>
      <c r="AO38" s="516"/>
      <c r="AP38" s="516"/>
      <c r="AQ38" s="516"/>
      <c r="AR38" s="516"/>
      <c r="AS38" s="516"/>
      <c r="AT38" s="516"/>
      <c r="AU38" s="516"/>
      <c r="AV38" s="516"/>
      <c r="AW38" s="516"/>
      <c r="AX38" s="516"/>
      <c r="AY38" s="516"/>
      <c r="AZ38" s="516"/>
      <c r="BA38" s="516"/>
      <c r="BB38" s="516"/>
      <c r="BC38" s="516"/>
      <c r="BD38" s="516"/>
      <c r="BE38" s="516"/>
      <c r="BF38" s="516"/>
      <c r="BG38" s="516"/>
      <c r="BH38" s="516"/>
      <c r="BI38" s="516"/>
      <c r="BJ38" s="516"/>
      <c r="BK38" s="516"/>
      <c r="BL38" s="516"/>
      <c r="BM38" s="516"/>
      <c r="BN38" s="516"/>
      <c r="BO38" s="516"/>
      <c r="BP38" s="516"/>
      <c r="BQ38" s="516"/>
      <c r="BR38" s="516"/>
      <c r="BS38" s="516"/>
      <c r="BT38" s="516"/>
      <c r="BU38" s="516"/>
      <c r="BV38" s="516"/>
      <c r="BW38" s="516"/>
      <c r="BX38" s="516"/>
      <c r="BY38" s="516"/>
      <c r="BZ38" s="516"/>
      <c r="CA38" s="516"/>
      <c r="CB38" s="516"/>
      <c r="CC38" s="516"/>
      <c r="CD38" s="516"/>
      <c r="CE38" s="516"/>
      <c r="CF38" s="516"/>
    </row>
    <row r="39" spans="3:84" x14ac:dyDescent="0.2">
      <c r="C39" s="511"/>
      <c r="D39" s="494"/>
      <c r="E39" s="496"/>
      <c r="F39" s="829"/>
      <c r="G39" s="829"/>
      <c r="H39" s="829"/>
      <c r="I39" s="829"/>
      <c r="J39" s="829"/>
      <c r="K39" s="829"/>
      <c r="L39" s="829"/>
      <c r="M39" s="829"/>
      <c r="N39" s="829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6"/>
      <c r="AC39" s="516"/>
      <c r="AD39" s="516"/>
      <c r="AE39" s="516"/>
      <c r="AF39" s="516"/>
      <c r="AG39" s="516"/>
      <c r="AH39" s="516"/>
      <c r="AI39" s="516"/>
      <c r="AJ39" s="516"/>
      <c r="AK39" s="516"/>
      <c r="AL39" s="516"/>
      <c r="AM39" s="516"/>
      <c r="AN39" s="516"/>
      <c r="AO39" s="516"/>
      <c r="AP39" s="516"/>
      <c r="AQ39" s="516"/>
      <c r="AR39" s="516"/>
      <c r="AS39" s="516"/>
      <c r="AT39" s="516"/>
      <c r="AU39" s="516"/>
      <c r="AV39" s="516"/>
      <c r="AW39" s="516"/>
      <c r="AX39" s="516"/>
      <c r="AY39" s="516"/>
      <c r="AZ39" s="516"/>
      <c r="BA39" s="516"/>
      <c r="BB39" s="516"/>
      <c r="BC39" s="516"/>
      <c r="BD39" s="516"/>
      <c r="BE39" s="516"/>
      <c r="BF39" s="516"/>
      <c r="BG39" s="516"/>
      <c r="BH39" s="516"/>
      <c r="BI39" s="516"/>
      <c r="BJ39" s="516"/>
      <c r="BK39" s="516"/>
      <c r="BL39" s="516"/>
      <c r="BM39" s="516"/>
      <c r="BN39" s="516"/>
      <c r="BO39" s="516"/>
      <c r="BP39" s="516"/>
      <c r="BQ39" s="516"/>
      <c r="BR39" s="516"/>
      <c r="BS39" s="516"/>
      <c r="BT39" s="516"/>
      <c r="BU39" s="516"/>
      <c r="BV39" s="516"/>
      <c r="BW39" s="516"/>
      <c r="BX39" s="516"/>
      <c r="BY39" s="516"/>
      <c r="BZ39" s="516"/>
      <c r="CA39" s="516"/>
      <c r="CB39" s="516"/>
      <c r="CC39" s="516"/>
      <c r="CD39" s="516"/>
      <c r="CE39" s="516"/>
      <c r="CF39" s="516"/>
    </row>
    <row r="40" spans="3:84" x14ac:dyDescent="0.2">
      <c r="C40" s="511"/>
      <c r="D40" s="511"/>
      <c r="E40" s="524"/>
      <c r="F40" s="513"/>
      <c r="G40" s="513"/>
      <c r="H40" s="513"/>
      <c r="I40" s="513"/>
      <c r="J40" s="513"/>
      <c r="K40" s="513"/>
      <c r="L40" s="513"/>
      <c r="M40" s="513"/>
      <c r="N40" s="513"/>
      <c r="O40" s="511"/>
      <c r="P40" s="511"/>
      <c r="Q40" s="511"/>
      <c r="R40" s="511"/>
      <c r="S40" s="511"/>
      <c r="T40" s="511"/>
      <c r="U40" s="511"/>
      <c r="V40" s="511"/>
      <c r="W40" s="511"/>
      <c r="X40" s="511"/>
      <c r="Y40" s="511"/>
      <c r="Z40" s="511"/>
      <c r="AA40" s="511"/>
      <c r="AB40" s="516"/>
      <c r="AC40" s="516"/>
      <c r="AD40" s="516"/>
      <c r="AE40" s="516"/>
      <c r="AF40" s="516"/>
      <c r="AG40" s="516"/>
      <c r="AH40" s="516"/>
      <c r="AI40" s="516"/>
      <c r="AJ40" s="516"/>
      <c r="AK40" s="516"/>
      <c r="AL40" s="516"/>
      <c r="AM40" s="516"/>
      <c r="AN40" s="516"/>
      <c r="AO40" s="516"/>
      <c r="AP40" s="516"/>
      <c r="AQ40" s="516"/>
      <c r="AR40" s="516"/>
      <c r="AS40" s="516"/>
      <c r="AT40" s="516"/>
      <c r="AU40" s="516"/>
      <c r="AV40" s="516"/>
      <c r="AW40" s="516"/>
      <c r="AX40" s="516"/>
      <c r="AY40" s="516"/>
      <c r="AZ40" s="516"/>
      <c r="BA40" s="516"/>
      <c r="BB40" s="516"/>
      <c r="BC40" s="516"/>
      <c r="BD40" s="516"/>
      <c r="BE40" s="516"/>
      <c r="BF40" s="516"/>
      <c r="BG40" s="516"/>
      <c r="BH40" s="516"/>
      <c r="BI40" s="516"/>
      <c r="BJ40" s="516"/>
      <c r="BK40" s="516"/>
      <c r="BL40" s="516"/>
      <c r="BM40" s="516"/>
      <c r="BN40" s="516"/>
      <c r="BO40" s="516"/>
      <c r="BP40" s="516"/>
      <c r="BQ40" s="516"/>
      <c r="BR40" s="516"/>
      <c r="BS40" s="516"/>
      <c r="BT40" s="516"/>
      <c r="BU40" s="516"/>
      <c r="BV40" s="516"/>
      <c r="BW40" s="516"/>
      <c r="BX40" s="516"/>
      <c r="BY40" s="516"/>
      <c r="BZ40" s="516"/>
      <c r="CA40" s="516"/>
      <c r="CB40" s="516"/>
      <c r="CC40" s="516"/>
      <c r="CD40" s="516"/>
      <c r="CE40" s="516"/>
      <c r="CF40" s="516"/>
    </row>
    <row r="41" spans="3:84" x14ac:dyDescent="0.2">
      <c r="C41" s="511"/>
      <c r="D41" s="511"/>
      <c r="E41" s="524"/>
      <c r="F41" s="513"/>
      <c r="G41" s="513"/>
      <c r="H41" s="513"/>
      <c r="I41" s="513"/>
      <c r="J41" s="513"/>
      <c r="K41" s="513"/>
      <c r="L41" s="513"/>
      <c r="M41" s="513"/>
      <c r="N41" s="513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  <c r="AA41" s="511"/>
      <c r="AB41" s="516"/>
      <c r="AC41" s="516"/>
      <c r="AD41" s="516"/>
      <c r="AE41" s="516"/>
      <c r="AF41" s="516"/>
      <c r="AG41" s="516"/>
      <c r="AH41" s="516"/>
      <c r="AI41" s="516"/>
      <c r="AJ41" s="516"/>
      <c r="AK41" s="516"/>
      <c r="AL41" s="516"/>
      <c r="AM41" s="516"/>
      <c r="AN41" s="516"/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6"/>
      <c r="BC41" s="516"/>
      <c r="BD41" s="516"/>
      <c r="BE41" s="516"/>
      <c r="BF41" s="516"/>
      <c r="BG41" s="516"/>
      <c r="BH41" s="516"/>
      <c r="BI41" s="516"/>
      <c r="BJ41" s="516"/>
      <c r="BK41" s="516"/>
      <c r="BL41" s="516"/>
      <c r="BM41" s="516"/>
      <c r="BN41" s="516"/>
      <c r="BO41" s="516"/>
      <c r="BP41" s="516"/>
      <c r="BQ41" s="516"/>
      <c r="BR41" s="516"/>
      <c r="BS41" s="516"/>
      <c r="BT41" s="516"/>
      <c r="BU41" s="516"/>
      <c r="BV41" s="516"/>
      <c r="BW41" s="516"/>
      <c r="BX41" s="516"/>
      <c r="BY41" s="516"/>
      <c r="BZ41" s="516"/>
      <c r="CA41" s="516"/>
      <c r="CB41" s="516"/>
      <c r="CC41" s="516"/>
      <c r="CD41" s="516"/>
      <c r="CE41" s="516"/>
      <c r="CF41" s="516"/>
    </row>
    <row r="42" spans="3:84" x14ac:dyDescent="0.2">
      <c r="C42" s="511"/>
      <c r="D42" s="511"/>
      <c r="E42" s="511"/>
      <c r="F42" s="511"/>
      <c r="G42" s="511"/>
      <c r="H42" s="511"/>
      <c r="I42" s="511"/>
      <c r="J42" s="511"/>
      <c r="K42" s="511"/>
      <c r="L42" s="511"/>
      <c r="M42" s="511"/>
      <c r="N42" s="511"/>
      <c r="O42" s="511"/>
      <c r="P42" s="511"/>
      <c r="Q42" s="511"/>
      <c r="R42" s="511"/>
      <c r="S42" s="511"/>
      <c r="T42" s="511"/>
      <c r="U42" s="511"/>
      <c r="V42" s="511"/>
      <c r="W42" s="511"/>
      <c r="X42" s="511"/>
      <c r="Y42" s="511"/>
      <c r="Z42" s="511"/>
      <c r="AA42" s="511"/>
      <c r="AB42" s="516"/>
      <c r="AC42" s="516"/>
      <c r="AD42" s="516"/>
      <c r="AE42" s="516"/>
      <c r="AF42" s="516"/>
      <c r="AG42" s="516"/>
      <c r="AH42" s="516"/>
      <c r="AI42" s="516"/>
      <c r="AJ42" s="516"/>
      <c r="AK42" s="516"/>
      <c r="AL42" s="516"/>
      <c r="AM42" s="516"/>
      <c r="AN42" s="516"/>
      <c r="AO42" s="516"/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516"/>
      <c r="BA42" s="516"/>
      <c r="BB42" s="516"/>
      <c r="BC42" s="516"/>
      <c r="BD42" s="516"/>
      <c r="BE42" s="516"/>
      <c r="BF42" s="516"/>
      <c r="BG42" s="516"/>
      <c r="BH42" s="516"/>
      <c r="BI42" s="516"/>
      <c r="BJ42" s="516"/>
      <c r="BK42" s="516"/>
      <c r="BL42" s="516"/>
      <c r="BM42" s="516"/>
      <c r="BN42" s="516"/>
      <c r="BO42" s="516"/>
      <c r="BP42" s="516"/>
      <c r="BQ42" s="516"/>
      <c r="BR42" s="516"/>
      <c r="BS42" s="516"/>
      <c r="BT42" s="516"/>
      <c r="BU42" s="516"/>
      <c r="BV42" s="516"/>
      <c r="BW42" s="516"/>
      <c r="BX42" s="516"/>
      <c r="BY42" s="516"/>
      <c r="BZ42" s="516"/>
      <c r="CA42" s="516"/>
      <c r="CB42" s="516"/>
      <c r="CC42" s="516"/>
      <c r="CD42" s="516"/>
      <c r="CE42" s="516"/>
      <c r="CF42" s="516"/>
    </row>
    <row r="43" spans="3:84" x14ac:dyDescent="0.2">
      <c r="C43" s="511"/>
      <c r="D43" s="511"/>
      <c r="E43" s="511"/>
      <c r="F43" s="511"/>
      <c r="G43" s="511"/>
      <c r="H43" s="511"/>
      <c r="I43" s="511"/>
      <c r="J43" s="511"/>
      <c r="K43" s="511"/>
      <c r="L43" s="511"/>
      <c r="M43" s="511"/>
      <c r="N43" s="511"/>
      <c r="O43" s="511"/>
      <c r="P43" s="511"/>
      <c r="Q43" s="511"/>
      <c r="R43" s="511"/>
      <c r="S43" s="511"/>
      <c r="T43" s="511"/>
      <c r="U43" s="511"/>
      <c r="V43" s="511"/>
      <c r="W43" s="511"/>
      <c r="X43" s="511"/>
      <c r="Y43" s="511"/>
      <c r="Z43" s="511"/>
      <c r="AA43" s="511"/>
      <c r="AB43" s="516"/>
      <c r="AC43" s="516"/>
      <c r="AD43" s="516"/>
      <c r="AE43" s="516"/>
      <c r="AF43" s="516"/>
      <c r="AG43" s="516"/>
      <c r="AH43" s="516"/>
      <c r="AI43" s="516"/>
      <c r="AJ43" s="516"/>
      <c r="AK43" s="516"/>
      <c r="AL43" s="516"/>
      <c r="AM43" s="516"/>
      <c r="AN43" s="516"/>
      <c r="AO43" s="516"/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516"/>
      <c r="BA43" s="516"/>
      <c r="BB43" s="516"/>
      <c r="BC43" s="516"/>
      <c r="BD43" s="516"/>
      <c r="BE43" s="516"/>
      <c r="BF43" s="516"/>
      <c r="BG43" s="516"/>
      <c r="BH43" s="516"/>
      <c r="BI43" s="516"/>
      <c r="BJ43" s="516"/>
      <c r="BK43" s="516"/>
      <c r="BL43" s="516"/>
      <c r="BM43" s="516"/>
      <c r="BN43" s="516"/>
      <c r="BO43" s="516"/>
      <c r="BP43" s="516"/>
      <c r="BQ43" s="516"/>
      <c r="BR43" s="516"/>
      <c r="BS43" s="516"/>
      <c r="BT43" s="516"/>
      <c r="BU43" s="516"/>
      <c r="BV43" s="516"/>
      <c r="BW43" s="516"/>
      <c r="BX43" s="516"/>
      <c r="BY43" s="516"/>
      <c r="BZ43" s="516"/>
      <c r="CA43" s="516"/>
      <c r="CB43" s="516"/>
      <c r="CC43" s="516"/>
      <c r="CD43" s="516"/>
      <c r="CE43" s="516"/>
      <c r="CF43" s="516"/>
    </row>
    <row r="44" spans="3:84" x14ac:dyDescent="0.2">
      <c r="C44" s="511"/>
      <c r="D44" s="511"/>
      <c r="E44" s="511"/>
      <c r="F44" s="511"/>
      <c r="G44" s="511"/>
      <c r="H44" s="511"/>
      <c r="I44" s="511"/>
      <c r="J44" s="511"/>
      <c r="K44" s="511"/>
      <c r="L44" s="511"/>
      <c r="M44" s="511"/>
      <c r="N44" s="511"/>
      <c r="O44" s="511"/>
      <c r="P44" s="511"/>
      <c r="Q44" s="511"/>
      <c r="R44" s="511"/>
      <c r="S44" s="511"/>
      <c r="T44" s="511"/>
      <c r="U44" s="511"/>
      <c r="V44" s="511"/>
      <c r="W44" s="511"/>
      <c r="X44" s="511"/>
      <c r="Y44" s="511"/>
      <c r="Z44" s="511"/>
      <c r="AA44" s="511"/>
      <c r="AB44" s="516"/>
      <c r="AC44" s="516"/>
      <c r="AD44" s="516"/>
      <c r="AE44" s="516"/>
      <c r="AF44" s="516"/>
      <c r="AG44" s="516"/>
      <c r="AH44" s="516"/>
      <c r="AI44" s="516"/>
      <c r="AJ44" s="516"/>
      <c r="AK44" s="516"/>
      <c r="AL44" s="516"/>
      <c r="AM44" s="516"/>
      <c r="AN44" s="516"/>
      <c r="AO44" s="516"/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516"/>
      <c r="BA44" s="516"/>
      <c r="BB44" s="516"/>
      <c r="BC44" s="516"/>
      <c r="BD44" s="516"/>
      <c r="BE44" s="516"/>
      <c r="BF44" s="516"/>
      <c r="BG44" s="516"/>
      <c r="BH44" s="516"/>
      <c r="BI44" s="516"/>
      <c r="BJ44" s="516"/>
      <c r="BK44" s="516"/>
      <c r="BL44" s="516"/>
      <c r="BM44" s="516"/>
      <c r="BN44" s="516"/>
      <c r="BO44" s="516"/>
      <c r="BP44" s="516"/>
      <c r="BQ44" s="516"/>
      <c r="BR44" s="516"/>
      <c r="BS44" s="516"/>
      <c r="BT44" s="516"/>
      <c r="BU44" s="516"/>
      <c r="BV44" s="516"/>
      <c r="BW44" s="516"/>
      <c r="BX44" s="516"/>
      <c r="BY44" s="516"/>
      <c r="BZ44" s="516"/>
      <c r="CA44" s="516"/>
      <c r="CB44" s="516"/>
      <c r="CC44" s="516"/>
      <c r="CD44" s="516"/>
      <c r="CE44" s="516"/>
      <c r="CF44" s="516"/>
    </row>
    <row r="45" spans="3:84" x14ac:dyDescent="0.2">
      <c r="C45" s="511"/>
      <c r="D45" s="511"/>
      <c r="E45" s="511"/>
      <c r="F45" s="511"/>
      <c r="G45" s="511"/>
      <c r="H45" s="511"/>
      <c r="I45" s="511"/>
      <c r="J45" s="511"/>
      <c r="K45" s="511"/>
      <c r="L45" s="511"/>
      <c r="M45" s="511"/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511"/>
      <c r="Y45" s="511"/>
      <c r="Z45" s="511"/>
      <c r="AA45" s="511"/>
    </row>
    <row r="46" spans="3:84" x14ac:dyDescent="0.2">
      <c r="C46" s="511"/>
      <c r="D46" s="511"/>
      <c r="E46" s="511"/>
      <c r="F46" s="511"/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  <c r="R46" s="511"/>
      <c r="S46" s="511"/>
      <c r="T46" s="511"/>
      <c r="U46" s="511"/>
      <c r="V46" s="511"/>
      <c r="W46" s="511"/>
      <c r="X46" s="511"/>
      <c r="Y46" s="511"/>
      <c r="Z46" s="511"/>
      <c r="AA46" s="511"/>
    </row>
    <row r="47" spans="3:84" x14ac:dyDescent="0.2">
      <c r="C47" s="511"/>
      <c r="D47" s="511"/>
      <c r="E47" s="511"/>
      <c r="F47" s="511"/>
      <c r="G47" s="511"/>
      <c r="H47" s="511"/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</row>
    <row r="48" spans="3:84" x14ac:dyDescent="0.2">
      <c r="C48" s="511"/>
      <c r="D48" s="511"/>
      <c r="E48" s="511"/>
      <c r="F48" s="511"/>
      <c r="G48" s="511"/>
      <c r="H48" s="511"/>
      <c r="I48" s="511"/>
      <c r="J48" s="511"/>
      <c r="K48" s="511"/>
      <c r="L48" s="511"/>
      <c r="M48" s="511"/>
      <c r="N48" s="511"/>
      <c r="O48" s="511"/>
      <c r="P48" s="511"/>
      <c r="Q48" s="511"/>
      <c r="R48" s="511"/>
      <c r="S48" s="511"/>
      <c r="T48" s="511"/>
      <c r="U48" s="511"/>
      <c r="V48" s="511"/>
      <c r="W48" s="511"/>
      <c r="X48" s="511"/>
      <c r="Y48" s="511"/>
      <c r="Z48" s="511"/>
      <c r="AA48" s="511"/>
    </row>
    <row r="49" spans="3:27" x14ac:dyDescent="0.2">
      <c r="C49" s="511"/>
      <c r="D49" s="511"/>
      <c r="E49" s="511"/>
      <c r="F49" s="511"/>
      <c r="G49" s="511"/>
      <c r="H49" s="511"/>
      <c r="I49" s="511"/>
      <c r="J49" s="511"/>
      <c r="K49" s="511"/>
      <c r="L49" s="511"/>
      <c r="M49" s="511"/>
      <c r="N49" s="511"/>
      <c r="O49" s="511"/>
      <c r="P49" s="511"/>
      <c r="Q49" s="511"/>
      <c r="R49" s="511"/>
      <c r="S49" s="511"/>
      <c r="T49" s="511"/>
      <c r="U49" s="511"/>
      <c r="V49" s="511"/>
      <c r="W49" s="511"/>
      <c r="X49" s="511"/>
      <c r="Y49" s="511"/>
      <c r="Z49" s="511"/>
      <c r="AA49" s="511"/>
    </row>
    <row r="50" spans="3:27" x14ac:dyDescent="0.2">
      <c r="C50" s="511"/>
      <c r="D50" s="511"/>
      <c r="E50" s="511"/>
      <c r="F50" s="511"/>
      <c r="G50" s="511"/>
      <c r="H50" s="511"/>
      <c r="I50" s="511"/>
      <c r="J50" s="511"/>
      <c r="K50" s="511"/>
      <c r="L50" s="511"/>
      <c r="M50" s="511"/>
      <c r="N50" s="511"/>
      <c r="O50" s="511"/>
      <c r="P50" s="511"/>
      <c r="Q50" s="511"/>
      <c r="R50" s="511"/>
      <c r="S50" s="511"/>
      <c r="T50" s="511"/>
      <c r="U50" s="511"/>
      <c r="V50" s="511"/>
      <c r="W50" s="511"/>
      <c r="X50" s="511"/>
      <c r="Y50" s="511"/>
      <c r="Z50" s="511"/>
      <c r="AA50" s="51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PedBerMedIV!U10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J14:J23</xm:sqref>
        </x14:conditionalFormatting>
        <x14:conditionalFormatting xmlns:xm="http://schemas.microsoft.com/office/excel/2006/main">
          <x14:cfRule type="expression" priority="1" stopIfTrue="1" id="{00000000-0000-0000-0000-000000000000}">
            <xm:f>PedBerMedIV!U5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" id="{00000000-0000-0000-0000-000000000000}">
            <xm:f>PedBerMedIV!V5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J9:J13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F9:G23</xm:sqref>
        </x14:conditionalFormatting>
        <x14:conditionalFormatting xmlns:xm="http://schemas.microsoft.com/office/excel/2006/main">
          <x14:cfRule type="expression" priority="122" id="{00000000-0000-0000-0000-000000000000}">
            <xm:f>PedBerMedIV!V10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V5" sqref="V5"/>
    </sheetView>
  </sheetViews>
  <sheetFormatPr defaultColWidth="9.140625" defaultRowHeight="12.75" x14ac:dyDescent="0.2"/>
  <cols>
    <col min="1" max="1" width="8" customWidth="1"/>
    <col min="2" max="2" width="8" style="310" customWidth="1"/>
    <col min="3" max="5" width="7.7109375" customWidth="1"/>
    <col min="6" max="7" width="7.7109375" style="310" customWidth="1"/>
    <col min="8" max="9" width="10.28515625" style="310" customWidth="1"/>
    <col min="10" max="12" width="7.7109375" style="310" customWidth="1"/>
    <col min="13" max="20" width="7.7109375" customWidth="1"/>
    <col min="21" max="25" width="7.7109375" style="310" customWidth="1"/>
    <col min="26" max="26" width="7.28515625" customWidth="1"/>
    <col min="27" max="27" width="7.7109375" customWidth="1"/>
    <col min="28" max="28" width="11.28515625" customWidth="1"/>
    <col min="29" max="29" width="11.140625" customWidth="1"/>
    <col min="31" max="31" width="11.140625" customWidth="1"/>
    <col min="33" max="33" width="11.5703125" customWidth="1"/>
    <col min="34" max="34" width="11.28515625" customWidth="1"/>
    <col min="36" max="36" width="19.42578125" customWidth="1"/>
  </cols>
  <sheetData>
    <row r="1" spans="1:36" s="310" customFormat="1" x14ac:dyDescent="0.2">
      <c r="C1" s="311" t="s">
        <v>4618</v>
      </c>
      <c r="H1" s="311" t="s">
        <v>4619</v>
      </c>
      <c r="U1" s="311" t="s">
        <v>4621</v>
      </c>
      <c r="Z1" s="311" t="s">
        <v>4620</v>
      </c>
    </row>
    <row r="2" spans="1:36" s="657" customFormat="1" x14ac:dyDescent="0.2">
      <c r="A2" s="376" t="s">
        <v>4632</v>
      </c>
      <c r="C2" s="376">
        <v>1</v>
      </c>
      <c r="D2" s="657">
        <v>2</v>
      </c>
      <c r="E2" s="657">
        <v>3</v>
      </c>
      <c r="H2" s="376">
        <v>16</v>
      </c>
      <c r="I2" s="657">
        <v>17</v>
      </c>
      <c r="J2" s="657">
        <v>18</v>
      </c>
      <c r="U2" s="376">
        <v>12</v>
      </c>
      <c r="W2" s="657">
        <v>16</v>
      </c>
      <c r="X2" s="657">
        <v>17</v>
      </c>
      <c r="Y2" s="657">
        <v>13</v>
      </c>
      <c r="Z2" s="376"/>
      <c r="AB2" s="657">
        <v>1</v>
      </c>
      <c r="AC2" s="657">
        <v>2</v>
      </c>
      <c r="AH2" s="657">
        <v>3</v>
      </c>
      <c r="AJ2" s="657">
        <v>15</v>
      </c>
    </row>
    <row r="3" spans="1:36" s="19" customFormat="1" ht="25.5" x14ac:dyDescent="0.2">
      <c r="A3" s="359" t="s">
        <v>471</v>
      </c>
      <c r="B3" s="19" t="s">
        <v>467</v>
      </c>
      <c r="C3" s="19" t="s">
        <v>234</v>
      </c>
      <c r="D3" s="19" t="s">
        <v>199</v>
      </c>
      <c r="E3" s="149" t="s">
        <v>3780</v>
      </c>
      <c r="F3" s="149" t="s">
        <v>4617</v>
      </c>
      <c r="G3" s="149" t="s">
        <v>51</v>
      </c>
      <c r="H3" s="149" t="s">
        <v>4615</v>
      </c>
      <c r="I3" s="149" t="s">
        <v>4616</v>
      </c>
      <c r="J3" s="149" t="s">
        <v>1001</v>
      </c>
      <c r="K3" s="480" t="s">
        <v>3781</v>
      </c>
      <c r="M3" s="149" t="s">
        <v>468</v>
      </c>
      <c r="N3" s="149" t="s">
        <v>469</v>
      </c>
      <c r="O3" s="149" t="s">
        <v>470</v>
      </c>
      <c r="P3" s="19" t="s">
        <v>273</v>
      </c>
      <c r="Q3" s="19" t="s">
        <v>222</v>
      </c>
      <c r="R3" s="19" t="s">
        <v>223</v>
      </c>
      <c r="S3" s="19" t="s">
        <v>384</v>
      </c>
      <c r="T3" s="19" t="s">
        <v>217</v>
      </c>
      <c r="U3" s="149" t="s">
        <v>4008</v>
      </c>
      <c r="V3" s="149" t="s">
        <v>4007</v>
      </c>
      <c r="W3" s="149" t="s">
        <v>4009</v>
      </c>
      <c r="X3" s="149" t="s">
        <v>4010</v>
      </c>
      <c r="Y3" s="149" t="s">
        <v>4812</v>
      </c>
      <c r="Z3" s="149" t="s">
        <v>3778</v>
      </c>
      <c r="AA3" s="149" t="s">
        <v>3777</v>
      </c>
      <c r="AB3" s="19" t="s">
        <v>324</v>
      </c>
      <c r="AC3" s="19" t="s">
        <v>199</v>
      </c>
      <c r="AD3" s="19" t="s">
        <v>304</v>
      </c>
      <c r="AE3" s="19" t="s">
        <v>150</v>
      </c>
      <c r="AF3" s="19" t="s">
        <v>51</v>
      </c>
      <c r="AG3" s="19" t="s">
        <v>325</v>
      </c>
      <c r="AH3" s="19" t="s">
        <v>3779</v>
      </c>
      <c r="AI3" s="19" t="s">
        <v>304</v>
      </c>
      <c r="AJ3" s="149" t="s">
        <v>536</v>
      </c>
    </row>
    <row r="4" spans="1:36" x14ac:dyDescent="0.2">
      <c r="A4">
        <v>0</v>
      </c>
      <c r="B4" s="333">
        <v>1</v>
      </c>
      <c r="C4" s="333"/>
      <c r="D4" s="333"/>
      <c r="E4" s="333"/>
      <c r="F4"/>
      <c r="G4"/>
      <c r="H4" s="333"/>
      <c r="I4" s="333"/>
      <c r="J4" s="333"/>
      <c r="K4"/>
      <c r="L4"/>
      <c r="U4"/>
      <c r="V4"/>
      <c r="W4"/>
      <c r="X4"/>
    </row>
    <row r="5" spans="1:36" x14ac:dyDescent="0.2">
      <c r="A5">
        <v>1</v>
      </c>
      <c r="B5" s="333">
        <v>2</v>
      </c>
      <c r="C5" s="333">
        <v>5</v>
      </c>
      <c r="D5" s="333">
        <v>0</v>
      </c>
      <c r="E5" s="333">
        <v>0</v>
      </c>
      <c r="F5">
        <v>1</v>
      </c>
      <c r="G5">
        <v>8</v>
      </c>
      <c r="H5" s="333">
        <f t="shared" ref="H5:H19" si="0">IF(C5&gt;1,IF(D5&gt;0,D5,INDEX(Tbl_Ped_MedContIV,C5,H$2)),"")</f>
        <v>50</v>
      </c>
      <c r="I5" s="333">
        <f t="shared" ref="I5:I19" si="1">IF(C5&gt;1,IF(E5&gt;0,E5,INDEX(Tbl_Ped_MedContIV,C5,I$2)),"")</f>
        <v>50</v>
      </c>
      <c r="J5" s="333">
        <f t="shared" ref="J5:J19" si="2">IF(AND(C5&gt;1,_Pat_Gewicht&gt;0),ROUND(INDEX(Tbl_Ped_MedContIV,C5,J$2)*(G5/10)*(H5/I5)/(_Pat_Gewicht/10),3),"")</f>
        <v>13.333</v>
      </c>
      <c r="K5"/>
      <c r="L5"/>
      <c r="M5">
        <f>IF(PedGuiMedIV!E9&lt;&gt;0,24*G5/10,0)</f>
        <v>19.2</v>
      </c>
      <c r="N5">
        <f t="shared" ref="N5:N19" si="3">IF($F5=3,M5*0.05,0)</f>
        <v>0</v>
      </c>
      <c r="O5">
        <f t="shared" ref="O5:O19" si="4">IF($F5=4,M5*0.1,0)</f>
        <v>0</v>
      </c>
      <c r="P5">
        <f t="shared" ref="P5:P19" si="5">IF($F5=2,M5*0.155,0)</f>
        <v>0</v>
      </c>
      <c r="Q5">
        <f t="shared" ref="Q5:Q19" si="6">IF(OR($C5=24),0.5*$M5,IF(C5=4,M5*145/1000,0))</f>
        <v>0</v>
      </c>
      <c r="R5">
        <f>IF(OR($C5=19),0,0)</f>
        <v>0</v>
      </c>
      <c r="S5">
        <f t="shared" ref="S5:S19" si="7">IF(OR($C5=4),0.2*$M5,0)</f>
        <v>0</v>
      </c>
      <c r="T5">
        <f t="shared" ref="T5:T19" si="8">IF(OR(C5=20,C5=21),0.1*M5,0)</f>
        <v>0</v>
      </c>
      <c r="U5" t="b">
        <f>AND(C5&gt;1,(AG5&gt;=INDEX(Tbl_Ped_MedContIV,C5,12)))</f>
        <v>0</v>
      </c>
      <c r="V5" t="b">
        <f>AND(C5&gt;1,NOT(AND(AG5&gt;=INDEX(Tbl_Ped_MedContIV,C5,10),AG5&lt;=INDEX(Tbl_Ped_MedContIV,C5,11))))</f>
        <v>0</v>
      </c>
      <c r="W5" s="311" t="b">
        <f>AND(C5&gt;1,H5&lt;&gt;INDEX(Tbl_Ped_MedContIV,C5,W$2))</f>
        <v>0</v>
      </c>
      <c r="X5" t="b">
        <f>AND(C5&gt;1,I5&lt;&gt;INDEX(Tbl_Ped_MedContIV,C5,X$2))</f>
        <v>0</v>
      </c>
      <c r="Y5" s="310" t="b">
        <f>AND(F5&gt;1,INDEX(Tbl_Ped_MedContIV,C5,13)&gt;1,INDEX(Tbl_Ped_MedContIV,C5,13)&lt;&gt;F5)</f>
        <v>0</v>
      </c>
      <c r="Z5" t="str">
        <f t="shared" ref="Z5:Z19" si="9">IF(C5&gt;1,"verw","")</f>
        <v>verw</v>
      </c>
      <c r="AA5" t="str">
        <f>IF(NOT(OR(W5,X5,Y5)),"","stand")</f>
        <v/>
      </c>
      <c r="AB5" t="str">
        <f t="shared" ref="AB5:AB19" si="10">IF(C5&gt;1,INDEX(Tbl_Ped_MedContIV,C5,AB$2),"")</f>
        <v>amiodarone</v>
      </c>
      <c r="AC5" t="str">
        <f t="shared" ref="AC5:AC19" si="11">IF(C5&gt;1,H5&amp;" "&amp;INDEX(Tbl_Ped_MedContIV,$C5,AC$2), "")</f>
        <v>50 mg</v>
      </c>
      <c r="AD5" t="str">
        <f t="shared" ref="AD5:AD19" si="12">IF(AND(C5&gt;1,I5&gt;0),I5&amp;" ml","")</f>
        <v>50 ml</v>
      </c>
      <c r="AE5" t="str">
        <f t="shared" ref="AE5:AE19" si="13">IF((INDEX(tblOplossing,F5,1)=0),"",INDEX(tblOplossing,F5,1))</f>
        <v/>
      </c>
      <c r="AF5" t="str">
        <f t="shared" ref="AF5:AF19" si="14">IF(C5&gt;1,G5/10&amp;" ml/uur","")</f>
        <v>0,8 ml/uur</v>
      </c>
      <c r="AG5">
        <f t="shared" ref="AG5:AG19" si="15">IF(AND(C5&gt;1,J5&lt;&gt;""),(G5/10)*J5,"")</f>
        <v>10.666400000000001</v>
      </c>
      <c r="AH5" t="str">
        <f t="shared" ref="AH5:AH19" si="16">IF(C5&gt;1,INDEX(Tbl_Ped_MedContIV,C5,AH$2), "")</f>
        <v>microg/kg/min</v>
      </c>
      <c r="AI5" t="str">
        <f t="shared" ref="AI5:AI19" si="17">IF(C5&gt;1,24*G5/10&amp;" ml","")</f>
        <v>19,2 ml</v>
      </c>
      <c r="AJ5" t="str">
        <f t="shared" ref="AJ5:AJ19" si="18">IF(C5&gt;1,INDEX(Tbl_Ped_MedContIV,C5,AJ$2),"")</f>
        <v>5-15 microg/kg/min</v>
      </c>
    </row>
    <row r="6" spans="1:36" x14ac:dyDescent="0.2">
      <c r="A6">
        <v>2</v>
      </c>
      <c r="B6" s="333">
        <v>3</v>
      </c>
      <c r="C6" s="333">
        <v>1</v>
      </c>
      <c r="D6" s="333">
        <v>0</v>
      </c>
      <c r="E6" s="333">
        <v>0</v>
      </c>
      <c r="F6">
        <v>1</v>
      </c>
      <c r="G6">
        <v>0</v>
      </c>
      <c r="H6" s="333" t="str">
        <f t="shared" si="0"/>
        <v/>
      </c>
      <c r="I6" s="333" t="str">
        <f t="shared" si="1"/>
        <v/>
      </c>
      <c r="J6" s="333" t="str">
        <f t="shared" si="2"/>
        <v/>
      </c>
      <c r="K6"/>
      <c r="L6"/>
      <c r="M6">
        <f>IF(PedGuiMedIV!E10&lt;&gt;0,24*G6/10,0)</f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ref="R6:R25" si="19">IF(OR($C6=19),0,0)</f>
        <v>0</v>
      </c>
      <c r="S6">
        <f t="shared" si="7"/>
        <v>0</v>
      </c>
      <c r="T6">
        <f t="shared" si="8"/>
        <v>0</v>
      </c>
      <c r="U6" s="310" t="b">
        <f>AND(C6&gt;1,(AG6&gt;=INDEX(Tbl_Ped_MedContIV,C6,12)))</f>
        <v>0</v>
      </c>
      <c r="V6" s="310" t="b">
        <f>AND(C6&gt;1,NOT(AND(AG6&gt;=INDEX(Tbl_Ped_MedContIV,C6,10),AG6&lt;=INDEX(Tbl_Ped_MedContIV,C6,11))))</f>
        <v>0</v>
      </c>
      <c r="W6" s="311" t="b">
        <f>AND(C6&gt;1,H6&lt;&gt;INDEX(Tbl_Ped_MedContIV,C6,W$2))</f>
        <v>0</v>
      </c>
      <c r="X6" s="310" t="b">
        <f>AND(C6&gt;1,I6&lt;&gt;INDEX(Tbl_Ped_MedContIV,C6,X$2))</f>
        <v>0</v>
      </c>
      <c r="Y6" s="310" t="b">
        <f>AND(F6&gt;1,INDEX(Tbl_Ped_MedContIV,C6,13)&gt;1,INDEX(Tbl_Ped_MedContIV,C6,13)&lt;&gt;F6)</f>
        <v>0</v>
      </c>
      <c r="Z6" s="310" t="str">
        <f t="shared" si="9"/>
        <v/>
      </c>
      <c r="AA6" s="310" t="str">
        <f t="shared" ref="AA6:AA19" si="20">IF(NOT(OR(W6,X6,Y6)),"","stand")</f>
        <v/>
      </c>
      <c r="AB6" s="310" t="str">
        <f t="shared" si="10"/>
        <v/>
      </c>
      <c r="AC6" s="310" t="str">
        <f t="shared" si="11"/>
        <v/>
      </c>
      <c r="AD6" s="310" t="str">
        <f t="shared" si="12"/>
        <v/>
      </c>
      <c r="AE6" s="310" t="str">
        <f t="shared" si="13"/>
        <v/>
      </c>
      <c r="AF6" s="310" t="str">
        <f t="shared" si="14"/>
        <v/>
      </c>
      <c r="AG6" s="310" t="str">
        <f t="shared" si="15"/>
        <v/>
      </c>
      <c r="AH6" s="310" t="str">
        <f t="shared" si="16"/>
        <v/>
      </c>
      <c r="AI6" s="310" t="str">
        <f t="shared" si="17"/>
        <v/>
      </c>
      <c r="AJ6" s="310" t="str">
        <f t="shared" si="18"/>
        <v/>
      </c>
    </row>
    <row r="7" spans="1:36" x14ac:dyDescent="0.2">
      <c r="A7">
        <v>3</v>
      </c>
      <c r="B7" s="333">
        <v>4</v>
      </c>
      <c r="C7" s="333">
        <v>1</v>
      </c>
      <c r="D7" s="333">
        <v>0</v>
      </c>
      <c r="E7" s="333">
        <v>0</v>
      </c>
      <c r="F7">
        <v>1</v>
      </c>
      <c r="G7">
        <v>0</v>
      </c>
      <c r="H7" s="333" t="str">
        <f t="shared" si="0"/>
        <v/>
      </c>
      <c r="I7" s="333" t="str">
        <f t="shared" si="1"/>
        <v/>
      </c>
      <c r="J7" s="333" t="str">
        <f t="shared" si="2"/>
        <v/>
      </c>
      <c r="K7"/>
      <c r="L7"/>
      <c r="M7">
        <f>IF(PedGuiMedIV!E11&lt;&gt;0,24*G7/10,0)</f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19"/>
        <v>0</v>
      </c>
      <c r="S7">
        <f t="shared" si="7"/>
        <v>0</v>
      </c>
      <c r="T7">
        <f t="shared" si="8"/>
        <v>0</v>
      </c>
      <c r="U7" s="310" t="b">
        <f>AND(C7&gt;1,(AG7&gt;=INDEX(Tbl_Ped_MedContIV,C7,12)))</f>
        <v>0</v>
      </c>
      <c r="V7" s="310" t="b">
        <f>AND(C7&gt;1,NOT(AND(AG7&gt;=INDEX(Tbl_Ped_MedContIV,C7,10),AG7&lt;=INDEX(Tbl_Ped_MedContIV,C7,11))))</f>
        <v>0</v>
      </c>
      <c r="W7" s="311" t="b">
        <f>AND(C7&gt;1,H7&lt;&gt;INDEX(Tbl_Ped_MedContIV,C7,W$2))</f>
        <v>0</v>
      </c>
      <c r="X7" s="310" t="b">
        <f>AND(C7&gt;1,I7&lt;&gt;INDEX(Tbl_Ped_MedContIV,C7,X$2))</f>
        <v>0</v>
      </c>
      <c r="Y7" s="310" t="b">
        <f>AND(F7&gt;1,INDEX(Tbl_Ped_MedContIV,C7,13)&gt;1,INDEX(Tbl_Ped_MedContIV,C7,13)&lt;&gt;F7)</f>
        <v>0</v>
      </c>
      <c r="Z7" s="310" t="str">
        <f t="shared" si="9"/>
        <v/>
      </c>
      <c r="AA7" s="310" t="str">
        <f t="shared" si="20"/>
        <v/>
      </c>
      <c r="AB7" s="310" t="str">
        <f t="shared" si="10"/>
        <v/>
      </c>
      <c r="AC7" s="310" t="str">
        <f t="shared" si="11"/>
        <v/>
      </c>
      <c r="AD7" s="310" t="str">
        <f t="shared" si="12"/>
        <v/>
      </c>
      <c r="AE7" s="310" t="str">
        <f t="shared" si="13"/>
        <v/>
      </c>
      <c r="AF7" s="310" t="str">
        <f t="shared" si="14"/>
        <v/>
      </c>
      <c r="AG7" s="310" t="str">
        <f t="shared" si="15"/>
        <v/>
      </c>
      <c r="AH7" s="310" t="str">
        <f t="shared" si="16"/>
        <v/>
      </c>
      <c r="AI7" s="310" t="str">
        <f t="shared" si="17"/>
        <v/>
      </c>
      <c r="AJ7" s="310" t="str">
        <f t="shared" si="18"/>
        <v/>
      </c>
    </row>
    <row r="8" spans="1:36" x14ac:dyDescent="0.2">
      <c r="A8" s="351">
        <v>4</v>
      </c>
      <c r="B8" s="333">
        <v>5</v>
      </c>
      <c r="C8" s="333">
        <v>1</v>
      </c>
      <c r="D8" s="333">
        <v>0</v>
      </c>
      <c r="E8" s="333">
        <v>0</v>
      </c>
      <c r="F8">
        <v>1</v>
      </c>
      <c r="G8">
        <v>0</v>
      </c>
      <c r="H8" s="333" t="str">
        <f t="shared" si="0"/>
        <v/>
      </c>
      <c r="I8" s="333" t="str">
        <f t="shared" si="1"/>
        <v/>
      </c>
      <c r="J8" s="333" t="str">
        <f t="shared" si="2"/>
        <v/>
      </c>
      <c r="K8"/>
      <c r="L8"/>
      <c r="M8">
        <f>IF(PedGuiMedIV!E12&lt;&gt;0,24*G8/10,0)</f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19"/>
        <v>0</v>
      </c>
      <c r="S8">
        <f t="shared" si="7"/>
        <v>0</v>
      </c>
      <c r="T8">
        <f t="shared" si="8"/>
        <v>0</v>
      </c>
      <c r="U8" s="310" t="b">
        <f>AND(C8&gt;1,(AG8&gt;=INDEX(Tbl_Ped_MedContIV,C8,12)))</f>
        <v>0</v>
      </c>
      <c r="V8" s="310" t="b">
        <f>AND(C8&gt;1,NOT(AND(AG8&gt;=INDEX(Tbl_Ped_MedContIV,C8,10),AG8&lt;=INDEX(Tbl_Ped_MedContIV,C8,11))))</f>
        <v>0</v>
      </c>
      <c r="W8" s="311" t="b">
        <f>AND(C8&gt;1,H8&lt;&gt;INDEX(Tbl_Ped_MedContIV,C8,W$2))</f>
        <v>0</v>
      </c>
      <c r="X8" s="310" t="b">
        <f>AND(C8&gt;1,I8&lt;&gt;INDEX(Tbl_Ped_MedContIV,C8,X$2))</f>
        <v>0</v>
      </c>
      <c r="Y8" s="310" t="b">
        <f>AND(F8&gt;1,INDEX(Tbl_Ped_MedContIV,C8,13)&gt;1,INDEX(Tbl_Ped_MedContIV,C8,13)&lt;&gt;F8)</f>
        <v>0</v>
      </c>
      <c r="Z8" s="310" t="str">
        <f t="shared" si="9"/>
        <v/>
      </c>
      <c r="AA8" s="310" t="str">
        <f t="shared" si="20"/>
        <v/>
      </c>
      <c r="AB8" s="310" t="str">
        <f t="shared" si="10"/>
        <v/>
      </c>
      <c r="AC8" s="310" t="str">
        <f t="shared" si="11"/>
        <v/>
      </c>
      <c r="AD8" s="310" t="str">
        <f t="shared" si="12"/>
        <v/>
      </c>
      <c r="AE8" s="310" t="str">
        <f t="shared" si="13"/>
        <v/>
      </c>
      <c r="AF8" s="310" t="str">
        <f t="shared" si="14"/>
        <v/>
      </c>
      <c r="AG8" s="310" t="str">
        <f t="shared" si="15"/>
        <v/>
      </c>
      <c r="AH8" s="310" t="str">
        <f t="shared" si="16"/>
        <v/>
      </c>
      <c r="AI8" s="310" t="str">
        <f t="shared" si="17"/>
        <v/>
      </c>
      <c r="AJ8" s="310" t="str">
        <f t="shared" si="18"/>
        <v/>
      </c>
    </row>
    <row r="9" spans="1:36" x14ac:dyDescent="0.2">
      <c r="A9">
        <v>5</v>
      </c>
      <c r="B9" s="333">
        <v>6</v>
      </c>
      <c r="C9" s="333">
        <v>1</v>
      </c>
      <c r="D9" s="333">
        <v>0</v>
      </c>
      <c r="E9" s="333">
        <v>0</v>
      </c>
      <c r="F9">
        <v>1</v>
      </c>
      <c r="G9">
        <v>0</v>
      </c>
      <c r="H9" s="333" t="str">
        <f t="shared" si="0"/>
        <v/>
      </c>
      <c r="I9" s="333" t="str">
        <f t="shared" si="1"/>
        <v/>
      </c>
      <c r="J9" s="333" t="str">
        <f t="shared" si="2"/>
        <v/>
      </c>
      <c r="K9"/>
      <c r="L9"/>
      <c r="M9">
        <f>IF(PedGuiMedIV!E13&lt;&gt;0,24*G9/10,0)</f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19"/>
        <v>0</v>
      </c>
      <c r="S9">
        <f t="shared" si="7"/>
        <v>0</v>
      </c>
      <c r="T9">
        <f t="shared" si="8"/>
        <v>0</v>
      </c>
      <c r="U9" s="310" t="b">
        <f>AND(C9&gt;1,(AG9&gt;=INDEX(Tbl_Ped_MedContIV,C9,12)))</f>
        <v>0</v>
      </c>
      <c r="V9" s="310" t="b">
        <f>AND(C9&gt;1,NOT(AND(AG9&gt;=INDEX(Tbl_Ped_MedContIV,C9,10),AG9&lt;=INDEX(Tbl_Ped_MedContIV,C9,11))))</f>
        <v>0</v>
      </c>
      <c r="W9" s="311" t="b">
        <f>AND(C9&gt;1,H9&lt;&gt;INDEX(Tbl_Ped_MedContIV,C9,W$2))</f>
        <v>0</v>
      </c>
      <c r="X9" s="310" t="b">
        <f>AND(C9&gt;1,I9&lt;&gt;INDEX(Tbl_Ped_MedContIV,C9,X$2))</f>
        <v>0</v>
      </c>
      <c r="Y9" s="310" t="b">
        <f>AND(F9&gt;1,INDEX(Tbl_Ped_MedContIV,C9,13)&gt;1,INDEX(Tbl_Ped_MedContIV,C9,13)&lt;&gt;F9)</f>
        <v>0</v>
      </c>
      <c r="Z9" s="310" t="str">
        <f t="shared" si="9"/>
        <v/>
      </c>
      <c r="AA9" s="310" t="str">
        <f t="shared" si="20"/>
        <v/>
      </c>
      <c r="AB9" s="310" t="str">
        <f t="shared" si="10"/>
        <v/>
      </c>
      <c r="AC9" s="310" t="str">
        <f t="shared" si="11"/>
        <v/>
      </c>
      <c r="AD9" s="310" t="str">
        <f t="shared" si="12"/>
        <v/>
      </c>
      <c r="AE9" s="310" t="str">
        <f t="shared" si="13"/>
        <v/>
      </c>
      <c r="AF9" s="310" t="str">
        <f t="shared" si="14"/>
        <v/>
      </c>
      <c r="AG9" s="310" t="str">
        <f t="shared" si="15"/>
        <v/>
      </c>
      <c r="AH9" s="310" t="str">
        <f t="shared" si="16"/>
        <v/>
      </c>
      <c r="AI9" s="310" t="str">
        <f t="shared" si="17"/>
        <v/>
      </c>
      <c r="AJ9" s="310" t="str">
        <f t="shared" si="18"/>
        <v/>
      </c>
    </row>
    <row r="10" spans="1:36" x14ac:dyDescent="0.2">
      <c r="A10">
        <v>6</v>
      </c>
      <c r="B10" s="333">
        <v>7</v>
      </c>
      <c r="C10" s="333">
        <v>1</v>
      </c>
      <c r="D10" s="333">
        <v>0</v>
      </c>
      <c r="E10" s="333">
        <v>0</v>
      </c>
      <c r="F10">
        <v>1</v>
      </c>
      <c r="G10">
        <v>0</v>
      </c>
      <c r="H10" s="333" t="str">
        <f t="shared" si="0"/>
        <v/>
      </c>
      <c r="I10" s="333" t="str">
        <f t="shared" si="1"/>
        <v/>
      </c>
      <c r="J10" s="333" t="str">
        <f t="shared" si="2"/>
        <v/>
      </c>
      <c r="K10"/>
      <c r="L10"/>
      <c r="M10">
        <f>IF(PedGuiMedIV!E14&lt;&gt;0,24*G10/10,0)</f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19"/>
        <v>0</v>
      </c>
      <c r="S10">
        <f t="shared" si="7"/>
        <v>0</v>
      </c>
      <c r="T10">
        <f t="shared" si="8"/>
        <v>0</v>
      </c>
      <c r="U10" s="310" t="b">
        <f>AND(C10&gt;1,(AG10&gt;=INDEX(Tbl_Ped_MedContIV,C10,12)))</f>
        <v>0</v>
      </c>
      <c r="V10" s="310" t="b">
        <f>AND(C10&gt;1,NOT(AND(AG10&gt;=INDEX(Tbl_Ped_MedContIV,C10,10),AG10&lt;=INDEX(Tbl_Ped_MedContIV,C10,11))))</f>
        <v>0</v>
      </c>
      <c r="W10" s="311" t="b">
        <f>AND(C10&gt;1,H10&lt;&gt;INDEX(Tbl_Ped_MedContIV,C10,W$2))</f>
        <v>0</v>
      </c>
      <c r="X10" s="310" t="b">
        <f>AND(C10&gt;1,I10&lt;&gt;INDEX(Tbl_Ped_MedContIV,C10,X$2))</f>
        <v>0</v>
      </c>
      <c r="Y10" s="310" t="b">
        <f>AND(F10&gt;1,INDEX(Tbl_Ped_MedContIV,C10,13)&gt;1,INDEX(Tbl_Ped_MedContIV,C10,13)&lt;&gt;F10)</f>
        <v>0</v>
      </c>
      <c r="Z10" s="310" t="str">
        <f t="shared" si="9"/>
        <v/>
      </c>
      <c r="AA10" s="310" t="str">
        <f t="shared" si="20"/>
        <v/>
      </c>
      <c r="AB10" s="310" t="str">
        <f t="shared" si="10"/>
        <v/>
      </c>
      <c r="AC10" s="310" t="str">
        <f t="shared" si="11"/>
        <v/>
      </c>
      <c r="AD10" s="310" t="str">
        <f t="shared" si="12"/>
        <v/>
      </c>
      <c r="AE10" s="310" t="str">
        <f t="shared" si="13"/>
        <v/>
      </c>
      <c r="AF10" s="310" t="str">
        <f t="shared" si="14"/>
        <v/>
      </c>
      <c r="AG10" s="310" t="str">
        <f t="shared" si="15"/>
        <v/>
      </c>
      <c r="AH10" s="310" t="str">
        <f t="shared" si="16"/>
        <v/>
      </c>
      <c r="AI10" s="310" t="str">
        <f t="shared" si="17"/>
        <v/>
      </c>
      <c r="AJ10" s="310" t="str">
        <f t="shared" si="18"/>
        <v/>
      </c>
    </row>
    <row r="11" spans="1:36" x14ac:dyDescent="0.2">
      <c r="A11">
        <v>7</v>
      </c>
      <c r="B11" s="333">
        <v>8</v>
      </c>
      <c r="C11" s="333">
        <v>6</v>
      </c>
      <c r="D11" s="333">
        <v>0</v>
      </c>
      <c r="E11" s="333">
        <v>0</v>
      </c>
      <c r="F11">
        <v>2</v>
      </c>
      <c r="G11">
        <v>3</v>
      </c>
      <c r="H11" s="333">
        <f t="shared" si="0"/>
        <v>0.15</v>
      </c>
      <c r="I11" s="333">
        <f t="shared" si="1"/>
        <v>50</v>
      </c>
      <c r="J11" s="333">
        <f t="shared" si="2"/>
        <v>0.9</v>
      </c>
      <c r="K11"/>
      <c r="L11"/>
      <c r="M11">
        <f>IF(PedGuiMedIV!E15&lt;&gt;0,24*G11/10,0)</f>
        <v>7.2</v>
      </c>
      <c r="N11">
        <f t="shared" si="3"/>
        <v>0</v>
      </c>
      <c r="O11">
        <f t="shared" si="4"/>
        <v>0</v>
      </c>
      <c r="P11">
        <f t="shared" si="5"/>
        <v>1.1160000000000001</v>
      </c>
      <c r="Q11">
        <f t="shared" si="6"/>
        <v>0</v>
      </c>
      <c r="R11">
        <f t="shared" si="19"/>
        <v>0</v>
      </c>
      <c r="S11">
        <f t="shared" si="7"/>
        <v>0</v>
      </c>
      <c r="T11">
        <f t="shared" si="8"/>
        <v>0</v>
      </c>
      <c r="U11" s="310" t="b">
        <f>AND(C11&gt;1,(AG11&gt;=INDEX(Tbl_Ped_MedContIV,C11,12)))</f>
        <v>0</v>
      </c>
      <c r="V11" s="310" t="b">
        <f>AND(C11&gt;1,NOT(AND(AG11&gt;=INDEX(Tbl_Ped_MedContIV,C11,10),AG11&lt;=INDEX(Tbl_Ped_MedContIV,C11,11))))</f>
        <v>0</v>
      </c>
      <c r="W11" s="311" t="b">
        <f>AND(C11&gt;1,H11&lt;&gt;INDEX(Tbl_Ped_MedContIV,C11,W$2))</f>
        <v>0</v>
      </c>
      <c r="X11" s="310" t="b">
        <f>AND(C11&gt;1,I11&lt;&gt;INDEX(Tbl_Ped_MedContIV,C11,X$2))</f>
        <v>0</v>
      </c>
      <c r="Y11" s="310" t="b">
        <f>AND(F11&gt;1,INDEX(Tbl_Ped_MedContIV,C11,13)&gt;1,INDEX(Tbl_Ped_MedContIV,C11,13)&lt;&gt;F11)</f>
        <v>0</v>
      </c>
      <c r="Z11" s="310" t="str">
        <f t="shared" si="9"/>
        <v>verw</v>
      </c>
      <c r="AA11" s="310" t="str">
        <f t="shared" si="20"/>
        <v/>
      </c>
      <c r="AB11" s="310" t="str">
        <f t="shared" si="10"/>
        <v>clonidine</v>
      </c>
      <c r="AC11" s="310" t="str">
        <f t="shared" si="11"/>
        <v>0,15 mg</v>
      </c>
      <c r="AD11" s="310" t="str">
        <f t="shared" si="12"/>
        <v>50 ml</v>
      </c>
      <c r="AE11" s="310" t="str">
        <f t="shared" si="13"/>
        <v>NaCl 0.9%</v>
      </c>
      <c r="AF11" s="310" t="str">
        <f t="shared" si="14"/>
        <v>0,3 ml/uur</v>
      </c>
      <c r="AG11" s="310">
        <f t="shared" si="15"/>
        <v>0.27</v>
      </c>
      <c r="AH11" s="310" t="str">
        <f t="shared" si="16"/>
        <v>microg/kg/uur</v>
      </c>
      <c r="AI11" s="310" t="str">
        <f t="shared" si="17"/>
        <v>7,2 ml</v>
      </c>
      <c r="AJ11" s="310" t="str">
        <f t="shared" si="18"/>
        <v>0,25-2 microg/kg/uur</v>
      </c>
    </row>
    <row r="12" spans="1:36" x14ac:dyDescent="0.2">
      <c r="A12">
        <v>8</v>
      </c>
      <c r="B12" s="333">
        <v>9</v>
      </c>
      <c r="C12" s="333">
        <v>1</v>
      </c>
      <c r="D12" s="333">
        <v>0</v>
      </c>
      <c r="E12" s="333">
        <v>0</v>
      </c>
      <c r="F12">
        <v>1</v>
      </c>
      <c r="G12">
        <v>0</v>
      </c>
      <c r="H12" s="333" t="str">
        <f t="shared" si="0"/>
        <v/>
      </c>
      <c r="I12" s="333" t="str">
        <f t="shared" si="1"/>
        <v/>
      </c>
      <c r="J12" s="333" t="str">
        <f t="shared" si="2"/>
        <v/>
      </c>
      <c r="K12"/>
      <c r="L12"/>
      <c r="M12">
        <f>IF(PedGuiMedIV!E16&lt;&gt;0,24*G12/10,0)</f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19"/>
        <v>0</v>
      </c>
      <c r="S12">
        <f t="shared" si="7"/>
        <v>0</v>
      </c>
      <c r="T12">
        <f t="shared" si="8"/>
        <v>0</v>
      </c>
      <c r="U12" s="310" t="b">
        <f>AND(C12&gt;1,(AG12&gt;=INDEX(Tbl_Ped_MedContIV,C12,12)))</f>
        <v>0</v>
      </c>
      <c r="V12" s="310" t="b">
        <f>AND(C12&gt;1,NOT(AND(AG12&gt;=INDEX(Tbl_Ped_MedContIV,C12,10),AG12&lt;=INDEX(Tbl_Ped_MedContIV,C12,11))))</f>
        <v>0</v>
      </c>
      <c r="W12" s="311" t="b">
        <f>AND(C12&gt;1,H12&lt;&gt;INDEX(Tbl_Ped_MedContIV,C12,W$2))</f>
        <v>0</v>
      </c>
      <c r="X12" s="310" t="b">
        <f>AND(C12&gt;1,I12&lt;&gt;INDEX(Tbl_Ped_MedContIV,C12,X$2))</f>
        <v>0</v>
      </c>
      <c r="Y12" s="310" t="b">
        <f>AND(F12&gt;1,INDEX(Tbl_Ped_MedContIV,C12,13)&gt;1,INDEX(Tbl_Ped_MedContIV,C12,13)&lt;&gt;F12)</f>
        <v>0</v>
      </c>
      <c r="Z12" s="310" t="str">
        <f t="shared" si="9"/>
        <v/>
      </c>
      <c r="AA12" s="310" t="str">
        <f t="shared" si="20"/>
        <v/>
      </c>
      <c r="AB12" s="310" t="str">
        <f t="shared" si="10"/>
        <v/>
      </c>
      <c r="AC12" s="310" t="str">
        <f t="shared" si="11"/>
        <v/>
      </c>
      <c r="AD12" s="310" t="str">
        <f t="shared" si="12"/>
        <v/>
      </c>
      <c r="AE12" s="310" t="str">
        <f t="shared" si="13"/>
        <v/>
      </c>
      <c r="AF12" s="310" t="str">
        <f t="shared" si="14"/>
        <v/>
      </c>
      <c r="AG12" s="310" t="str">
        <f t="shared" si="15"/>
        <v/>
      </c>
      <c r="AH12" s="310" t="str">
        <f t="shared" si="16"/>
        <v/>
      </c>
      <c r="AI12" s="310" t="str">
        <f t="shared" si="17"/>
        <v/>
      </c>
      <c r="AJ12" s="310" t="str">
        <f t="shared" si="18"/>
        <v/>
      </c>
    </row>
    <row r="13" spans="1:36" x14ac:dyDescent="0.2">
      <c r="A13">
        <v>9</v>
      </c>
      <c r="B13" s="333">
        <v>10</v>
      </c>
      <c r="C13" s="333">
        <v>1</v>
      </c>
      <c r="D13" s="333">
        <v>0</v>
      </c>
      <c r="E13" s="333">
        <v>0</v>
      </c>
      <c r="F13">
        <v>1</v>
      </c>
      <c r="G13">
        <v>0</v>
      </c>
      <c r="H13" s="333" t="str">
        <f t="shared" si="0"/>
        <v/>
      </c>
      <c r="I13" s="333" t="str">
        <f t="shared" si="1"/>
        <v/>
      </c>
      <c r="J13" s="333" t="str">
        <f t="shared" si="2"/>
        <v/>
      </c>
      <c r="K13"/>
      <c r="L13"/>
      <c r="M13">
        <f>IF(PedGuiMedIV!E17&lt;&gt;0,24*G13/10,0)</f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19"/>
        <v>0</v>
      </c>
      <c r="S13">
        <f t="shared" si="7"/>
        <v>0</v>
      </c>
      <c r="T13">
        <f t="shared" si="8"/>
        <v>0</v>
      </c>
      <c r="U13" s="310" t="b">
        <f>AND(C13&gt;1,(AG13&gt;=INDEX(Tbl_Ped_MedContIV,C13,12)))</f>
        <v>0</v>
      </c>
      <c r="V13" s="310" t="b">
        <f>AND(C13&gt;1,NOT(AND(AG13&gt;=INDEX(Tbl_Ped_MedContIV,C13,10),AG13&lt;=INDEX(Tbl_Ped_MedContIV,C13,11))))</f>
        <v>0</v>
      </c>
      <c r="W13" s="311" t="b">
        <f>AND(C13&gt;1,H13&lt;&gt;INDEX(Tbl_Ped_MedContIV,C13,W$2))</f>
        <v>0</v>
      </c>
      <c r="X13" s="310" t="b">
        <f>AND(C13&gt;1,I13&lt;&gt;INDEX(Tbl_Ped_MedContIV,C13,X$2))</f>
        <v>0</v>
      </c>
      <c r="Y13" s="310" t="b">
        <f>AND(F13&gt;1,INDEX(Tbl_Ped_MedContIV,C13,13)&gt;1,INDEX(Tbl_Ped_MedContIV,C13,13)&lt;&gt;F13)</f>
        <v>0</v>
      </c>
      <c r="Z13" s="310" t="str">
        <f t="shared" si="9"/>
        <v/>
      </c>
      <c r="AA13" s="310" t="str">
        <f t="shared" si="20"/>
        <v/>
      </c>
      <c r="AB13" s="310" t="str">
        <f t="shared" si="10"/>
        <v/>
      </c>
      <c r="AC13" s="310" t="str">
        <f t="shared" si="11"/>
        <v/>
      </c>
      <c r="AD13" s="310" t="str">
        <f t="shared" si="12"/>
        <v/>
      </c>
      <c r="AE13" s="310" t="str">
        <f t="shared" si="13"/>
        <v/>
      </c>
      <c r="AF13" s="310" t="str">
        <f t="shared" si="14"/>
        <v/>
      </c>
      <c r="AG13" s="310" t="str">
        <f t="shared" si="15"/>
        <v/>
      </c>
      <c r="AH13" s="310" t="str">
        <f t="shared" si="16"/>
        <v/>
      </c>
      <c r="AI13" s="310" t="str">
        <f t="shared" si="17"/>
        <v/>
      </c>
      <c r="AJ13" s="310" t="str">
        <f t="shared" si="18"/>
        <v/>
      </c>
    </row>
    <row r="14" spans="1:36" x14ac:dyDescent="0.2">
      <c r="A14">
        <v>10</v>
      </c>
      <c r="B14" s="333">
        <v>11</v>
      </c>
      <c r="C14" s="333">
        <v>1</v>
      </c>
      <c r="D14" s="333">
        <v>0</v>
      </c>
      <c r="E14" s="333">
        <v>0</v>
      </c>
      <c r="F14">
        <v>1</v>
      </c>
      <c r="G14">
        <v>0</v>
      </c>
      <c r="H14" s="333" t="str">
        <f t="shared" si="0"/>
        <v/>
      </c>
      <c r="I14" s="333" t="str">
        <f t="shared" si="1"/>
        <v/>
      </c>
      <c r="J14" s="333" t="str">
        <f t="shared" si="2"/>
        <v/>
      </c>
      <c r="K14"/>
      <c r="L14"/>
      <c r="M14">
        <f>IF(PedGuiMedIV!E18&lt;&gt;0,24*G14/10,0)</f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19"/>
        <v>0</v>
      </c>
      <c r="S14">
        <f t="shared" si="7"/>
        <v>0</v>
      </c>
      <c r="T14">
        <f t="shared" si="8"/>
        <v>0</v>
      </c>
      <c r="U14" s="310" t="b">
        <f>AND(C14&gt;1,(AG14&gt;=INDEX(Tbl_Ped_MedContIV,C14,12)))</f>
        <v>0</v>
      </c>
      <c r="V14" s="310" t="b">
        <f>AND(C14&gt;1,NOT(AND(AG14&gt;=INDEX(Tbl_Ped_MedContIV,C14,10),AG14&lt;=INDEX(Tbl_Ped_MedContIV,C14,11))))</f>
        <v>0</v>
      </c>
      <c r="W14" s="311" t="b">
        <f>AND(C14&gt;1,H14&lt;&gt;INDEX(Tbl_Ped_MedContIV,C14,W$2))</f>
        <v>0</v>
      </c>
      <c r="X14" s="310" t="b">
        <f>AND(C14&gt;1,I14&lt;&gt;INDEX(Tbl_Ped_MedContIV,C14,X$2))</f>
        <v>0</v>
      </c>
      <c r="Y14" s="310" t="b">
        <f>AND(F14&gt;1,INDEX(Tbl_Ped_MedContIV,C14,13)&gt;1,INDEX(Tbl_Ped_MedContIV,C14,13)&lt;&gt;F14)</f>
        <v>0</v>
      </c>
      <c r="Z14" s="310" t="str">
        <f t="shared" si="9"/>
        <v/>
      </c>
      <c r="AA14" s="310" t="str">
        <f t="shared" si="20"/>
        <v/>
      </c>
      <c r="AB14" s="310" t="str">
        <f t="shared" si="10"/>
        <v/>
      </c>
      <c r="AC14" s="310" t="str">
        <f t="shared" si="11"/>
        <v/>
      </c>
      <c r="AD14" s="310" t="str">
        <f t="shared" si="12"/>
        <v/>
      </c>
      <c r="AE14" s="310" t="str">
        <f t="shared" si="13"/>
        <v/>
      </c>
      <c r="AF14" s="310" t="str">
        <f t="shared" si="14"/>
        <v/>
      </c>
      <c r="AG14" s="310" t="str">
        <f t="shared" si="15"/>
        <v/>
      </c>
      <c r="AH14" s="310" t="str">
        <f t="shared" si="16"/>
        <v/>
      </c>
      <c r="AI14" s="310" t="str">
        <f t="shared" si="17"/>
        <v/>
      </c>
      <c r="AJ14" s="310" t="str">
        <f t="shared" si="18"/>
        <v/>
      </c>
    </row>
    <row r="15" spans="1:36" s="310" customFormat="1" x14ac:dyDescent="0.2">
      <c r="A15" s="310">
        <v>11</v>
      </c>
      <c r="B15" s="333">
        <v>12</v>
      </c>
      <c r="C15" s="333">
        <v>1</v>
      </c>
      <c r="D15" s="333">
        <v>0</v>
      </c>
      <c r="E15" s="333">
        <v>0</v>
      </c>
      <c r="F15" s="310">
        <v>1</v>
      </c>
      <c r="G15" s="310">
        <v>0</v>
      </c>
      <c r="H15" s="333" t="str">
        <f t="shared" si="0"/>
        <v/>
      </c>
      <c r="I15" s="333" t="str">
        <f t="shared" si="1"/>
        <v/>
      </c>
      <c r="J15" s="333" t="str">
        <f t="shared" si="2"/>
        <v/>
      </c>
      <c r="M15" s="310">
        <f>IF(PedGuiMedIV!E19&lt;&gt;0,24*G15/10,0)</f>
        <v>0</v>
      </c>
      <c r="N15" s="310">
        <f t="shared" si="3"/>
        <v>0</v>
      </c>
      <c r="O15" s="310">
        <f t="shared" si="4"/>
        <v>0</v>
      </c>
      <c r="P15" s="310">
        <f t="shared" si="5"/>
        <v>0</v>
      </c>
      <c r="Q15" s="310">
        <f t="shared" si="6"/>
        <v>0</v>
      </c>
      <c r="R15" s="310">
        <f t="shared" si="19"/>
        <v>0</v>
      </c>
      <c r="S15" s="310">
        <f t="shared" si="7"/>
        <v>0</v>
      </c>
      <c r="T15" s="310">
        <f t="shared" si="8"/>
        <v>0</v>
      </c>
      <c r="U15" s="310" t="b">
        <f>AND(C15&gt;1,(AG15&gt;=INDEX(Tbl_Ped_MedContIV,C15,12)))</f>
        <v>0</v>
      </c>
      <c r="V15" s="310" t="b">
        <f>AND(C15&gt;1,NOT(AND(AG15&gt;=INDEX(Tbl_Ped_MedContIV,C15,10),AG15&lt;=INDEX(Tbl_Ped_MedContIV,C15,11))))</f>
        <v>0</v>
      </c>
      <c r="W15" s="311" t="b">
        <f>AND(C15&gt;1,H15&lt;&gt;INDEX(Tbl_Ped_MedContIV,C15,W$2))</f>
        <v>0</v>
      </c>
      <c r="X15" s="310" t="b">
        <f>AND(C15&gt;1,I15&lt;&gt;INDEX(Tbl_Ped_MedContIV,C15,X$2))</f>
        <v>0</v>
      </c>
      <c r="Y15" s="310" t="b">
        <f>AND(F15&gt;1,INDEX(Tbl_Ped_MedContIV,C15,13)&gt;1,INDEX(Tbl_Ped_MedContIV,C15,13)&lt;&gt;F15)</f>
        <v>0</v>
      </c>
      <c r="Z15" s="310" t="str">
        <f t="shared" si="9"/>
        <v/>
      </c>
      <c r="AA15" s="310" t="str">
        <f t="shared" si="20"/>
        <v/>
      </c>
      <c r="AB15" s="310" t="str">
        <f t="shared" si="10"/>
        <v/>
      </c>
      <c r="AC15" s="310" t="str">
        <f t="shared" si="11"/>
        <v/>
      </c>
      <c r="AD15" s="310" t="str">
        <f t="shared" si="12"/>
        <v/>
      </c>
      <c r="AE15" s="310" t="str">
        <f t="shared" si="13"/>
        <v/>
      </c>
      <c r="AF15" s="310" t="str">
        <f t="shared" si="14"/>
        <v/>
      </c>
      <c r="AG15" s="310" t="str">
        <f t="shared" si="15"/>
        <v/>
      </c>
      <c r="AH15" s="310" t="str">
        <f t="shared" si="16"/>
        <v/>
      </c>
      <c r="AI15" s="310" t="str">
        <f t="shared" si="17"/>
        <v/>
      </c>
      <c r="AJ15" s="310" t="str">
        <f t="shared" si="18"/>
        <v/>
      </c>
    </row>
    <row r="16" spans="1:36" s="310" customFormat="1" x14ac:dyDescent="0.2">
      <c r="A16" s="310">
        <v>12</v>
      </c>
      <c r="B16" s="333">
        <v>13</v>
      </c>
      <c r="C16" s="333">
        <v>1</v>
      </c>
      <c r="D16" s="333">
        <v>0</v>
      </c>
      <c r="E16" s="333">
        <v>0</v>
      </c>
      <c r="F16" s="310">
        <v>1</v>
      </c>
      <c r="G16" s="310">
        <v>0</v>
      </c>
      <c r="H16" s="333" t="str">
        <f t="shared" si="0"/>
        <v/>
      </c>
      <c r="I16" s="333" t="str">
        <f t="shared" si="1"/>
        <v/>
      </c>
      <c r="J16" s="333" t="str">
        <f t="shared" si="2"/>
        <v/>
      </c>
      <c r="M16" s="310">
        <f>IF(PedGuiMedIV!E20&lt;&gt;0,24*G16/10,0)</f>
        <v>0</v>
      </c>
      <c r="N16" s="310">
        <f t="shared" si="3"/>
        <v>0</v>
      </c>
      <c r="O16" s="310">
        <f t="shared" si="4"/>
        <v>0</v>
      </c>
      <c r="P16" s="310">
        <f t="shared" si="5"/>
        <v>0</v>
      </c>
      <c r="Q16" s="310">
        <f t="shared" si="6"/>
        <v>0</v>
      </c>
      <c r="R16" s="310">
        <f t="shared" si="19"/>
        <v>0</v>
      </c>
      <c r="S16" s="310">
        <f t="shared" si="7"/>
        <v>0</v>
      </c>
      <c r="T16" s="310">
        <f t="shared" si="8"/>
        <v>0</v>
      </c>
      <c r="U16" s="310" t="b">
        <f>AND(C16&gt;1,(AG16&gt;=INDEX(Tbl_Ped_MedContIV,C16,12)))</f>
        <v>0</v>
      </c>
      <c r="V16" s="310" t="b">
        <f>AND(C16&gt;1,NOT(AND(AG16&gt;=INDEX(Tbl_Ped_MedContIV,C16,10),AG16&lt;=INDEX(Tbl_Ped_MedContIV,C16,11))))</f>
        <v>0</v>
      </c>
      <c r="W16" s="311" t="b">
        <f>AND(C16&gt;1,H16&lt;&gt;INDEX(Tbl_Ped_MedContIV,C16,W$2))</f>
        <v>0</v>
      </c>
      <c r="X16" s="310" t="b">
        <f>AND(C16&gt;1,I16&lt;&gt;INDEX(Tbl_Ped_MedContIV,C16,X$2))</f>
        <v>0</v>
      </c>
      <c r="Y16" s="310" t="b">
        <f>AND(F16&gt;1,INDEX(Tbl_Ped_MedContIV,C16,13)&gt;1,INDEX(Tbl_Ped_MedContIV,C16,13)&lt;&gt;F16)</f>
        <v>0</v>
      </c>
      <c r="Z16" s="310" t="str">
        <f t="shared" si="9"/>
        <v/>
      </c>
      <c r="AA16" s="310" t="str">
        <f t="shared" si="20"/>
        <v/>
      </c>
      <c r="AB16" s="310" t="str">
        <f t="shared" si="10"/>
        <v/>
      </c>
      <c r="AC16" s="310" t="str">
        <f t="shared" si="11"/>
        <v/>
      </c>
      <c r="AD16" s="310" t="str">
        <f t="shared" si="12"/>
        <v/>
      </c>
      <c r="AE16" s="310" t="str">
        <f t="shared" si="13"/>
        <v/>
      </c>
      <c r="AF16" s="310" t="str">
        <f t="shared" si="14"/>
        <v/>
      </c>
      <c r="AG16" s="310" t="str">
        <f t="shared" si="15"/>
        <v/>
      </c>
      <c r="AH16" s="310" t="str">
        <f t="shared" si="16"/>
        <v/>
      </c>
      <c r="AI16" s="310" t="str">
        <f t="shared" si="17"/>
        <v/>
      </c>
      <c r="AJ16" s="310" t="str">
        <f t="shared" si="18"/>
        <v/>
      </c>
    </row>
    <row r="17" spans="1:36" s="310" customFormat="1" x14ac:dyDescent="0.2">
      <c r="A17" s="310">
        <v>13</v>
      </c>
      <c r="B17" s="333">
        <v>14</v>
      </c>
      <c r="C17" s="333">
        <v>1</v>
      </c>
      <c r="D17" s="333">
        <v>0</v>
      </c>
      <c r="E17" s="333">
        <v>0</v>
      </c>
      <c r="F17" s="310">
        <v>1</v>
      </c>
      <c r="G17" s="310">
        <v>0</v>
      </c>
      <c r="H17" s="333" t="str">
        <f t="shared" si="0"/>
        <v/>
      </c>
      <c r="I17" s="333" t="str">
        <f t="shared" si="1"/>
        <v/>
      </c>
      <c r="J17" s="333" t="str">
        <f t="shared" si="2"/>
        <v/>
      </c>
      <c r="M17" s="310">
        <f>IF(PedGuiMedIV!E21&lt;&gt;0,24*G17/10,0)</f>
        <v>0</v>
      </c>
      <c r="N17" s="310">
        <f t="shared" si="3"/>
        <v>0</v>
      </c>
      <c r="O17" s="310">
        <f t="shared" si="4"/>
        <v>0</v>
      </c>
      <c r="P17" s="310">
        <f t="shared" si="5"/>
        <v>0</v>
      </c>
      <c r="Q17" s="310">
        <f t="shared" si="6"/>
        <v>0</v>
      </c>
      <c r="R17" s="310">
        <f t="shared" si="19"/>
        <v>0</v>
      </c>
      <c r="S17" s="310">
        <f t="shared" si="7"/>
        <v>0</v>
      </c>
      <c r="T17" s="310">
        <f t="shared" si="8"/>
        <v>0</v>
      </c>
      <c r="U17" s="310" t="b">
        <f>AND(C17&gt;1,(AG17&gt;=INDEX(Tbl_Ped_MedContIV,C17,12)))</f>
        <v>0</v>
      </c>
      <c r="V17" s="310" t="b">
        <f>AND(C17&gt;1,NOT(AND(AG17&gt;=INDEX(Tbl_Ped_MedContIV,C17,10),AG17&lt;=INDEX(Tbl_Ped_MedContIV,C17,11))))</f>
        <v>0</v>
      </c>
      <c r="W17" s="311" t="b">
        <f>AND(C17&gt;1,H17&lt;&gt;INDEX(Tbl_Ped_MedContIV,C17,W$2))</f>
        <v>0</v>
      </c>
      <c r="X17" s="310" t="b">
        <f>AND(C17&gt;1,I17&lt;&gt;INDEX(Tbl_Ped_MedContIV,C17,X$2))</f>
        <v>0</v>
      </c>
      <c r="Y17" s="310" t="b">
        <f>AND(F17&gt;1,INDEX(Tbl_Ped_MedContIV,C17,13)&gt;1,INDEX(Tbl_Ped_MedContIV,C17,13)&lt;&gt;F17)</f>
        <v>0</v>
      </c>
      <c r="Z17" s="310" t="str">
        <f t="shared" si="9"/>
        <v/>
      </c>
      <c r="AA17" s="310" t="str">
        <f t="shared" si="20"/>
        <v/>
      </c>
      <c r="AB17" s="310" t="str">
        <f t="shared" si="10"/>
        <v/>
      </c>
      <c r="AC17" s="310" t="str">
        <f t="shared" si="11"/>
        <v/>
      </c>
      <c r="AD17" s="310" t="str">
        <f t="shared" si="12"/>
        <v/>
      </c>
      <c r="AE17" s="310" t="str">
        <f t="shared" si="13"/>
        <v/>
      </c>
      <c r="AF17" s="310" t="str">
        <f t="shared" si="14"/>
        <v/>
      </c>
      <c r="AG17" s="310" t="str">
        <f t="shared" si="15"/>
        <v/>
      </c>
      <c r="AH17" s="310" t="str">
        <f t="shared" si="16"/>
        <v/>
      </c>
      <c r="AI17" s="310" t="str">
        <f t="shared" si="17"/>
        <v/>
      </c>
      <c r="AJ17" s="310" t="str">
        <f t="shared" si="18"/>
        <v/>
      </c>
    </row>
    <row r="18" spans="1:36" s="310" customFormat="1" x14ac:dyDescent="0.2">
      <c r="A18" s="310">
        <v>14</v>
      </c>
      <c r="B18" s="333">
        <v>15</v>
      </c>
      <c r="C18" s="333">
        <v>1</v>
      </c>
      <c r="D18" s="333">
        <v>0</v>
      </c>
      <c r="E18" s="333">
        <v>0</v>
      </c>
      <c r="F18" s="310">
        <v>1</v>
      </c>
      <c r="G18" s="310">
        <v>0</v>
      </c>
      <c r="H18" s="333" t="str">
        <f t="shared" si="0"/>
        <v/>
      </c>
      <c r="I18" s="333" t="str">
        <f t="shared" si="1"/>
        <v/>
      </c>
      <c r="J18" s="333" t="str">
        <f t="shared" si="2"/>
        <v/>
      </c>
      <c r="M18" s="310">
        <f>IF(PedGuiMedIV!E22&lt;&gt;0,24*G18/10,0)</f>
        <v>0</v>
      </c>
      <c r="N18" s="310">
        <f t="shared" si="3"/>
        <v>0</v>
      </c>
      <c r="O18" s="310">
        <f t="shared" si="4"/>
        <v>0</v>
      </c>
      <c r="P18" s="310">
        <f t="shared" si="5"/>
        <v>0</v>
      </c>
      <c r="Q18" s="310">
        <f t="shared" si="6"/>
        <v>0</v>
      </c>
      <c r="R18" s="310">
        <f t="shared" si="19"/>
        <v>0</v>
      </c>
      <c r="S18" s="310">
        <f t="shared" si="7"/>
        <v>0</v>
      </c>
      <c r="T18" s="310">
        <f t="shared" si="8"/>
        <v>0</v>
      </c>
      <c r="U18" s="310" t="b">
        <f>AND(C18&gt;1,(AG18&gt;=INDEX(Tbl_Ped_MedContIV,C18,12)))</f>
        <v>0</v>
      </c>
      <c r="V18" s="310" t="b">
        <f>AND(C18&gt;1,NOT(AND(AG18&gt;=INDEX(Tbl_Ped_MedContIV,C18,10),AG18&lt;=INDEX(Tbl_Ped_MedContIV,C18,11))))</f>
        <v>0</v>
      </c>
      <c r="W18" s="311" t="b">
        <f>AND(C18&gt;1,H18&lt;&gt;INDEX(Tbl_Ped_MedContIV,C18,W$2))</f>
        <v>0</v>
      </c>
      <c r="X18" s="310" t="b">
        <f>AND(C18&gt;1,I18&lt;&gt;INDEX(Tbl_Ped_MedContIV,C18,X$2))</f>
        <v>0</v>
      </c>
      <c r="Y18" s="310" t="b">
        <f>AND(F18&gt;1,INDEX(Tbl_Ped_MedContIV,C18,13)&gt;1,INDEX(Tbl_Ped_MedContIV,C18,13)&lt;&gt;F18)</f>
        <v>0</v>
      </c>
      <c r="Z18" s="310" t="str">
        <f t="shared" si="9"/>
        <v/>
      </c>
      <c r="AA18" s="310" t="str">
        <f t="shared" si="20"/>
        <v/>
      </c>
      <c r="AB18" s="310" t="str">
        <f t="shared" si="10"/>
        <v/>
      </c>
      <c r="AC18" s="310" t="str">
        <f t="shared" si="11"/>
        <v/>
      </c>
      <c r="AD18" s="310" t="str">
        <f t="shared" si="12"/>
        <v/>
      </c>
      <c r="AE18" s="310" t="str">
        <f t="shared" si="13"/>
        <v/>
      </c>
      <c r="AF18" s="310" t="str">
        <f t="shared" si="14"/>
        <v/>
      </c>
      <c r="AG18" s="310" t="str">
        <f t="shared" si="15"/>
        <v/>
      </c>
      <c r="AH18" s="310" t="str">
        <f t="shared" si="16"/>
        <v/>
      </c>
      <c r="AI18" s="310" t="str">
        <f t="shared" si="17"/>
        <v/>
      </c>
      <c r="AJ18" s="310" t="str">
        <f t="shared" si="18"/>
        <v/>
      </c>
    </row>
    <row r="19" spans="1:36" s="310" customFormat="1" x14ac:dyDescent="0.2">
      <c r="A19" s="310">
        <v>15</v>
      </c>
      <c r="B19" s="333">
        <v>16</v>
      </c>
      <c r="C19" s="333">
        <v>1</v>
      </c>
      <c r="D19" s="333">
        <v>0</v>
      </c>
      <c r="E19" s="333">
        <v>0</v>
      </c>
      <c r="F19" s="310">
        <v>1</v>
      </c>
      <c r="G19" s="310">
        <v>0</v>
      </c>
      <c r="H19" s="333" t="str">
        <f t="shared" si="0"/>
        <v/>
      </c>
      <c r="I19" s="333" t="str">
        <f t="shared" si="1"/>
        <v/>
      </c>
      <c r="J19" s="333" t="str">
        <f t="shared" si="2"/>
        <v/>
      </c>
      <c r="M19" s="310">
        <f>IF(PedGuiMedIV!E23&lt;&gt;0,24*G19/10,0)</f>
        <v>0</v>
      </c>
      <c r="N19" s="310">
        <f t="shared" si="3"/>
        <v>0</v>
      </c>
      <c r="O19" s="310">
        <f t="shared" si="4"/>
        <v>0</v>
      </c>
      <c r="P19" s="310">
        <f t="shared" si="5"/>
        <v>0</v>
      </c>
      <c r="Q19" s="310">
        <f t="shared" si="6"/>
        <v>0</v>
      </c>
      <c r="R19" s="310">
        <f t="shared" si="19"/>
        <v>0</v>
      </c>
      <c r="S19" s="310">
        <f t="shared" si="7"/>
        <v>0</v>
      </c>
      <c r="T19" s="310">
        <f t="shared" si="8"/>
        <v>0</v>
      </c>
      <c r="U19" s="310" t="b">
        <f>AND(C19&gt;1,(AG19&gt;=INDEX(Tbl_Ped_MedContIV,C19,12)))</f>
        <v>0</v>
      </c>
      <c r="V19" s="310" t="b">
        <f>AND(C19&gt;1,NOT(AND(AG19&gt;=INDEX(Tbl_Ped_MedContIV,C19,10),AG19&lt;=INDEX(Tbl_Ped_MedContIV,C19,11))))</f>
        <v>0</v>
      </c>
      <c r="W19" s="311" t="b">
        <f>AND(C19&gt;1,H19&lt;&gt;INDEX(Tbl_Ped_MedContIV,C19,W$2))</f>
        <v>0</v>
      </c>
      <c r="X19" s="310" t="b">
        <f>AND(C19&gt;1,I19&lt;&gt;INDEX(Tbl_Ped_MedContIV,C19,X$2))</f>
        <v>0</v>
      </c>
      <c r="Y19" s="310" t="b">
        <f>AND(F19&gt;1,INDEX(Tbl_Ped_MedContIV,C19,13)&gt;1,INDEX(Tbl_Ped_MedContIV,C19,13)&lt;&gt;F19)</f>
        <v>0</v>
      </c>
      <c r="Z19" s="310" t="str">
        <f t="shared" si="9"/>
        <v/>
      </c>
      <c r="AA19" s="310" t="str">
        <f t="shared" si="20"/>
        <v/>
      </c>
      <c r="AB19" s="310" t="str">
        <f t="shared" si="10"/>
        <v/>
      </c>
      <c r="AC19" s="310" t="str">
        <f t="shared" si="11"/>
        <v/>
      </c>
      <c r="AD19" s="310" t="str">
        <f t="shared" si="12"/>
        <v/>
      </c>
      <c r="AE19" s="310" t="str">
        <f t="shared" si="13"/>
        <v/>
      </c>
      <c r="AF19" s="310" t="str">
        <f t="shared" si="14"/>
        <v/>
      </c>
      <c r="AG19" s="310" t="str">
        <f t="shared" si="15"/>
        <v/>
      </c>
      <c r="AH19" s="310" t="str">
        <f t="shared" si="16"/>
        <v/>
      </c>
      <c r="AI19" s="310" t="str">
        <f t="shared" si="17"/>
        <v/>
      </c>
      <c r="AJ19" s="310" t="str">
        <f t="shared" si="18"/>
        <v/>
      </c>
    </row>
    <row r="20" spans="1:36" s="310" customFormat="1" x14ac:dyDescent="0.2">
      <c r="B20" s="333"/>
      <c r="C20" s="333"/>
      <c r="D20" s="333"/>
      <c r="E20" s="333"/>
      <c r="H20" s="333"/>
      <c r="I20" s="333"/>
      <c r="J20" s="333"/>
      <c r="W20" s="311"/>
    </row>
    <row r="21" spans="1:36" s="333" customFormat="1" x14ac:dyDescent="0.2">
      <c r="A21" s="481">
        <v>16</v>
      </c>
      <c r="B21" s="481"/>
      <c r="C21" s="481"/>
      <c r="D21" s="482">
        <v>0</v>
      </c>
      <c r="E21" s="481">
        <v>0</v>
      </c>
      <c r="F21" s="481">
        <v>1</v>
      </c>
      <c r="G21" s="481">
        <v>0</v>
      </c>
      <c r="H21" s="481"/>
      <c r="I21" s="481"/>
      <c r="J21" s="481"/>
      <c r="K21" s="481" t="e">
        <f>LEFT(D21,FIND(" ",D21))</f>
        <v>#VALUE!</v>
      </c>
      <c r="L21" s="481" t="e">
        <f>MID(D21, FIND(" ",D21), LEN(D21) - FIND(" ",D21) + 1)</f>
        <v>#VALUE!</v>
      </c>
      <c r="M21" s="481">
        <f>IF(PedGuiMedIV!E25&lt;&gt;"",G21/10*24,0)</f>
        <v>0</v>
      </c>
      <c r="N21" s="481">
        <f>IF($F21=3,M21*0.05,0)</f>
        <v>0</v>
      </c>
      <c r="O21" s="481">
        <f>IF($F21=4,M21*0.1,0)</f>
        <v>0</v>
      </c>
      <c r="P21" s="481">
        <f>IF($F21=2,M21*0.155,0)</f>
        <v>0</v>
      </c>
      <c r="Q21" s="481">
        <f>IF(OR($C21=24),0.5*$M21,IF(C21=4,M21*145/1000,0))</f>
        <v>0</v>
      </c>
      <c r="R21" s="481">
        <f t="shared" si="19"/>
        <v>0</v>
      </c>
      <c r="S21" s="481">
        <f>IF(OR($C21=4),0.2*$M21,0)</f>
        <v>0</v>
      </c>
      <c r="T21" s="481">
        <f>IF(OR(C21=20,C21=21),0.1*M21,0)</f>
        <v>0</v>
      </c>
      <c r="U21" s="481"/>
      <c r="V21" s="481"/>
      <c r="W21" s="481"/>
      <c r="X21" s="481"/>
      <c r="Y21" s="481"/>
      <c r="Z21" s="481" t="str">
        <f>IF(C21&gt;1,"verw","")</f>
        <v/>
      </c>
      <c r="AA21" s="481"/>
      <c r="AB21" s="481" t="str">
        <f>IF(C21&lt;&gt;"",C21,"")</f>
        <v/>
      </c>
      <c r="AC21" s="481">
        <f>IF(D21="","",D21)</f>
        <v>0</v>
      </c>
      <c r="AD21" s="481" t="str">
        <f>IF(C21&lt;&gt;"",E21&amp;" ml","")</f>
        <v/>
      </c>
      <c r="AE21" s="481" t="str">
        <f>IF((INDEX(tblOplossing,F21,1)=0),"",INDEX(tblOplossing,F21,1))</f>
        <v/>
      </c>
      <c r="AF21" s="481" t="str">
        <f>IF(C21&gt;1,G21/10&amp;" ml/uur","")</f>
        <v/>
      </c>
      <c r="AG21" s="481" t="str">
        <f>IFERROR(ROUND((G21/10)*K21/E21/(_Pat_Gewicht/10),3)&amp;" "&amp;L21&amp;"/kg/uur "&amp;"("&amp;ROUND((G21/10/60)*K21/E21/(_Pat_Gewicht/10),3)&amp;" "&amp;L21&amp;"/kg/min)","")</f>
        <v/>
      </c>
      <c r="AH21" s="481"/>
      <c r="AI21" s="481" t="str">
        <f>IF(C21&gt;1,24*G21/10&amp;" ml","")</f>
        <v/>
      </c>
      <c r="AJ21" s="481"/>
    </row>
    <row r="22" spans="1:36" s="333" customFormat="1" x14ac:dyDescent="0.2">
      <c r="A22" s="481">
        <v>17</v>
      </c>
      <c r="B22" s="481"/>
      <c r="C22" s="481"/>
      <c r="D22" s="481">
        <v>0</v>
      </c>
      <c r="E22" s="481">
        <v>0</v>
      </c>
      <c r="F22" s="481">
        <v>1</v>
      </c>
      <c r="G22" s="481">
        <v>0</v>
      </c>
      <c r="H22" s="481"/>
      <c r="I22" s="481"/>
      <c r="J22" s="481"/>
      <c r="K22" s="481" t="e">
        <f>LEFT(D22,FIND(" ",D22))</f>
        <v>#VALUE!</v>
      </c>
      <c r="L22" s="481" t="e">
        <f>MID(D22, FIND(" ",D22), LEN(D22) - FIND(" ",D22) + 1)</f>
        <v>#VALUE!</v>
      </c>
      <c r="M22" s="481">
        <f>IF(PedGuiMedIV!E26&lt;&gt;"",G22/10*24,0)</f>
        <v>0</v>
      </c>
      <c r="N22" s="481">
        <f>IF($F22=3,M22*0.05,0)</f>
        <v>0</v>
      </c>
      <c r="O22" s="481">
        <f>IF($F22=4,M22*0.1,0)</f>
        <v>0</v>
      </c>
      <c r="P22" s="481">
        <f>IF($F22=2,M22*0.155,0)</f>
        <v>0</v>
      </c>
      <c r="Q22" s="481">
        <f>IF(OR($C22=24),0.5*$M22,IF(C22=4,M22*145/1000,0))</f>
        <v>0</v>
      </c>
      <c r="R22" s="481">
        <f t="shared" si="19"/>
        <v>0</v>
      </c>
      <c r="S22" s="481">
        <f>IF(OR($C22=4),0.2*$M22,0)</f>
        <v>0</v>
      </c>
      <c r="T22" s="481">
        <f>IF(OR(C22=20,C22=21),0.1*M22,0)</f>
        <v>0</v>
      </c>
      <c r="U22" s="481"/>
      <c r="V22" s="481"/>
      <c r="W22" s="481"/>
      <c r="X22" s="481"/>
      <c r="Y22" s="481"/>
      <c r="Z22" s="481" t="str">
        <f>IF(C22&gt;1,"verw","")</f>
        <v/>
      </c>
      <c r="AA22" s="481"/>
      <c r="AB22" s="481" t="str">
        <f>IF(C22&lt;&gt;"",C22,"")</f>
        <v/>
      </c>
      <c r="AC22" s="481">
        <f t="shared" ref="AC22:AC25" si="21">IF(D22="","",D22)</f>
        <v>0</v>
      </c>
      <c r="AD22" s="481" t="str">
        <f>IF(C22&lt;&gt;"",E22&amp;" ml","")</f>
        <v/>
      </c>
      <c r="AE22" s="481" t="str">
        <f>IF((INDEX(tblOplossing,F22,1)=0),"",INDEX(tblOplossing,F22,1))</f>
        <v/>
      </c>
      <c r="AF22" s="481" t="str">
        <f>IF(C22&gt;1,G22/10&amp;" ml/uur","")</f>
        <v/>
      </c>
      <c r="AG22" s="481" t="str">
        <f>IFERROR(ROUND((G22/10)*K22/E22/(_Pat_Gewicht/10),3)&amp;" "&amp;L22&amp;"/kg/uur "&amp;"("&amp;ROUND((G22/10/60)*K22/E22/(_Pat_Gewicht/10),3)&amp;" "&amp;L22&amp;"/kg/min)","")</f>
        <v/>
      </c>
      <c r="AH22" s="481"/>
      <c r="AI22" s="481" t="str">
        <f>IF(C22&gt;1,24*G22/10&amp;" ml","")</f>
        <v/>
      </c>
      <c r="AJ22" s="481"/>
    </row>
    <row r="23" spans="1:36" s="333" customFormat="1" x14ac:dyDescent="0.2">
      <c r="A23" s="481">
        <v>18</v>
      </c>
      <c r="B23" s="481"/>
      <c r="C23" s="481"/>
      <c r="D23" s="481">
        <v>0</v>
      </c>
      <c r="E23" s="481">
        <v>0</v>
      </c>
      <c r="F23" s="481">
        <v>1</v>
      </c>
      <c r="G23" s="481">
        <v>0</v>
      </c>
      <c r="H23" s="481"/>
      <c r="I23" s="481"/>
      <c r="J23" s="481"/>
      <c r="K23" s="481" t="e">
        <f>LEFT(D23,FIND(" ",D23))</f>
        <v>#VALUE!</v>
      </c>
      <c r="L23" s="481" t="e">
        <f>MID(D23, FIND(" ",D23), LEN(D23) - FIND(" ",D23) + 1)</f>
        <v>#VALUE!</v>
      </c>
      <c r="M23" s="481">
        <f>IF(PedGuiMedIV!E27&lt;&gt;"",G23/10*24,0)</f>
        <v>0</v>
      </c>
      <c r="N23" s="481">
        <f>IF($F23=3,M23*0.05,0)</f>
        <v>0</v>
      </c>
      <c r="O23" s="481">
        <f>IF($F23=4,M23*0.1,0)</f>
        <v>0</v>
      </c>
      <c r="P23" s="481">
        <f>IF($F23=2,M23*0.155,0)</f>
        <v>0</v>
      </c>
      <c r="Q23" s="481">
        <f>IF(OR($C23=24),0.5*$M23,IF(C23=4,M23*145/1000,0))</f>
        <v>0</v>
      </c>
      <c r="R23" s="481">
        <f t="shared" si="19"/>
        <v>0</v>
      </c>
      <c r="S23" s="481">
        <f>IF(OR($C23=4),0.2*$M23,0)</f>
        <v>0</v>
      </c>
      <c r="T23" s="481">
        <f>IF(OR(C23=20,C23=21),0.1*M23,0)</f>
        <v>0</v>
      </c>
      <c r="U23" s="481"/>
      <c r="V23" s="481"/>
      <c r="W23" s="481"/>
      <c r="X23" s="481"/>
      <c r="Y23" s="481"/>
      <c r="Z23" s="481" t="str">
        <f>IF(C23&gt;1,"verw","")</f>
        <v/>
      </c>
      <c r="AA23" s="481"/>
      <c r="AB23" s="481" t="str">
        <f>IF(C23&lt;&gt;"",C23,"")</f>
        <v/>
      </c>
      <c r="AC23" s="481">
        <f t="shared" si="21"/>
        <v>0</v>
      </c>
      <c r="AD23" s="481" t="str">
        <f>IF(C23&lt;&gt;"",E23&amp;" ml","")</f>
        <v/>
      </c>
      <c r="AE23" s="481" t="str">
        <f>IF((INDEX(tblOplossing,F23,1)=0),"",INDEX(tblOplossing,F23,1))</f>
        <v/>
      </c>
      <c r="AF23" s="481" t="str">
        <f>IF(C23&gt;1,G23/10&amp;" ml/uur","")</f>
        <v/>
      </c>
      <c r="AG23" s="481" t="str">
        <f>IFERROR(ROUND((G23/10)*K23/E23/(_Pat_Gewicht/10),3)&amp;" "&amp;L23&amp;"/kg/uur "&amp;"("&amp;ROUND((G23/10/60)*K23/E23/(_Pat_Gewicht/10),3)&amp;" "&amp;L23&amp;"/kg/min)","")</f>
        <v/>
      </c>
      <c r="AH23" s="481"/>
      <c r="AI23" s="481" t="str">
        <f>IF(C23&gt;1,24*G23/10&amp;" ml","")</f>
        <v/>
      </c>
      <c r="AJ23" s="481"/>
    </row>
    <row r="24" spans="1:36" s="333" customFormat="1" x14ac:dyDescent="0.2">
      <c r="A24" s="481">
        <v>19</v>
      </c>
      <c r="B24" s="481"/>
      <c r="C24" s="481"/>
      <c r="D24" s="481">
        <v>0</v>
      </c>
      <c r="E24" s="481">
        <v>0</v>
      </c>
      <c r="F24" s="481">
        <v>1</v>
      </c>
      <c r="G24" s="481">
        <v>0</v>
      </c>
      <c r="H24" s="481"/>
      <c r="I24" s="481"/>
      <c r="J24" s="481"/>
      <c r="K24" s="481" t="e">
        <f>LEFT(D24,FIND(" ",D24))</f>
        <v>#VALUE!</v>
      </c>
      <c r="L24" s="481" t="e">
        <f>MID(D24, FIND(" ",D24), LEN(D24) - FIND(" ",D24) + 1)</f>
        <v>#VALUE!</v>
      </c>
      <c r="M24" s="481">
        <f>IF(PedGuiMedIV!E28&lt;&gt;"",G24/10*24,0)</f>
        <v>0</v>
      </c>
      <c r="N24" s="481">
        <f>IF($F24=3,M24*0.05,0)</f>
        <v>0</v>
      </c>
      <c r="O24" s="481">
        <f>IF($F24=4,M24*0.1,0)</f>
        <v>0</v>
      </c>
      <c r="P24" s="481">
        <f>IF($F24=2,M24*0.155,0)</f>
        <v>0</v>
      </c>
      <c r="Q24" s="481">
        <f>IF(OR($C24=24),0.5*$M24,IF(C24=4,M24*145/1000,0))</f>
        <v>0</v>
      </c>
      <c r="R24" s="481">
        <f t="shared" si="19"/>
        <v>0</v>
      </c>
      <c r="S24" s="481">
        <f>IF(OR($C24=4),0.2*$M24,0)</f>
        <v>0</v>
      </c>
      <c r="T24" s="481">
        <f>IF(OR(C24=20,C24=21),0.1*M24,0)</f>
        <v>0</v>
      </c>
      <c r="U24" s="481"/>
      <c r="V24" s="481"/>
      <c r="W24" s="481"/>
      <c r="X24" s="481"/>
      <c r="Y24" s="481"/>
      <c r="Z24" s="481" t="str">
        <f>IF(C24&gt;1,"verw","")</f>
        <v/>
      </c>
      <c r="AA24" s="481"/>
      <c r="AB24" s="481" t="str">
        <f>IF(C24&lt;&gt;"",C24,"")</f>
        <v/>
      </c>
      <c r="AC24" s="481">
        <f t="shared" si="21"/>
        <v>0</v>
      </c>
      <c r="AD24" s="481" t="str">
        <f>IF(C24&lt;&gt;"",E24&amp;" ml","")</f>
        <v/>
      </c>
      <c r="AE24" s="481" t="str">
        <f>IF((INDEX(tblOplossing,F24,1)=0),"",INDEX(tblOplossing,F24,1))</f>
        <v/>
      </c>
      <c r="AF24" s="481" t="str">
        <f>IF(C24&gt;1,G24/10&amp;" ml/uur","")</f>
        <v/>
      </c>
      <c r="AG24" s="481" t="str">
        <f>IFERROR(ROUND((G24/10)*K24/E24/(_Pat_Gewicht/10),3)&amp;" "&amp;L24&amp;"/kg/uur "&amp;"("&amp;ROUND((G24/10/60)*K24/E24/(_Pat_Gewicht/10),3)&amp;" "&amp;L24&amp;"/kg/min)","")</f>
        <v/>
      </c>
      <c r="AH24" s="481"/>
      <c r="AI24" s="481" t="str">
        <f>IF(C24&gt;1,24*G24/10&amp;" ml","")</f>
        <v/>
      </c>
      <c r="AJ24" s="481"/>
    </row>
    <row r="25" spans="1:36" s="333" customFormat="1" x14ac:dyDescent="0.2">
      <c r="A25" s="656">
        <v>20</v>
      </c>
      <c r="B25" s="656"/>
      <c r="C25" s="656"/>
      <c r="D25" s="656">
        <v>0</v>
      </c>
      <c r="E25" s="656">
        <v>0</v>
      </c>
      <c r="F25" s="656">
        <v>1</v>
      </c>
      <c r="G25" s="656">
        <v>0</v>
      </c>
      <c r="H25" s="656"/>
      <c r="I25" s="656"/>
      <c r="J25" s="656"/>
      <c r="K25" s="656" t="e">
        <f>LEFT(D25,FIND(" ",D25))</f>
        <v>#VALUE!</v>
      </c>
      <c r="L25" s="656" t="e">
        <f>MID(D25, FIND(" ",D25), LEN(D25) - FIND(" ",D25) + 1)</f>
        <v>#VALUE!</v>
      </c>
      <c r="M25" s="656">
        <f>IF(PedGuiMedIV!E29&lt;&gt;"",G25/10*24,0)</f>
        <v>0</v>
      </c>
      <c r="N25" s="656">
        <f>IF($F25=3,M25*0.05,0)</f>
        <v>0</v>
      </c>
      <c r="O25" s="656">
        <f>IF($F25=4,M25*0.1,0)</f>
        <v>0</v>
      </c>
      <c r="P25" s="656">
        <f>IF($F25=2,M25*0.155,0)</f>
        <v>0</v>
      </c>
      <c r="Q25" s="656">
        <f>IF(OR($C25=24),0.5*$M25,IF(C25=4,M25*145/1000,0))</f>
        <v>0</v>
      </c>
      <c r="R25" s="656">
        <f t="shared" si="19"/>
        <v>0</v>
      </c>
      <c r="S25" s="656">
        <f>IF(OR($C25=4),0.2*$M25,0)</f>
        <v>0</v>
      </c>
      <c r="T25" s="656">
        <f>IF(OR(C25=20,C25=21),0.1*M25,0)</f>
        <v>0</v>
      </c>
      <c r="U25" s="656"/>
      <c r="V25" s="656"/>
      <c r="W25" s="656"/>
      <c r="X25" s="656"/>
      <c r="Y25" s="656"/>
      <c r="Z25" s="656" t="str">
        <f>IF(C25&gt;1,"verw","")</f>
        <v/>
      </c>
      <c r="AA25" s="656"/>
      <c r="AB25" s="656" t="str">
        <f>IF(C25&lt;&gt;"",C25,"")</f>
        <v/>
      </c>
      <c r="AC25" s="656">
        <f t="shared" si="21"/>
        <v>0</v>
      </c>
      <c r="AD25" s="656" t="str">
        <f>IF(C25&lt;&gt;"",E25&amp;" ml","")</f>
        <v/>
      </c>
      <c r="AE25" s="656" t="str">
        <f>IF((INDEX(tblOplossing,F25,1)=0),"",INDEX(tblOplossing,F25,1))</f>
        <v/>
      </c>
      <c r="AF25" s="656" t="str">
        <f>IF(C25&gt;1,G25/10&amp;" ml/uur","")</f>
        <v/>
      </c>
      <c r="AG25" s="656" t="str">
        <f>IFERROR(ROUND((G25/10)*K25/E25/(_Pat_Gewicht/10),3)&amp;" "&amp;L25&amp;"/kg/uur "&amp;"("&amp;ROUND((G25/10/60)*K25/E25/(_Pat_Gewicht/10),3)&amp;" "&amp;L25&amp;"/kg/min)","")</f>
        <v/>
      </c>
      <c r="AH25" s="656"/>
      <c r="AI25" s="656" t="str">
        <f>IF(C25&gt;1,24*G25/10&amp;" ml","")</f>
        <v/>
      </c>
      <c r="AJ25" s="656"/>
    </row>
    <row r="26" spans="1:36" x14ac:dyDescent="0.2">
      <c r="A26" s="311" t="s">
        <v>215</v>
      </c>
      <c r="B26"/>
      <c r="F26"/>
      <c r="G26"/>
      <c r="M26">
        <f>SUM(M5:M25)</f>
        <v>26.4</v>
      </c>
      <c r="O26">
        <f>SUM(N5:O25)</f>
        <v>0</v>
      </c>
      <c r="Q26">
        <f>SUM(Q5:Q25)+SUM(P5:P25)</f>
        <v>1.1160000000000001</v>
      </c>
      <c r="R26">
        <f>SUM(R5:R25)</f>
        <v>0</v>
      </c>
      <c r="S26">
        <f>SUM(S5:S25)</f>
        <v>0</v>
      </c>
      <c r="T26">
        <f>SUM(T5:T25)</f>
        <v>0</v>
      </c>
      <c r="Z26" s="310"/>
      <c r="AE26" s="310"/>
      <c r="AG26" s="310"/>
    </row>
    <row r="28" spans="1:36" x14ac:dyDescent="0.2">
      <c r="B28" s="311" t="s">
        <v>440</v>
      </c>
    </row>
    <row r="30" spans="1:36" x14ac:dyDescent="0.2">
      <c r="A30" s="311"/>
      <c r="B30" s="311"/>
    </row>
    <row r="34" spans="3:4" x14ac:dyDescent="0.2">
      <c r="C34" s="311"/>
    </row>
    <row r="35" spans="3:4" x14ac:dyDescent="0.2">
      <c r="D35" s="31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8" sqref="K8"/>
    </sheetView>
  </sheetViews>
  <sheetFormatPr defaultColWidth="9.140625" defaultRowHeight="12.75" x14ac:dyDescent="0.2"/>
  <cols>
    <col min="1" max="1" width="5" style="482" customWidth="1"/>
    <col min="2" max="2" width="33.140625" style="482" customWidth="1"/>
    <col min="3" max="3" width="12" style="482" customWidth="1"/>
    <col min="4" max="4" width="17.5703125" style="482" customWidth="1"/>
    <col min="5" max="14" width="7.7109375" style="482" customWidth="1"/>
    <col min="15" max="15" width="30.7109375" style="482" customWidth="1"/>
    <col min="16" max="16" width="35.42578125" style="482" customWidth="1"/>
    <col min="17" max="19" width="8.7109375" style="482" customWidth="1"/>
    <col min="20" max="20" width="9.5703125" style="482" customWidth="1"/>
    <col min="21" max="21" width="12.140625" style="482" customWidth="1"/>
    <col min="22" max="16384" width="9.140625" style="482"/>
  </cols>
  <sheetData>
    <row r="1" spans="1:21" x14ac:dyDescent="0.2">
      <c r="A1" s="659"/>
      <c r="B1" s="660"/>
      <c r="C1" s="660"/>
      <c r="D1" s="660"/>
      <c r="E1" s="660" t="s">
        <v>4630</v>
      </c>
      <c r="F1" s="660"/>
      <c r="G1" s="660"/>
      <c r="H1" s="660"/>
      <c r="I1" s="660"/>
      <c r="J1" s="660"/>
      <c r="K1" s="660" t="s">
        <v>4631</v>
      </c>
      <c r="L1" s="660"/>
      <c r="M1" s="660"/>
      <c r="N1" s="660"/>
      <c r="O1" s="660"/>
      <c r="P1" s="660" t="s">
        <v>4619</v>
      </c>
      <c r="Q1" s="660"/>
      <c r="R1" s="660"/>
      <c r="S1" s="660"/>
    </row>
    <row r="2" spans="1:21" x14ac:dyDescent="0.2">
      <c r="A2" s="661"/>
      <c r="B2" s="662"/>
      <c r="C2" s="662"/>
      <c r="D2" s="662"/>
      <c r="E2" s="662" t="s">
        <v>455</v>
      </c>
      <c r="F2" s="662"/>
      <c r="G2" s="662" t="s">
        <v>456</v>
      </c>
      <c r="H2" s="662"/>
      <c r="I2" s="662" t="s">
        <v>457</v>
      </c>
      <c r="J2" s="662"/>
      <c r="K2" s="662"/>
      <c r="L2" s="662"/>
      <c r="M2" s="662"/>
      <c r="N2" s="662"/>
      <c r="O2" s="662"/>
      <c r="P2" s="662"/>
      <c r="Q2" s="662" t="s">
        <v>465</v>
      </c>
      <c r="R2" s="662"/>
      <c r="S2" s="662"/>
    </row>
    <row r="3" spans="1:21" s="658" customFormat="1" ht="25.5" x14ac:dyDescent="0.2">
      <c r="A3" s="663"/>
      <c r="B3" s="664" t="s">
        <v>4633</v>
      </c>
      <c r="C3" s="664" t="s">
        <v>3779</v>
      </c>
      <c r="D3" s="664" t="s">
        <v>4635</v>
      </c>
      <c r="E3" s="664" t="s">
        <v>4634</v>
      </c>
      <c r="F3" s="664" t="s">
        <v>468</v>
      </c>
      <c r="G3" s="664" t="s">
        <v>4634</v>
      </c>
      <c r="H3" s="664" t="s">
        <v>468</v>
      </c>
      <c r="I3" s="664" t="s">
        <v>4634</v>
      </c>
      <c r="J3" s="664" t="s">
        <v>468</v>
      </c>
      <c r="K3" s="664" t="s">
        <v>4627</v>
      </c>
      <c r="L3" s="664" t="s">
        <v>4628</v>
      </c>
      <c r="M3" s="664" t="s">
        <v>4629</v>
      </c>
      <c r="N3" s="664" t="s">
        <v>4617</v>
      </c>
      <c r="O3" s="664" t="s">
        <v>4637</v>
      </c>
      <c r="P3" s="664" t="s">
        <v>458</v>
      </c>
      <c r="Q3" s="664" t="s">
        <v>4634</v>
      </c>
      <c r="R3" s="664" t="s">
        <v>468</v>
      </c>
      <c r="S3" s="664" t="s">
        <v>4625</v>
      </c>
      <c r="U3" s="658" t="s">
        <v>1069</v>
      </c>
    </row>
    <row r="4" spans="1:21" x14ac:dyDescent="0.2">
      <c r="A4" s="665">
        <v>1</v>
      </c>
      <c r="B4" s="662"/>
      <c r="C4" s="662"/>
      <c r="D4" s="662"/>
      <c r="E4" s="662"/>
      <c r="F4" s="662"/>
      <c r="G4" s="662"/>
      <c r="H4" s="662"/>
      <c r="I4" s="662"/>
      <c r="J4" s="662"/>
      <c r="K4" s="662"/>
      <c r="L4" s="662"/>
      <c r="M4" s="662"/>
      <c r="N4" s="662">
        <v>1</v>
      </c>
      <c r="O4" s="662"/>
      <c r="P4" s="662"/>
      <c r="Q4" s="662"/>
      <c r="R4" s="662"/>
      <c r="S4" s="662"/>
      <c r="U4" s="333"/>
    </row>
    <row r="5" spans="1:21" x14ac:dyDescent="0.2">
      <c r="A5" s="665">
        <f>A4+1</f>
        <v>2</v>
      </c>
      <c r="B5" s="666" t="s">
        <v>208</v>
      </c>
      <c r="C5" s="666" t="s">
        <v>159</v>
      </c>
      <c r="D5" s="666" t="s">
        <v>571</v>
      </c>
      <c r="E5" s="666">
        <v>1</v>
      </c>
      <c r="F5" s="666">
        <v>50</v>
      </c>
      <c r="G5" s="666">
        <v>2</v>
      </c>
      <c r="H5" s="666">
        <v>50</v>
      </c>
      <c r="I5" s="669">
        <v>5</v>
      </c>
      <c r="J5" s="669">
        <v>50</v>
      </c>
      <c r="K5" s="666">
        <v>0.05</v>
      </c>
      <c r="L5" s="666">
        <v>0.5</v>
      </c>
      <c r="M5" s="666">
        <v>1</v>
      </c>
      <c r="N5" s="666">
        <v>1</v>
      </c>
      <c r="O5" s="666"/>
      <c r="P5" s="662" t="str">
        <f>IF(ISBLANK(O5),CONCATENATE(K5,"-",L5," ",D5),O5)</f>
        <v>0,05-0,5 microg/kg/min</v>
      </c>
      <c r="Q5" s="662">
        <f t="shared" ref="Q5:Q35" si="0">IF(_Pat_Gewicht/10&lt;6,E5,IF(_Pat_Gewicht/10&lt;11,G5,I5))</f>
        <v>1</v>
      </c>
      <c r="R5" s="662">
        <f t="shared" ref="R5:R35" si="1">IF(_Pat_Gewicht/10&lt;6,F5,IF(_Pat_Gewicht/10&lt;11,H5,J5))</f>
        <v>50</v>
      </c>
      <c r="S5" s="662">
        <f t="shared" ref="S5:S35" si="2">HLOOKUP(C5,Tbl_Glob_Conv_EenhCont,VLOOKUP(D5,Tbl_Glob_Conv_EenhCont,2,FALSE),FALSE)</f>
        <v>16.666666666666668</v>
      </c>
      <c r="U5" s="333" t="s">
        <v>954</v>
      </c>
    </row>
    <row r="6" spans="1:21" x14ac:dyDescent="0.2">
      <c r="A6" s="665">
        <f t="shared" ref="A6:A35" si="3">A5+1</f>
        <v>3</v>
      </c>
      <c r="B6" s="666" t="s">
        <v>117</v>
      </c>
      <c r="C6" s="666" t="s">
        <v>67</v>
      </c>
      <c r="D6" s="666" t="s">
        <v>356</v>
      </c>
      <c r="E6" s="666">
        <v>0.2</v>
      </c>
      <c r="F6" s="666">
        <v>1</v>
      </c>
      <c r="G6" s="666">
        <v>0.2</v>
      </c>
      <c r="H6" s="666">
        <v>1</v>
      </c>
      <c r="I6" s="669">
        <v>0.2</v>
      </c>
      <c r="J6" s="669">
        <v>1</v>
      </c>
      <c r="K6" s="666">
        <v>1</v>
      </c>
      <c r="L6" s="666">
        <v>2</v>
      </c>
      <c r="M6" s="666">
        <v>4</v>
      </c>
      <c r="N6" s="666">
        <v>1</v>
      </c>
      <c r="O6" s="666"/>
      <c r="P6" s="662" t="str">
        <f t="shared" ref="P6:P35" si="4">IF(ISBLANK(O6),CONCATENATE(K6,"-",L6," ",D6),O6)</f>
        <v>1-2 gram/kg/dag</v>
      </c>
      <c r="Q6" s="662">
        <f t="shared" si="0"/>
        <v>0.2</v>
      </c>
      <c r="R6" s="662">
        <f t="shared" si="1"/>
        <v>1</v>
      </c>
      <c r="S6" s="662">
        <f t="shared" si="2"/>
        <v>24</v>
      </c>
      <c r="U6" s="333" t="s">
        <v>274</v>
      </c>
    </row>
    <row r="7" spans="1:21" x14ac:dyDescent="0.2">
      <c r="A7" s="665">
        <f t="shared" si="3"/>
        <v>4</v>
      </c>
      <c r="B7" s="666" t="s">
        <v>149</v>
      </c>
      <c r="C7" s="666" t="s">
        <v>159</v>
      </c>
      <c r="D7" s="666" t="s">
        <v>414</v>
      </c>
      <c r="E7" s="666">
        <v>0.2</v>
      </c>
      <c r="F7" s="666">
        <v>50</v>
      </c>
      <c r="G7" s="666"/>
      <c r="H7" s="666"/>
      <c r="I7" s="666"/>
      <c r="J7" s="666"/>
      <c r="K7" s="666">
        <v>10</v>
      </c>
      <c r="L7" s="666">
        <v>50</v>
      </c>
      <c r="M7" s="666">
        <v>100</v>
      </c>
      <c r="N7" s="666">
        <v>1</v>
      </c>
      <c r="O7" s="666"/>
      <c r="P7" s="662" t="str">
        <f t="shared" si="4"/>
        <v>10-50 nanog/kg/min</v>
      </c>
      <c r="Q7" s="662">
        <f t="shared" si="0"/>
        <v>0.2</v>
      </c>
      <c r="R7" s="662">
        <f t="shared" si="1"/>
        <v>50</v>
      </c>
      <c r="S7" s="662">
        <f t="shared" si="2"/>
        <v>16666.666666666668</v>
      </c>
      <c r="U7" s="333" t="s">
        <v>275</v>
      </c>
    </row>
    <row r="8" spans="1:21" x14ac:dyDescent="0.2">
      <c r="A8" s="665">
        <f t="shared" si="3"/>
        <v>5</v>
      </c>
      <c r="B8" s="666" t="s">
        <v>423</v>
      </c>
      <c r="C8" s="666" t="s">
        <v>159</v>
      </c>
      <c r="D8" s="666" t="s">
        <v>571</v>
      </c>
      <c r="E8" s="666">
        <v>50</v>
      </c>
      <c r="F8" s="666">
        <v>50</v>
      </c>
      <c r="G8" s="666">
        <v>150</v>
      </c>
      <c r="H8" s="666">
        <v>50</v>
      </c>
      <c r="I8" s="669">
        <v>300</v>
      </c>
      <c r="J8" s="669">
        <v>50</v>
      </c>
      <c r="K8" s="666">
        <v>5</v>
      </c>
      <c r="L8" s="666">
        <v>15</v>
      </c>
      <c r="M8" s="666">
        <v>25</v>
      </c>
      <c r="N8" s="666">
        <v>1</v>
      </c>
      <c r="O8" s="666"/>
      <c r="P8" s="662" t="str">
        <f t="shared" si="4"/>
        <v>5-15 microg/kg/min</v>
      </c>
      <c r="Q8" s="662">
        <f t="shared" si="0"/>
        <v>50</v>
      </c>
      <c r="R8" s="662">
        <f t="shared" si="1"/>
        <v>50</v>
      </c>
      <c r="S8" s="662">
        <f t="shared" si="2"/>
        <v>16.666666666666668</v>
      </c>
    </row>
    <row r="9" spans="1:21" x14ac:dyDescent="0.2">
      <c r="A9" s="665">
        <f t="shared" si="3"/>
        <v>6</v>
      </c>
      <c r="B9" s="666" t="s">
        <v>40</v>
      </c>
      <c r="C9" s="666" t="s">
        <v>159</v>
      </c>
      <c r="D9" s="666" t="s">
        <v>706</v>
      </c>
      <c r="E9" s="666">
        <v>0.15</v>
      </c>
      <c r="F9" s="666">
        <v>50</v>
      </c>
      <c r="G9" s="666">
        <v>0.3</v>
      </c>
      <c r="H9" s="666">
        <v>50</v>
      </c>
      <c r="I9" s="669">
        <v>0.6</v>
      </c>
      <c r="J9" s="669">
        <v>50</v>
      </c>
      <c r="K9" s="666">
        <v>0.25</v>
      </c>
      <c r="L9" s="666">
        <v>2</v>
      </c>
      <c r="M9" s="666">
        <v>3</v>
      </c>
      <c r="N9" s="666">
        <v>2</v>
      </c>
      <c r="O9" s="666"/>
      <c r="P9" s="662" t="str">
        <f t="shared" si="4"/>
        <v>0,25-2 microg/kg/uur</v>
      </c>
      <c r="Q9" s="662">
        <f t="shared" si="0"/>
        <v>0.15</v>
      </c>
      <c r="R9" s="662">
        <f t="shared" si="1"/>
        <v>50</v>
      </c>
      <c r="S9" s="662">
        <f t="shared" si="2"/>
        <v>1000</v>
      </c>
    </row>
    <row r="10" spans="1:21" x14ac:dyDescent="0.2">
      <c r="A10" s="665">
        <f t="shared" si="3"/>
        <v>7</v>
      </c>
      <c r="B10" s="666" t="s">
        <v>323</v>
      </c>
      <c r="C10" s="666" t="s">
        <v>159</v>
      </c>
      <c r="D10" s="666" t="s">
        <v>571</v>
      </c>
      <c r="E10" s="666">
        <v>80</v>
      </c>
      <c r="F10" s="666">
        <v>50</v>
      </c>
      <c r="G10" s="666">
        <v>200</v>
      </c>
      <c r="H10" s="666">
        <v>50</v>
      </c>
      <c r="I10" s="669">
        <v>400</v>
      </c>
      <c r="J10" s="669">
        <v>50</v>
      </c>
      <c r="K10" s="666">
        <v>1</v>
      </c>
      <c r="L10" s="666">
        <v>20</v>
      </c>
      <c r="M10" s="666">
        <v>30</v>
      </c>
      <c r="N10" s="666">
        <v>1</v>
      </c>
      <c r="O10" s="666"/>
      <c r="P10" s="662" t="str">
        <f t="shared" si="4"/>
        <v>1-20 microg/kg/min</v>
      </c>
      <c r="Q10" s="662">
        <f t="shared" si="0"/>
        <v>80</v>
      </c>
      <c r="R10" s="662">
        <f t="shared" si="1"/>
        <v>50</v>
      </c>
      <c r="S10" s="662">
        <f t="shared" si="2"/>
        <v>16.666666666666668</v>
      </c>
    </row>
    <row r="11" spans="1:21" x14ac:dyDescent="0.2">
      <c r="A11" s="665">
        <f t="shared" si="3"/>
        <v>8</v>
      </c>
      <c r="B11" s="666" t="s">
        <v>294</v>
      </c>
      <c r="C11" s="666" t="s">
        <v>159</v>
      </c>
      <c r="D11" s="666" t="s">
        <v>571</v>
      </c>
      <c r="E11" s="666">
        <v>80</v>
      </c>
      <c r="F11" s="666">
        <v>50</v>
      </c>
      <c r="G11" s="666">
        <v>200</v>
      </c>
      <c r="H11" s="666">
        <v>50</v>
      </c>
      <c r="I11" s="669">
        <v>400</v>
      </c>
      <c r="J11" s="669">
        <v>50</v>
      </c>
      <c r="K11" s="666">
        <v>1</v>
      </c>
      <c r="L11" s="666">
        <v>20</v>
      </c>
      <c r="M11" s="666">
        <v>30</v>
      </c>
      <c r="N11" s="666">
        <v>1</v>
      </c>
      <c r="O11" s="666"/>
      <c r="P11" s="662" t="str">
        <f t="shared" si="4"/>
        <v>1-20 microg/kg/min</v>
      </c>
      <c r="Q11" s="662">
        <f t="shared" si="0"/>
        <v>80</v>
      </c>
      <c r="R11" s="662">
        <f t="shared" si="1"/>
        <v>50</v>
      </c>
      <c r="S11" s="662">
        <f t="shared" si="2"/>
        <v>16.666666666666668</v>
      </c>
    </row>
    <row r="12" spans="1:21" x14ac:dyDescent="0.2">
      <c r="A12" s="665">
        <f t="shared" si="3"/>
        <v>9</v>
      </c>
      <c r="B12" s="666" t="s">
        <v>4814</v>
      </c>
      <c r="C12" s="666" t="s">
        <v>160</v>
      </c>
      <c r="D12" s="666" t="s">
        <v>171</v>
      </c>
      <c r="E12" s="666">
        <f>IF(_Pat_Gewicht/10&gt;48,48,_Pat_Gewicht/10)</f>
        <v>1</v>
      </c>
      <c r="F12" s="666">
        <v>24</v>
      </c>
      <c r="G12" s="666">
        <f>IF(_Pat_Gewicht/10&gt;48,48,_Pat_Gewicht/10)</f>
        <v>1</v>
      </c>
      <c r="H12" s="666">
        <v>48</v>
      </c>
      <c r="I12" s="666">
        <f>IF(_Pat_Gewicht/10&gt;48,48,_Pat_Gewicht/10)</f>
        <v>1</v>
      </c>
      <c r="J12" s="669">
        <v>48</v>
      </c>
      <c r="K12" s="666">
        <v>1</v>
      </c>
      <c r="L12" s="666">
        <v>8</v>
      </c>
      <c r="M12" s="666">
        <v>8</v>
      </c>
      <c r="N12" s="666">
        <v>1</v>
      </c>
      <c r="O12" s="666" t="s">
        <v>4821</v>
      </c>
      <c r="P12" s="662" t="str">
        <f t="shared" si="4"/>
        <v>N.B. Epiduraal, volgens voorschrift anesthesist!</v>
      </c>
      <c r="Q12" s="662">
        <f t="shared" si="0"/>
        <v>1</v>
      </c>
      <c r="R12" s="662">
        <f t="shared" si="1"/>
        <v>24</v>
      </c>
      <c r="S12" s="662">
        <f t="shared" si="2"/>
        <v>1</v>
      </c>
    </row>
    <row r="13" spans="1:21" x14ac:dyDescent="0.2">
      <c r="A13" s="665">
        <f t="shared" si="3"/>
        <v>10</v>
      </c>
      <c r="B13" s="666" t="s">
        <v>4813</v>
      </c>
      <c r="C13" s="666" t="s">
        <v>160</v>
      </c>
      <c r="D13" s="666" t="s">
        <v>171</v>
      </c>
      <c r="E13" s="666">
        <f>IF(_Pat_Gewicht/10&gt;48,48,_Pat_Gewicht/10)</f>
        <v>1</v>
      </c>
      <c r="F13" s="666">
        <v>24</v>
      </c>
      <c r="G13" s="666">
        <f>IF(_Pat_Gewicht/10&gt;48,48,_Pat_Gewicht/10)</f>
        <v>1</v>
      </c>
      <c r="H13" s="666">
        <v>48</v>
      </c>
      <c r="I13" s="666">
        <f>IF(_Pat_Gewicht/10&gt;48,48,_Pat_Gewicht/10)</f>
        <v>1</v>
      </c>
      <c r="J13" s="669">
        <v>48</v>
      </c>
      <c r="K13" s="666">
        <v>1</v>
      </c>
      <c r="L13" s="666">
        <v>8</v>
      </c>
      <c r="M13" s="666">
        <v>8</v>
      </c>
      <c r="N13" s="666">
        <v>1</v>
      </c>
      <c r="O13" s="666" t="s">
        <v>4821</v>
      </c>
      <c r="P13" s="662" t="str">
        <f t="shared" si="4"/>
        <v>N.B. Epiduraal, volgens voorschrift anesthesist!</v>
      </c>
      <c r="Q13" s="662">
        <f t="shared" si="0"/>
        <v>1</v>
      </c>
      <c r="R13" s="662">
        <f t="shared" si="1"/>
        <v>24</v>
      </c>
      <c r="S13" s="662">
        <f t="shared" si="2"/>
        <v>1</v>
      </c>
    </row>
    <row r="14" spans="1:21" x14ac:dyDescent="0.2">
      <c r="A14" s="665">
        <f t="shared" si="3"/>
        <v>11</v>
      </c>
      <c r="B14" s="666" t="s">
        <v>92</v>
      </c>
      <c r="C14" s="666" t="s">
        <v>159</v>
      </c>
      <c r="D14" s="666" t="s">
        <v>414</v>
      </c>
      <c r="E14" s="666">
        <v>0.2</v>
      </c>
      <c r="F14" s="666">
        <v>50</v>
      </c>
      <c r="G14" s="666">
        <v>0.4</v>
      </c>
      <c r="H14" s="666">
        <v>50</v>
      </c>
      <c r="I14" s="669">
        <v>0.8</v>
      </c>
      <c r="J14" s="669">
        <v>50</v>
      </c>
      <c r="K14" s="666">
        <v>0.5</v>
      </c>
      <c r="L14" s="666">
        <v>50</v>
      </c>
      <c r="M14" s="666">
        <v>50</v>
      </c>
      <c r="N14" s="666">
        <v>2</v>
      </c>
      <c r="O14" s="666"/>
      <c r="P14" s="662" t="str">
        <f t="shared" si="4"/>
        <v>0,5-50 nanog/kg/min</v>
      </c>
      <c r="Q14" s="662">
        <f t="shared" si="0"/>
        <v>0.2</v>
      </c>
      <c r="R14" s="662">
        <f t="shared" si="1"/>
        <v>50</v>
      </c>
      <c r="S14" s="662">
        <f t="shared" si="2"/>
        <v>16666.666666666668</v>
      </c>
    </row>
    <row r="15" spans="1:21" x14ac:dyDescent="0.2">
      <c r="A15" s="665">
        <f t="shared" si="3"/>
        <v>12</v>
      </c>
      <c r="B15" s="666" t="s">
        <v>141</v>
      </c>
      <c r="C15" s="666" t="s">
        <v>159</v>
      </c>
      <c r="D15" s="666" t="s">
        <v>354</v>
      </c>
      <c r="E15" s="666">
        <v>100</v>
      </c>
      <c r="F15" s="666">
        <v>50</v>
      </c>
      <c r="G15" s="666">
        <v>250</v>
      </c>
      <c r="H15" s="666">
        <v>50</v>
      </c>
      <c r="I15" s="669">
        <v>250</v>
      </c>
      <c r="J15" s="669">
        <v>50</v>
      </c>
      <c r="K15" s="666">
        <v>0.5</v>
      </c>
      <c r="L15" s="666">
        <v>1</v>
      </c>
      <c r="M15" s="666">
        <v>2</v>
      </c>
      <c r="N15" s="666">
        <v>1</v>
      </c>
      <c r="O15" s="666"/>
      <c r="P15" s="662" t="str">
        <f t="shared" si="4"/>
        <v>0,5-1 mg/kg/uur</v>
      </c>
      <c r="Q15" s="662">
        <f t="shared" si="0"/>
        <v>100</v>
      </c>
      <c r="R15" s="662">
        <f t="shared" si="1"/>
        <v>50</v>
      </c>
      <c r="S15" s="662">
        <f t="shared" si="2"/>
        <v>1</v>
      </c>
    </row>
    <row r="16" spans="1:21" x14ac:dyDescent="0.2">
      <c r="A16" s="665">
        <f t="shared" si="3"/>
        <v>13</v>
      </c>
      <c r="B16" s="666" t="s">
        <v>459</v>
      </c>
      <c r="C16" s="666" t="s">
        <v>159</v>
      </c>
      <c r="D16" s="666" t="s">
        <v>466</v>
      </c>
      <c r="E16" s="666">
        <v>500</v>
      </c>
      <c r="F16" s="666">
        <v>50</v>
      </c>
      <c r="G16" s="666">
        <v>500</v>
      </c>
      <c r="H16" s="666">
        <v>50</v>
      </c>
      <c r="I16" s="669">
        <v>500</v>
      </c>
      <c r="J16" s="669">
        <v>50</v>
      </c>
      <c r="K16" s="666">
        <v>0.1</v>
      </c>
      <c r="L16" s="666">
        <v>1</v>
      </c>
      <c r="M16" s="666">
        <v>2</v>
      </c>
      <c r="N16" s="666">
        <v>1</v>
      </c>
      <c r="O16" s="666"/>
      <c r="P16" s="662" t="str">
        <f t="shared" si="4"/>
        <v>0,1-1 mg/kg/min</v>
      </c>
      <c r="Q16" s="662">
        <f t="shared" si="0"/>
        <v>500</v>
      </c>
      <c r="R16" s="662">
        <f t="shared" si="1"/>
        <v>50</v>
      </c>
      <c r="S16" s="662">
        <f t="shared" si="2"/>
        <v>1.6666666666666666E-2</v>
      </c>
    </row>
    <row r="17" spans="1:19" x14ac:dyDescent="0.2">
      <c r="A17" s="665">
        <f t="shared" si="3"/>
        <v>14</v>
      </c>
      <c r="B17" s="666" t="s">
        <v>473</v>
      </c>
      <c r="C17" s="666" t="s">
        <v>159</v>
      </c>
      <c r="D17" s="666" t="s">
        <v>706</v>
      </c>
      <c r="E17" s="666">
        <v>0.5</v>
      </c>
      <c r="F17" s="666">
        <v>50</v>
      </c>
      <c r="G17" s="666">
        <v>1</v>
      </c>
      <c r="H17" s="666">
        <v>50</v>
      </c>
      <c r="I17" s="669">
        <v>5</v>
      </c>
      <c r="J17" s="669">
        <v>50</v>
      </c>
      <c r="K17" s="666">
        <v>1</v>
      </c>
      <c r="L17" s="666">
        <v>5</v>
      </c>
      <c r="M17" s="666">
        <v>10</v>
      </c>
      <c r="N17" s="666">
        <v>1</v>
      </c>
      <c r="O17" s="666"/>
      <c r="P17" s="662" t="str">
        <f t="shared" si="4"/>
        <v>1-5 microg/kg/uur</v>
      </c>
      <c r="Q17" s="662">
        <f t="shared" si="0"/>
        <v>0.5</v>
      </c>
      <c r="R17" s="662">
        <f t="shared" si="1"/>
        <v>50</v>
      </c>
      <c r="S17" s="662">
        <f t="shared" si="2"/>
        <v>1000</v>
      </c>
    </row>
    <row r="18" spans="1:19" x14ac:dyDescent="0.2">
      <c r="A18" s="665">
        <f t="shared" si="3"/>
        <v>15</v>
      </c>
      <c r="B18" s="666" t="s">
        <v>460</v>
      </c>
      <c r="C18" s="666" t="s">
        <v>159</v>
      </c>
      <c r="D18" s="666" t="s">
        <v>571</v>
      </c>
      <c r="E18" s="666">
        <v>0.2</v>
      </c>
      <c r="F18" s="666">
        <v>20</v>
      </c>
      <c r="G18" s="666">
        <v>0.4</v>
      </c>
      <c r="H18" s="666">
        <v>20</v>
      </c>
      <c r="I18" s="669">
        <v>0.8</v>
      </c>
      <c r="J18" s="669">
        <v>20</v>
      </c>
      <c r="K18" s="666">
        <v>0.05</v>
      </c>
      <c r="L18" s="666">
        <v>5</v>
      </c>
      <c r="M18" s="666">
        <v>10</v>
      </c>
      <c r="N18" s="666">
        <v>1</v>
      </c>
      <c r="O18" s="666"/>
      <c r="P18" s="662" t="str">
        <f t="shared" si="4"/>
        <v>0,05-5 microg/kg/min</v>
      </c>
      <c r="Q18" s="662">
        <f t="shared" si="0"/>
        <v>0.2</v>
      </c>
      <c r="R18" s="662">
        <f t="shared" si="1"/>
        <v>20</v>
      </c>
      <c r="S18" s="662">
        <f t="shared" si="2"/>
        <v>16.666666666666668</v>
      </c>
    </row>
    <row r="19" spans="1:19" x14ac:dyDescent="0.2">
      <c r="A19" s="665">
        <f t="shared" si="3"/>
        <v>16</v>
      </c>
      <c r="B19" s="666" t="s">
        <v>165</v>
      </c>
      <c r="C19" s="666" t="s">
        <v>159</v>
      </c>
      <c r="D19" s="666" t="s">
        <v>355</v>
      </c>
      <c r="E19" s="666">
        <v>10</v>
      </c>
      <c r="F19" s="666">
        <v>50</v>
      </c>
      <c r="G19" s="666">
        <v>20</v>
      </c>
      <c r="H19" s="666">
        <v>50</v>
      </c>
      <c r="I19" s="669">
        <v>40</v>
      </c>
      <c r="J19" s="669">
        <v>50</v>
      </c>
      <c r="K19" s="666">
        <v>1</v>
      </c>
      <c r="L19" s="666">
        <v>4</v>
      </c>
      <c r="M19" s="666">
        <v>6</v>
      </c>
      <c r="N19" s="666">
        <v>1</v>
      </c>
      <c r="O19" s="666"/>
      <c r="P19" s="662" t="str">
        <f t="shared" si="4"/>
        <v>1-4 mg/kg/dag</v>
      </c>
      <c r="Q19" s="662">
        <f t="shared" si="0"/>
        <v>10</v>
      </c>
      <c r="R19" s="662">
        <f t="shared" si="1"/>
        <v>50</v>
      </c>
      <c r="S19" s="662">
        <f t="shared" si="2"/>
        <v>24</v>
      </c>
    </row>
    <row r="20" spans="1:19" x14ac:dyDescent="0.2">
      <c r="A20" s="665">
        <f t="shared" si="3"/>
        <v>17</v>
      </c>
      <c r="B20" s="666" t="s">
        <v>183</v>
      </c>
      <c r="C20" s="666" t="s">
        <v>4590</v>
      </c>
      <c r="D20" s="666" t="s">
        <v>184</v>
      </c>
      <c r="E20" s="666">
        <v>5000</v>
      </c>
      <c r="F20" s="666">
        <v>50</v>
      </c>
      <c r="G20" s="666">
        <v>10000</v>
      </c>
      <c r="H20" s="666">
        <v>50</v>
      </c>
      <c r="I20" s="669">
        <v>20000</v>
      </c>
      <c r="J20" s="669">
        <v>50</v>
      </c>
      <c r="K20" s="666">
        <v>10</v>
      </c>
      <c r="L20" s="666">
        <v>20</v>
      </c>
      <c r="M20" s="666">
        <v>50</v>
      </c>
      <c r="N20" s="666">
        <v>1</v>
      </c>
      <c r="O20" s="666"/>
      <c r="P20" s="662" t="str">
        <f t="shared" si="4"/>
        <v>10-20 IE/kg/uur</v>
      </c>
      <c r="Q20" s="662">
        <f t="shared" si="0"/>
        <v>5000</v>
      </c>
      <c r="R20" s="662">
        <f t="shared" si="1"/>
        <v>50</v>
      </c>
      <c r="S20" s="662">
        <f t="shared" si="2"/>
        <v>1</v>
      </c>
    </row>
    <row r="21" spans="1:19" x14ac:dyDescent="0.2">
      <c r="A21" s="665">
        <f t="shared" si="3"/>
        <v>18</v>
      </c>
      <c r="B21" s="666" t="s">
        <v>461</v>
      </c>
      <c r="C21" s="666" t="s">
        <v>4590</v>
      </c>
      <c r="D21" s="666" t="s">
        <v>184</v>
      </c>
      <c r="E21" s="666">
        <v>10</v>
      </c>
      <c r="F21" s="666">
        <v>50</v>
      </c>
      <c r="G21" s="666">
        <v>10</v>
      </c>
      <c r="H21" s="666">
        <v>50</v>
      </c>
      <c r="I21" s="669">
        <v>50</v>
      </c>
      <c r="J21" s="669">
        <v>50</v>
      </c>
      <c r="K21" s="666">
        <v>0.02</v>
      </c>
      <c r="L21" s="666">
        <v>0.125</v>
      </c>
      <c r="M21" s="666">
        <v>2</v>
      </c>
      <c r="N21" s="666">
        <v>1</v>
      </c>
      <c r="O21" s="666"/>
      <c r="P21" s="662" t="str">
        <f t="shared" si="4"/>
        <v>0,02-0,125 IE/kg/uur</v>
      </c>
      <c r="Q21" s="662">
        <f t="shared" si="0"/>
        <v>10</v>
      </c>
      <c r="R21" s="662">
        <f t="shared" si="1"/>
        <v>50</v>
      </c>
      <c r="S21" s="662">
        <f t="shared" si="2"/>
        <v>1</v>
      </c>
    </row>
    <row r="22" spans="1:19" x14ac:dyDescent="0.2">
      <c r="A22" s="665">
        <f t="shared" si="3"/>
        <v>19</v>
      </c>
      <c r="B22" s="666" t="s">
        <v>385</v>
      </c>
      <c r="C22" s="666" t="s">
        <v>159</v>
      </c>
      <c r="D22" s="666" t="s">
        <v>571</v>
      </c>
      <c r="E22" s="666">
        <v>2</v>
      </c>
      <c r="F22" s="666">
        <v>50</v>
      </c>
      <c r="G22" s="666">
        <v>2</v>
      </c>
      <c r="H22" s="666">
        <v>50</v>
      </c>
      <c r="I22" s="669">
        <v>2</v>
      </c>
      <c r="J22" s="669">
        <v>50</v>
      </c>
      <c r="K22" s="666">
        <v>0.01</v>
      </c>
      <c r="L22" s="666">
        <v>1.5</v>
      </c>
      <c r="M22" s="666">
        <v>3</v>
      </c>
      <c r="N22" s="666">
        <v>1</v>
      </c>
      <c r="O22" s="666"/>
      <c r="P22" s="662" t="str">
        <f t="shared" si="4"/>
        <v>0,01-1,5 microg/kg/min</v>
      </c>
      <c r="Q22" s="662">
        <f t="shared" si="0"/>
        <v>2</v>
      </c>
      <c r="R22" s="662">
        <f t="shared" si="1"/>
        <v>50</v>
      </c>
      <c r="S22" s="662">
        <f t="shared" si="2"/>
        <v>16.666666666666668</v>
      </c>
    </row>
    <row r="23" spans="1:19" x14ac:dyDescent="0.2">
      <c r="A23" s="665">
        <f t="shared" si="3"/>
        <v>20</v>
      </c>
      <c r="B23" s="666" t="s">
        <v>462</v>
      </c>
      <c r="C23" s="666" t="s">
        <v>159</v>
      </c>
      <c r="D23" s="666" t="s">
        <v>354</v>
      </c>
      <c r="E23" s="666">
        <v>250</v>
      </c>
      <c r="F23" s="666">
        <v>50</v>
      </c>
      <c r="G23" s="666">
        <v>250</v>
      </c>
      <c r="H23" s="666">
        <v>50</v>
      </c>
      <c r="I23" s="669">
        <v>250</v>
      </c>
      <c r="J23" s="669">
        <v>50</v>
      </c>
      <c r="K23" s="666">
        <v>0.25</v>
      </c>
      <c r="L23" s="666">
        <v>3</v>
      </c>
      <c r="M23" s="666">
        <v>4</v>
      </c>
      <c r="N23" s="666">
        <v>1</v>
      </c>
      <c r="O23" s="666"/>
      <c r="P23" s="662" t="str">
        <f t="shared" si="4"/>
        <v>0,25-3 mg/kg/uur</v>
      </c>
      <c r="Q23" s="662">
        <f t="shared" si="0"/>
        <v>250</v>
      </c>
      <c r="R23" s="662">
        <f t="shared" si="1"/>
        <v>50</v>
      </c>
      <c r="S23" s="662">
        <f t="shared" si="2"/>
        <v>1</v>
      </c>
    </row>
    <row r="24" spans="1:19" x14ac:dyDescent="0.2">
      <c r="A24" s="665">
        <f t="shared" si="3"/>
        <v>21</v>
      </c>
      <c r="B24" s="666" t="s">
        <v>463</v>
      </c>
      <c r="C24" s="666" t="s">
        <v>159</v>
      </c>
      <c r="D24" s="666" t="s">
        <v>354</v>
      </c>
      <c r="E24" s="666">
        <v>500</v>
      </c>
      <c r="F24" s="666">
        <v>50</v>
      </c>
      <c r="G24" s="666">
        <v>1000</v>
      </c>
      <c r="H24" s="666">
        <v>50</v>
      </c>
      <c r="I24" s="669">
        <v>2000</v>
      </c>
      <c r="J24" s="669">
        <v>50</v>
      </c>
      <c r="K24" s="666">
        <v>3</v>
      </c>
      <c r="L24" s="666">
        <v>20</v>
      </c>
      <c r="M24" s="666">
        <v>25</v>
      </c>
      <c r="N24" s="666">
        <v>1</v>
      </c>
      <c r="O24" s="666"/>
      <c r="P24" s="662" t="str">
        <f t="shared" si="4"/>
        <v>3-20 mg/kg/uur</v>
      </c>
      <c r="Q24" s="662">
        <f t="shared" si="0"/>
        <v>500</v>
      </c>
      <c r="R24" s="662">
        <f t="shared" si="1"/>
        <v>50</v>
      </c>
      <c r="S24" s="662">
        <f t="shared" si="2"/>
        <v>1</v>
      </c>
    </row>
    <row r="25" spans="1:19" x14ac:dyDescent="0.2">
      <c r="A25" s="665">
        <f t="shared" si="3"/>
        <v>22</v>
      </c>
      <c r="B25" s="666" t="s">
        <v>349</v>
      </c>
      <c r="C25" s="666" t="s">
        <v>159</v>
      </c>
      <c r="D25" s="666" t="s">
        <v>354</v>
      </c>
      <c r="E25" s="666">
        <v>25</v>
      </c>
      <c r="F25" s="666">
        <v>50</v>
      </c>
      <c r="G25" s="666">
        <v>50</v>
      </c>
      <c r="H25" s="666">
        <v>50</v>
      </c>
      <c r="I25" s="669">
        <v>50</v>
      </c>
      <c r="J25" s="669">
        <v>50</v>
      </c>
      <c r="K25" s="666">
        <v>0.05</v>
      </c>
      <c r="L25" s="666">
        <v>0.5</v>
      </c>
      <c r="M25" s="666">
        <v>1</v>
      </c>
      <c r="N25" s="666">
        <v>1</v>
      </c>
      <c r="O25" s="666"/>
      <c r="P25" s="662" t="str">
        <f t="shared" si="4"/>
        <v>0,05-0,5 mg/kg/uur</v>
      </c>
      <c r="Q25" s="662">
        <f t="shared" si="0"/>
        <v>25</v>
      </c>
      <c r="R25" s="662">
        <f t="shared" si="1"/>
        <v>50</v>
      </c>
      <c r="S25" s="662">
        <f t="shared" si="2"/>
        <v>1</v>
      </c>
    </row>
    <row r="26" spans="1:19" x14ac:dyDescent="0.2">
      <c r="A26" s="665">
        <f t="shared" si="3"/>
        <v>23</v>
      </c>
      <c r="B26" s="666" t="s">
        <v>464</v>
      </c>
      <c r="C26" s="666" t="s">
        <v>159</v>
      </c>
      <c r="D26" s="666" t="s">
        <v>571</v>
      </c>
      <c r="E26" s="666">
        <v>5</v>
      </c>
      <c r="F26" s="666">
        <v>50</v>
      </c>
      <c r="G26" s="666">
        <v>10</v>
      </c>
      <c r="H26" s="666">
        <v>50</v>
      </c>
      <c r="I26" s="669">
        <v>20</v>
      </c>
      <c r="J26" s="669">
        <v>50</v>
      </c>
      <c r="K26" s="666">
        <v>0.15</v>
      </c>
      <c r="L26" s="666">
        <v>0.5</v>
      </c>
      <c r="M26" s="666">
        <v>0.75</v>
      </c>
      <c r="N26" s="666">
        <v>1</v>
      </c>
      <c r="O26" s="666"/>
      <c r="P26" s="662" t="str">
        <f t="shared" si="4"/>
        <v>0,15-0,5 microg/kg/min</v>
      </c>
      <c r="Q26" s="662">
        <f t="shared" si="0"/>
        <v>5</v>
      </c>
      <c r="R26" s="662">
        <f t="shared" si="1"/>
        <v>50</v>
      </c>
      <c r="S26" s="662">
        <f t="shared" si="2"/>
        <v>16.666666666666668</v>
      </c>
    </row>
    <row r="27" spans="1:19" x14ac:dyDescent="0.2">
      <c r="A27" s="665">
        <f t="shared" si="3"/>
        <v>24</v>
      </c>
      <c r="B27" s="666" t="s">
        <v>116</v>
      </c>
      <c r="C27" s="666" t="s">
        <v>159</v>
      </c>
      <c r="D27" s="666" t="s">
        <v>355</v>
      </c>
      <c r="E27" s="666">
        <v>2</v>
      </c>
      <c r="F27" s="666">
        <v>50</v>
      </c>
      <c r="G27" s="666">
        <v>5</v>
      </c>
      <c r="H27" s="666">
        <v>50</v>
      </c>
      <c r="I27" s="669">
        <v>10</v>
      </c>
      <c r="J27" s="669">
        <v>50</v>
      </c>
      <c r="K27" s="666">
        <v>0.1</v>
      </c>
      <c r="L27" s="666">
        <v>0.5</v>
      </c>
      <c r="M27" s="666">
        <v>1</v>
      </c>
      <c r="N27" s="666">
        <v>1</v>
      </c>
      <c r="O27" s="666"/>
      <c r="P27" s="662" t="str">
        <f t="shared" si="4"/>
        <v>0,1-0,5 mg/kg/dag</v>
      </c>
      <c r="Q27" s="662">
        <f t="shared" si="0"/>
        <v>2</v>
      </c>
      <c r="R27" s="662">
        <f t="shared" si="1"/>
        <v>50</v>
      </c>
      <c r="S27" s="662">
        <f t="shared" si="2"/>
        <v>24</v>
      </c>
    </row>
    <row r="28" spans="1:19" x14ac:dyDescent="0.2">
      <c r="A28" s="665">
        <f t="shared" si="3"/>
        <v>25</v>
      </c>
      <c r="B28" s="666" t="s">
        <v>328</v>
      </c>
      <c r="C28" s="666" t="s">
        <v>472</v>
      </c>
      <c r="D28" s="666" t="s">
        <v>383</v>
      </c>
      <c r="E28" s="666">
        <v>25</v>
      </c>
      <c r="F28" s="666">
        <v>50</v>
      </c>
      <c r="G28" s="666">
        <v>25</v>
      </c>
      <c r="H28" s="666">
        <v>50</v>
      </c>
      <c r="I28" s="669">
        <v>25</v>
      </c>
      <c r="J28" s="669">
        <v>50</v>
      </c>
      <c r="K28" s="666">
        <v>2</v>
      </c>
      <c r="L28" s="666">
        <v>4</v>
      </c>
      <c r="M28" s="666">
        <v>6</v>
      </c>
      <c r="N28" s="666">
        <v>1</v>
      </c>
      <c r="O28" s="666"/>
      <c r="P28" s="662" t="str">
        <f t="shared" si="4"/>
        <v>2-4 mmol/kg/dag</v>
      </c>
      <c r="Q28" s="662">
        <f t="shared" si="0"/>
        <v>25</v>
      </c>
      <c r="R28" s="662">
        <f t="shared" si="1"/>
        <v>50</v>
      </c>
      <c r="S28" s="662">
        <f t="shared" si="2"/>
        <v>24</v>
      </c>
    </row>
    <row r="29" spans="1:19" x14ac:dyDescent="0.2">
      <c r="A29" s="665">
        <f t="shared" si="3"/>
        <v>26</v>
      </c>
      <c r="B29" s="666" t="s">
        <v>57</v>
      </c>
      <c r="C29" s="666" t="s">
        <v>159</v>
      </c>
      <c r="D29" s="666" t="s">
        <v>571</v>
      </c>
      <c r="E29" s="666">
        <v>10</v>
      </c>
      <c r="F29" s="666">
        <v>50</v>
      </c>
      <c r="G29" s="666">
        <v>20</v>
      </c>
      <c r="H29" s="666">
        <v>50</v>
      </c>
      <c r="I29" s="669">
        <v>40</v>
      </c>
      <c r="J29" s="669">
        <v>50</v>
      </c>
      <c r="K29" s="666">
        <v>0.5</v>
      </c>
      <c r="L29" s="666">
        <v>8</v>
      </c>
      <c r="M29" s="666">
        <v>10</v>
      </c>
      <c r="N29" s="666">
        <v>1</v>
      </c>
      <c r="O29" s="666"/>
      <c r="P29" s="662" t="str">
        <f t="shared" si="4"/>
        <v>0,5-8 microg/kg/min</v>
      </c>
      <c r="Q29" s="662">
        <f t="shared" si="0"/>
        <v>10</v>
      </c>
      <c r="R29" s="662">
        <f t="shared" si="1"/>
        <v>50</v>
      </c>
      <c r="S29" s="662">
        <f t="shared" si="2"/>
        <v>16.666666666666668</v>
      </c>
    </row>
    <row r="30" spans="1:19" x14ac:dyDescent="0.2">
      <c r="A30" s="665">
        <f t="shared" si="3"/>
        <v>27</v>
      </c>
      <c r="B30" s="666" t="s">
        <v>381</v>
      </c>
      <c r="C30" s="666" t="s">
        <v>159</v>
      </c>
      <c r="D30" s="666" t="s">
        <v>571</v>
      </c>
      <c r="E30" s="666">
        <v>1</v>
      </c>
      <c r="F30" s="666">
        <v>50</v>
      </c>
      <c r="G30" s="666">
        <v>2</v>
      </c>
      <c r="H30" s="666">
        <v>50</v>
      </c>
      <c r="I30" s="669">
        <v>5</v>
      </c>
      <c r="J30" s="669">
        <v>50</v>
      </c>
      <c r="K30" s="666">
        <v>0.05</v>
      </c>
      <c r="L30" s="666">
        <v>0.5</v>
      </c>
      <c r="M30" s="666">
        <v>1</v>
      </c>
      <c r="N30" s="666">
        <v>1</v>
      </c>
      <c r="O30" s="666"/>
      <c r="P30" s="662" t="str">
        <f t="shared" si="4"/>
        <v>0,05-0,5 microg/kg/min</v>
      </c>
      <c r="Q30" s="662">
        <f t="shared" si="0"/>
        <v>1</v>
      </c>
      <c r="R30" s="662">
        <f t="shared" si="1"/>
        <v>50</v>
      </c>
      <c r="S30" s="662">
        <f t="shared" si="2"/>
        <v>16.666666666666668</v>
      </c>
    </row>
    <row r="31" spans="1:19" x14ac:dyDescent="0.2">
      <c r="A31" s="665">
        <f t="shared" si="3"/>
        <v>28</v>
      </c>
      <c r="B31" s="666" t="s">
        <v>319</v>
      </c>
      <c r="C31" s="666" t="s">
        <v>159</v>
      </c>
      <c r="D31" s="666" t="s">
        <v>354</v>
      </c>
      <c r="E31" s="666">
        <v>10</v>
      </c>
      <c r="F31" s="666">
        <v>1</v>
      </c>
      <c r="G31" s="666">
        <v>10</v>
      </c>
      <c r="H31" s="666">
        <v>1</v>
      </c>
      <c r="I31" s="669">
        <v>10</v>
      </c>
      <c r="J31" s="669">
        <v>1</v>
      </c>
      <c r="K31" s="666">
        <v>1</v>
      </c>
      <c r="L31" s="666">
        <v>4</v>
      </c>
      <c r="M31" s="666">
        <v>4</v>
      </c>
      <c r="N31" s="666">
        <v>1</v>
      </c>
      <c r="O31" s="666"/>
      <c r="P31" s="662" t="str">
        <f t="shared" si="4"/>
        <v>1-4 mg/kg/uur</v>
      </c>
      <c r="Q31" s="662">
        <f t="shared" si="0"/>
        <v>10</v>
      </c>
      <c r="R31" s="662">
        <f t="shared" si="1"/>
        <v>1</v>
      </c>
      <c r="S31" s="662">
        <f t="shared" si="2"/>
        <v>1</v>
      </c>
    </row>
    <row r="32" spans="1:19" x14ac:dyDescent="0.2">
      <c r="A32" s="665">
        <f t="shared" si="3"/>
        <v>29</v>
      </c>
      <c r="B32" s="666" t="s">
        <v>320</v>
      </c>
      <c r="C32" s="666" t="s">
        <v>159</v>
      </c>
      <c r="D32" s="666" t="s">
        <v>354</v>
      </c>
      <c r="E32" s="666">
        <v>20</v>
      </c>
      <c r="F32" s="666">
        <v>1</v>
      </c>
      <c r="G32" s="666">
        <v>20</v>
      </c>
      <c r="H32" s="666">
        <v>1</v>
      </c>
      <c r="I32" s="669">
        <v>20</v>
      </c>
      <c r="J32" s="669">
        <v>1</v>
      </c>
      <c r="K32" s="666">
        <v>1</v>
      </c>
      <c r="L32" s="666">
        <v>4</v>
      </c>
      <c r="M32" s="666">
        <v>4</v>
      </c>
      <c r="N32" s="666">
        <v>1</v>
      </c>
      <c r="O32" s="666"/>
      <c r="P32" s="662" t="str">
        <f t="shared" si="4"/>
        <v>1-4 mg/kg/uur</v>
      </c>
      <c r="Q32" s="662">
        <f t="shared" si="0"/>
        <v>20</v>
      </c>
      <c r="R32" s="662">
        <f t="shared" si="1"/>
        <v>1</v>
      </c>
      <c r="S32" s="662">
        <f t="shared" si="2"/>
        <v>1</v>
      </c>
    </row>
    <row r="33" spans="1:19" x14ac:dyDescent="0.2">
      <c r="A33" s="665">
        <f t="shared" si="3"/>
        <v>30</v>
      </c>
      <c r="B33" s="666" t="s">
        <v>266</v>
      </c>
      <c r="C33" s="666" t="s">
        <v>159</v>
      </c>
      <c r="D33" s="666" t="s">
        <v>354</v>
      </c>
      <c r="E33" s="666">
        <v>50</v>
      </c>
      <c r="F33" s="666">
        <v>50</v>
      </c>
      <c r="G33" s="666">
        <v>100</v>
      </c>
      <c r="H33" s="666">
        <v>50</v>
      </c>
      <c r="I33" s="669">
        <v>200</v>
      </c>
      <c r="J33" s="669">
        <v>50</v>
      </c>
      <c r="K33" s="666">
        <v>0.6</v>
      </c>
      <c r="L33" s="666">
        <v>1.2</v>
      </c>
      <c r="M33" s="666">
        <v>2</v>
      </c>
      <c r="N33" s="666">
        <v>1</v>
      </c>
      <c r="O33" s="666"/>
      <c r="P33" s="662" t="str">
        <f t="shared" si="4"/>
        <v>0,6-1,2 mg/kg/uur</v>
      </c>
      <c r="Q33" s="662">
        <f t="shared" si="0"/>
        <v>50</v>
      </c>
      <c r="R33" s="662">
        <f t="shared" si="1"/>
        <v>50</v>
      </c>
      <c r="S33" s="662">
        <f t="shared" si="2"/>
        <v>1</v>
      </c>
    </row>
    <row r="34" spans="1:19" x14ac:dyDescent="0.2">
      <c r="A34" s="665">
        <f t="shared" si="3"/>
        <v>31</v>
      </c>
      <c r="B34" s="666" t="s">
        <v>27</v>
      </c>
      <c r="C34" s="666" t="s">
        <v>159</v>
      </c>
      <c r="D34" s="666" t="s">
        <v>571</v>
      </c>
      <c r="E34" s="666">
        <v>5</v>
      </c>
      <c r="F34" s="666">
        <v>50</v>
      </c>
      <c r="G34" s="666">
        <v>10</v>
      </c>
      <c r="H34" s="666">
        <v>50</v>
      </c>
      <c r="I34" s="669">
        <v>20</v>
      </c>
      <c r="J34" s="669">
        <v>50</v>
      </c>
      <c r="K34" s="666">
        <v>0.1</v>
      </c>
      <c r="L34" s="666">
        <v>10</v>
      </c>
      <c r="M34" s="666">
        <v>15</v>
      </c>
      <c r="N34" s="666">
        <v>1</v>
      </c>
      <c r="O34" s="666"/>
      <c r="P34" s="662" t="str">
        <f t="shared" si="4"/>
        <v>0,1-10 microg/kg/min</v>
      </c>
      <c r="Q34" s="662">
        <f t="shared" si="0"/>
        <v>5</v>
      </c>
      <c r="R34" s="662">
        <f t="shared" si="1"/>
        <v>50</v>
      </c>
      <c r="S34" s="662">
        <f t="shared" si="2"/>
        <v>16.666666666666668</v>
      </c>
    </row>
    <row r="35" spans="1:19" x14ac:dyDescent="0.2">
      <c r="A35" s="665">
        <f t="shared" si="3"/>
        <v>32</v>
      </c>
      <c r="B35" s="666" t="s">
        <v>347</v>
      </c>
      <c r="C35" s="666" t="s">
        <v>159</v>
      </c>
      <c r="D35" s="666" t="s">
        <v>354</v>
      </c>
      <c r="E35" s="666">
        <v>1000</v>
      </c>
      <c r="F35" s="666">
        <v>50</v>
      </c>
      <c r="G35" s="666">
        <v>2000</v>
      </c>
      <c r="H35" s="666">
        <v>50</v>
      </c>
      <c r="I35" s="669">
        <v>4000</v>
      </c>
      <c r="J35" s="669">
        <v>50</v>
      </c>
      <c r="K35" s="666">
        <v>5</v>
      </c>
      <c r="L35" s="666">
        <v>10</v>
      </c>
      <c r="M35" s="666">
        <v>20</v>
      </c>
      <c r="N35" s="666">
        <v>1</v>
      </c>
      <c r="O35" s="666" t="s">
        <v>434</v>
      </c>
      <c r="P35" s="662" t="str">
        <f t="shared" si="4"/>
        <v>Op geleide van spiegels</v>
      </c>
      <c r="Q35" s="662">
        <f t="shared" si="0"/>
        <v>1000</v>
      </c>
      <c r="R35" s="662">
        <f t="shared" si="1"/>
        <v>50</v>
      </c>
      <c r="S35" s="662">
        <f t="shared" si="2"/>
        <v>1</v>
      </c>
    </row>
    <row r="36" spans="1:19" x14ac:dyDescent="0.2">
      <c r="A36" s="667" t="s">
        <v>4632</v>
      </c>
      <c r="B36" s="668">
        <v>1</v>
      </c>
      <c r="C36" s="668">
        <f>B36+1</f>
        <v>2</v>
      </c>
      <c r="D36" s="668">
        <f t="shared" ref="D36:S36" si="5">C36+1</f>
        <v>3</v>
      </c>
      <c r="E36" s="668">
        <f t="shared" si="5"/>
        <v>4</v>
      </c>
      <c r="F36" s="668">
        <f t="shared" si="5"/>
        <v>5</v>
      </c>
      <c r="G36" s="668">
        <f t="shared" si="5"/>
        <v>6</v>
      </c>
      <c r="H36" s="668">
        <f t="shared" si="5"/>
        <v>7</v>
      </c>
      <c r="I36" s="668">
        <f t="shared" si="5"/>
        <v>8</v>
      </c>
      <c r="J36" s="668">
        <f t="shared" si="5"/>
        <v>9</v>
      </c>
      <c r="K36" s="668">
        <f t="shared" si="5"/>
        <v>10</v>
      </c>
      <c r="L36" s="668">
        <f t="shared" si="5"/>
        <v>11</v>
      </c>
      <c r="M36" s="668">
        <f t="shared" si="5"/>
        <v>12</v>
      </c>
      <c r="N36" s="668">
        <f t="shared" si="5"/>
        <v>13</v>
      </c>
      <c r="O36" s="668">
        <f t="shared" si="5"/>
        <v>14</v>
      </c>
      <c r="P36" s="668">
        <f t="shared" si="5"/>
        <v>15</v>
      </c>
      <c r="Q36" s="668">
        <f t="shared" si="5"/>
        <v>16</v>
      </c>
      <c r="R36" s="668">
        <f t="shared" si="5"/>
        <v>17</v>
      </c>
      <c r="S36" s="668">
        <f t="shared" si="5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75" x14ac:dyDescent="0.2"/>
  <cols>
    <col min="1" max="5" width="21.140625" customWidth="1"/>
  </cols>
  <sheetData>
    <row r="1" spans="1:5" s="1" customFormat="1" x14ac:dyDescent="0.2">
      <c r="A1" s="1" t="s">
        <v>941</v>
      </c>
      <c r="B1" s="1" t="s">
        <v>942</v>
      </c>
      <c r="C1" s="388" t="s">
        <v>943</v>
      </c>
      <c r="D1" s="388" t="s">
        <v>944</v>
      </c>
      <c r="E1" s="1" t="s">
        <v>945</v>
      </c>
    </row>
    <row r="2" spans="1:5" x14ac:dyDescent="0.2">
      <c r="A2" s="310"/>
      <c r="B2" s="310"/>
      <c r="C2" s="310"/>
      <c r="D2" s="310"/>
      <c r="E2" s="310"/>
    </row>
    <row r="3" spans="1:5" x14ac:dyDescent="0.2">
      <c r="A3" s="310" t="s">
        <v>90</v>
      </c>
      <c r="B3" s="310" t="s">
        <v>954</v>
      </c>
      <c r="C3" s="310">
        <v>0</v>
      </c>
      <c r="D3" s="310" t="s">
        <v>436</v>
      </c>
      <c r="E3" s="310" t="s">
        <v>161</v>
      </c>
    </row>
    <row r="4" spans="1:5" x14ac:dyDescent="0.2">
      <c r="A4" s="310" t="s">
        <v>89</v>
      </c>
      <c r="B4" s="310" t="s">
        <v>274</v>
      </c>
      <c r="C4" s="310">
        <v>1</v>
      </c>
      <c r="D4" s="310" t="s">
        <v>367</v>
      </c>
      <c r="E4" s="310" t="s">
        <v>159</v>
      </c>
    </row>
    <row r="5" spans="1:5" x14ac:dyDescent="0.2">
      <c r="A5" s="310" t="s">
        <v>38</v>
      </c>
      <c r="B5" s="310" t="s">
        <v>275</v>
      </c>
      <c r="C5" s="310">
        <v>0</v>
      </c>
      <c r="D5" s="311" t="s">
        <v>934</v>
      </c>
      <c r="E5" s="310" t="s">
        <v>31</v>
      </c>
    </row>
    <row r="6" spans="1:5" x14ac:dyDescent="0.2">
      <c r="A6" s="310" t="s">
        <v>300</v>
      </c>
      <c r="B6" s="310"/>
      <c r="C6" s="310">
        <v>1</v>
      </c>
      <c r="D6" s="310" t="s">
        <v>387</v>
      </c>
      <c r="E6" s="310" t="s">
        <v>66</v>
      </c>
    </row>
    <row r="7" spans="1:5" x14ac:dyDescent="0.2">
      <c r="A7" s="310" t="s">
        <v>39</v>
      </c>
      <c r="B7" s="310"/>
      <c r="C7" s="310">
        <v>2</v>
      </c>
      <c r="D7" s="310" t="s">
        <v>388</v>
      </c>
      <c r="E7" s="310" t="s">
        <v>160</v>
      </c>
    </row>
    <row r="8" spans="1:5" x14ac:dyDescent="0.2">
      <c r="A8" s="310" t="s">
        <v>200</v>
      </c>
      <c r="B8" s="310"/>
      <c r="C8" s="310">
        <v>3</v>
      </c>
      <c r="D8" s="310" t="s">
        <v>389</v>
      </c>
      <c r="E8" s="310"/>
    </row>
    <row r="9" spans="1:5" x14ac:dyDescent="0.2">
      <c r="A9" s="310" t="s">
        <v>358</v>
      </c>
      <c r="B9" s="310"/>
      <c r="C9" s="310">
        <v>4</v>
      </c>
      <c r="D9" s="310" t="s">
        <v>390</v>
      </c>
      <c r="E9" s="310"/>
    </row>
    <row r="10" spans="1:5" x14ac:dyDescent="0.2">
      <c r="A10" s="310" t="s">
        <v>359</v>
      </c>
      <c r="B10" s="310"/>
      <c r="C10" s="310">
        <v>5</v>
      </c>
      <c r="D10" s="310" t="s">
        <v>435</v>
      </c>
      <c r="E10" s="310"/>
    </row>
    <row r="11" spans="1:5" x14ac:dyDescent="0.2">
      <c r="A11" s="310" t="s">
        <v>360</v>
      </c>
      <c r="B11" s="310"/>
      <c r="C11" s="310">
        <v>6</v>
      </c>
      <c r="D11" s="310" t="s">
        <v>176</v>
      </c>
      <c r="E11" s="310"/>
    </row>
    <row r="12" spans="1:5" x14ac:dyDescent="0.2">
      <c r="A12" s="310" t="s">
        <v>50</v>
      </c>
      <c r="B12" s="310"/>
      <c r="C12" s="310">
        <v>8</v>
      </c>
      <c r="D12" s="310" t="s">
        <v>177</v>
      </c>
      <c r="E12" s="310"/>
    </row>
    <row r="13" spans="1:5" x14ac:dyDescent="0.2">
      <c r="A13" s="310" t="s">
        <v>148</v>
      </c>
      <c r="B13" s="310"/>
      <c r="C13" s="310">
        <v>12</v>
      </c>
      <c r="D13" s="310" t="s">
        <v>178</v>
      </c>
      <c r="E13" s="310"/>
    </row>
    <row r="14" spans="1:5" x14ac:dyDescent="0.2">
      <c r="A14" s="310"/>
      <c r="B14" s="310"/>
      <c r="C14" s="310">
        <v>24</v>
      </c>
      <c r="D14" s="310" t="s">
        <v>26</v>
      </c>
      <c r="E14" s="310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541" customWidth="1"/>
    <col min="2" max="2" width="6" style="541" customWidth="1"/>
    <col min="3" max="3" width="3" style="541" customWidth="1"/>
    <col min="4" max="4" width="16.5703125" style="541" customWidth="1"/>
    <col min="5" max="5" width="17.28515625" style="541" customWidth="1"/>
    <col min="6" max="6" width="17.5703125" style="541" customWidth="1"/>
    <col min="7" max="7" width="18.5703125" style="541" customWidth="1"/>
    <col min="8" max="8" width="18.28515625" style="541" customWidth="1"/>
    <col min="9" max="9" width="9.7109375" style="541" customWidth="1"/>
    <col min="10" max="10" width="9.140625" style="541"/>
    <col min="11" max="11" width="9.42578125" style="541" bestFit="1" customWidth="1"/>
    <col min="12" max="12" width="9.28515625" style="541" bestFit="1" customWidth="1"/>
    <col min="13" max="16384" width="9.140625" style="541"/>
  </cols>
  <sheetData>
    <row r="1" spans="2:14" s="530" customFormat="1" ht="17.25" customHeight="1" x14ac:dyDescent="0.2">
      <c r="B1" s="487"/>
      <c r="C1" s="619"/>
      <c r="D1" s="487"/>
      <c r="E1" s="487"/>
      <c r="F1" s="487"/>
      <c r="G1" s="487"/>
      <c r="H1" s="487"/>
      <c r="I1" s="487"/>
      <c r="J1" s="487"/>
      <c r="K1" s="487"/>
    </row>
    <row r="2" spans="2:14" s="530" customFormat="1" ht="17.25" customHeight="1" x14ac:dyDescent="0.2">
      <c r="B2" s="487"/>
      <c r="C2" s="487"/>
      <c r="D2" s="497" t="s">
        <v>297</v>
      </c>
      <c r="E2" s="498">
        <f ca="1">Var_AfspraakDatum</f>
        <v>42755</v>
      </c>
      <c r="F2" s="497" t="s">
        <v>298</v>
      </c>
      <c r="G2" s="620" t="str">
        <f>PatDetails!B15</f>
        <v/>
      </c>
      <c r="H2" s="500" t="str">
        <f>PatDetails!B23</f>
        <v>Gewicht: 1 kg</v>
      </c>
      <c r="I2" s="500"/>
      <c r="J2" s="623" t="s">
        <v>490</v>
      </c>
      <c r="K2" s="621">
        <f>__1_Bed</f>
        <v>0</v>
      </c>
    </row>
    <row r="3" spans="2:14" s="530" customFormat="1" ht="17.25" customHeight="1" x14ac:dyDescent="0.2">
      <c r="B3" s="487"/>
      <c r="C3" s="487"/>
      <c r="D3" s="497" t="s">
        <v>28</v>
      </c>
      <c r="E3" s="501" t="str">
        <f>PatDetails!B21</f>
        <v/>
      </c>
      <c r="F3" s="497" t="s">
        <v>305</v>
      </c>
      <c r="G3" s="622" t="str">
        <f ca="1">PatDetails!B16</f>
        <v/>
      </c>
      <c r="H3" s="500" t="str">
        <f>PatDetails!B24</f>
        <v>Lengte:</v>
      </c>
      <c r="I3" s="500"/>
      <c r="J3" s="497"/>
      <c r="K3" s="497"/>
      <c r="L3" s="538"/>
    </row>
    <row r="4" spans="2:14" s="530" customFormat="1" ht="17.25" customHeight="1" x14ac:dyDescent="0.2">
      <c r="B4" s="487"/>
      <c r="C4" s="525"/>
      <c r="D4" s="502" t="s">
        <v>3984</v>
      </c>
      <c r="E4" s="497" t="str">
        <f>PatDetails!B17</f>
        <v/>
      </c>
      <c r="F4" s="497" t="s">
        <v>268</v>
      </c>
      <c r="G4" s="525" t="str">
        <f ca="1">PatDetails!B20</f>
        <v/>
      </c>
      <c r="H4" s="500" t="str">
        <f>PatDetails!B25</f>
        <v>Lichamelijk oppervlak:</v>
      </c>
      <c r="I4" s="500"/>
      <c r="J4" s="497"/>
      <c r="K4" s="497"/>
      <c r="L4" s="538"/>
    </row>
    <row r="5" spans="2:14" s="530" customFormat="1" ht="8.1" customHeight="1" x14ac:dyDescent="0.2">
      <c r="B5" s="487"/>
      <c r="C5" s="525"/>
      <c r="D5" s="497"/>
      <c r="E5" s="497"/>
      <c r="F5" s="499"/>
      <c r="G5" s="497"/>
      <c r="H5" s="504"/>
      <c r="I5" s="497"/>
      <c r="J5" s="497"/>
      <c r="K5" s="497"/>
      <c r="L5" s="538"/>
    </row>
    <row r="6" spans="2:14" ht="12.75" customHeight="1" x14ac:dyDescent="0.2"/>
    <row r="7" spans="2:14" ht="20.100000000000001" customHeight="1" x14ac:dyDescent="0.2">
      <c r="B7" s="804" t="s">
        <v>3785</v>
      </c>
      <c r="C7" s="810"/>
      <c r="D7" s="811" t="s">
        <v>25</v>
      </c>
      <c r="E7" s="804"/>
      <c r="F7" s="804"/>
      <c r="G7" s="804"/>
      <c r="H7" s="804"/>
      <c r="I7" s="804"/>
      <c r="J7" s="804"/>
      <c r="K7" s="804"/>
      <c r="L7" s="530"/>
      <c r="M7" s="542"/>
      <c r="N7" s="542"/>
    </row>
    <row r="8" spans="2:14" ht="9" customHeight="1" x14ac:dyDescent="0.2">
      <c r="B8" s="543"/>
      <c r="J8" s="530"/>
      <c r="K8" s="544"/>
      <c r="L8" s="544"/>
      <c r="M8" s="542"/>
      <c r="N8" s="542"/>
    </row>
    <row r="9" spans="2:14" ht="20.100000000000001" customHeight="1" x14ac:dyDescent="0.2">
      <c r="B9" s="545" t="str">
        <f>PedBerIVenPM!D2</f>
        <v/>
      </c>
      <c r="C9" s="486">
        <v>1</v>
      </c>
      <c r="E9" s="546"/>
      <c r="G9" s="547"/>
      <c r="H9" s="548" t="str">
        <f>PedBerIVenPM!C2</f>
        <v/>
      </c>
      <c r="J9" s="530"/>
      <c r="K9" s="549"/>
      <c r="L9" s="550"/>
      <c r="M9" s="542"/>
      <c r="N9" s="542"/>
    </row>
    <row r="10" spans="2:14" ht="20.100000000000001" customHeight="1" x14ac:dyDescent="0.2">
      <c r="B10" s="545" t="str">
        <f>PedBerIVenPM!D3</f>
        <v/>
      </c>
      <c r="C10" s="486">
        <v>2</v>
      </c>
      <c r="G10" s="547"/>
      <c r="H10" s="548" t="str">
        <f>PedBerIVenPM!C3</f>
        <v/>
      </c>
      <c r="J10" s="530"/>
      <c r="K10" s="550"/>
      <c r="L10" s="550"/>
      <c r="M10" s="542"/>
      <c r="N10" s="542"/>
    </row>
    <row r="11" spans="2:14" ht="20.100000000000001" customHeight="1" x14ac:dyDescent="0.2">
      <c r="B11" s="545" t="str">
        <f>PedBerIVenPM!D4</f>
        <v/>
      </c>
      <c r="C11" s="486">
        <v>3</v>
      </c>
      <c r="G11" s="547"/>
      <c r="H11" s="548" t="str">
        <f>PedBerIVenPM!C4</f>
        <v/>
      </c>
      <c r="J11" s="530"/>
      <c r="M11" s="542"/>
      <c r="N11" s="542"/>
    </row>
    <row r="12" spans="2:14" ht="20.100000000000001" customHeight="1" x14ac:dyDescent="0.2">
      <c r="B12" s="545" t="str">
        <f>PedBerIVenPM!D5</f>
        <v/>
      </c>
      <c r="C12" s="486">
        <v>4</v>
      </c>
      <c r="G12" s="547"/>
      <c r="H12" s="548" t="str">
        <f>PedBerIVenPM!C5</f>
        <v/>
      </c>
      <c r="J12" s="530"/>
      <c r="M12" s="542"/>
      <c r="N12" s="542"/>
    </row>
    <row r="13" spans="2:14" ht="20.100000000000001" customHeight="1" x14ac:dyDescent="0.2">
      <c r="B13" s="545" t="str">
        <f>PedBerIVenPM!D6</f>
        <v/>
      </c>
      <c r="C13" s="486">
        <v>5</v>
      </c>
      <c r="G13" s="547"/>
      <c r="H13" s="548" t="str">
        <f>PedBerIVenPM!C6</f>
        <v/>
      </c>
      <c r="J13" s="530"/>
      <c r="M13" s="542"/>
      <c r="N13" s="542"/>
    </row>
    <row r="14" spans="2:14" ht="20.100000000000001" customHeight="1" x14ac:dyDescent="0.2">
      <c r="B14" s="545" t="str">
        <f>PedBerIVenPM!D7</f>
        <v/>
      </c>
      <c r="C14" s="486">
        <v>6</v>
      </c>
      <c r="D14" s="530"/>
      <c r="E14" s="530"/>
      <c r="F14" s="530"/>
      <c r="G14" s="530"/>
      <c r="H14" s="530" t="str">
        <f>PedBerIVenPM!C7</f>
        <v/>
      </c>
      <c r="J14" s="530"/>
      <c r="M14" s="542"/>
      <c r="N14" s="542"/>
    </row>
    <row r="15" spans="2:14" ht="17.25" customHeight="1" thickBot="1" x14ac:dyDescent="0.25">
      <c r="B15" s="543"/>
      <c r="J15" s="530"/>
      <c r="M15" s="542"/>
      <c r="N15" s="542"/>
    </row>
    <row r="16" spans="2:14" ht="20.100000000000001" customHeight="1" thickTop="1" thickBot="1" x14ac:dyDescent="0.25">
      <c r="B16" s="545" t="str">
        <f>PedBerIVenPM!D9</f>
        <v/>
      </c>
      <c r="C16" s="486"/>
      <c r="D16" s="495" t="s">
        <v>285</v>
      </c>
      <c r="E16" s="831">
        <f>_Ped_IVLijn_Opm</f>
        <v>0</v>
      </c>
      <c r="F16" s="832"/>
      <c r="G16" s="832"/>
      <c r="H16" s="832"/>
      <c r="I16" s="551"/>
      <c r="J16" s="552"/>
      <c r="M16" s="542"/>
      <c r="N16" s="542"/>
    </row>
    <row r="17" spans="2:14" ht="17.25" customHeight="1" thickTop="1" x14ac:dyDescent="0.2">
      <c r="B17" s="543"/>
      <c r="D17" s="547"/>
      <c r="E17" s="547"/>
      <c r="F17" s="547"/>
      <c r="G17" s="547"/>
      <c r="H17" s="547"/>
      <c r="I17" s="547"/>
      <c r="J17" s="544"/>
      <c r="M17" s="542"/>
      <c r="N17" s="542"/>
    </row>
    <row r="18" spans="2:14" ht="20.100000000000001" customHeight="1" x14ac:dyDescent="0.2">
      <c r="B18" s="543"/>
      <c r="D18" s="524"/>
      <c r="E18" s="550"/>
      <c r="F18" s="550"/>
      <c r="G18" s="550"/>
      <c r="H18" s="550"/>
      <c r="I18" s="550"/>
      <c r="J18" s="549"/>
    </row>
    <row r="19" spans="2:14" ht="20.100000000000001" customHeight="1" x14ac:dyDescent="0.2">
      <c r="B19" s="811" t="str">
        <f>PedBerIVenPM!M2</f>
        <v/>
      </c>
      <c r="C19" s="804"/>
      <c r="D19" s="804" t="s">
        <v>20</v>
      </c>
      <c r="E19" s="812"/>
      <c r="F19" s="804"/>
      <c r="G19" s="804"/>
      <c r="H19" s="804"/>
      <c r="I19" s="804"/>
      <c r="J19" s="813"/>
      <c r="K19" s="804"/>
    </row>
    <row r="20" spans="2:14" ht="8.1" customHeight="1" x14ac:dyDescent="0.2">
      <c r="B20" s="553"/>
    </row>
    <row r="21" spans="2:14" ht="20.100000000000001" customHeight="1" x14ac:dyDescent="0.2">
      <c r="B21" s="553"/>
      <c r="D21" s="486" t="s">
        <v>259</v>
      </c>
      <c r="G21" s="486" t="s">
        <v>59</v>
      </c>
    </row>
    <row r="22" spans="2:14" ht="8.1" customHeight="1" thickBot="1" x14ac:dyDescent="0.25">
      <c r="B22" s="553"/>
    </row>
    <row r="23" spans="2:14" ht="20.100000000000001" customHeight="1" thickTop="1" thickBot="1" x14ac:dyDescent="0.25">
      <c r="B23" s="545" t="str">
        <f>PedBerIVenPM!M3</f>
        <v/>
      </c>
      <c r="D23" s="486" t="s">
        <v>288</v>
      </c>
      <c r="E23" s="604" t="str">
        <f>IF(PedBerIVenPM!H1&gt;1,PedBerIVenPM!K1&amp;" /min","")</f>
        <v>30 /min</v>
      </c>
    </row>
    <row r="24" spans="2:14" ht="8.1" customHeight="1" thickTop="1" thickBot="1" x14ac:dyDescent="0.25">
      <c r="B24" s="555"/>
      <c r="D24" s="553"/>
      <c r="E24" s="554"/>
    </row>
    <row r="25" spans="2:14" ht="20.100000000000001" customHeight="1" thickTop="1" thickBot="1" x14ac:dyDescent="0.25">
      <c r="B25" s="555"/>
      <c r="D25" s="486" t="s">
        <v>60</v>
      </c>
      <c r="E25" s="765" t="str">
        <f>IF(PedBerIVenPM!H1&gt;1,(PedBerIVenPM!K2/10)&amp;" V","")</f>
        <v>0,1 V</v>
      </c>
    </row>
    <row r="26" spans="2:14" ht="20.100000000000001" customHeight="1" thickTop="1" thickBot="1" x14ac:dyDescent="0.25">
      <c r="B26" s="555"/>
      <c r="D26" s="486" t="s">
        <v>3795</v>
      </c>
      <c r="E26" s="604" t="str">
        <f>IF(PedBerIVenPM!H1&gt;1,(PedBerIVenPM!K3/10)&amp;" V","")</f>
        <v>0,1 V</v>
      </c>
    </row>
    <row r="27" spans="2:14" ht="8.1" customHeight="1" thickTop="1" thickBot="1" x14ac:dyDescent="0.25">
      <c r="B27" s="555"/>
      <c r="D27" s="553"/>
      <c r="E27" s="749"/>
    </row>
    <row r="28" spans="2:14" ht="20.100000000000001" customHeight="1" thickTop="1" thickBot="1" x14ac:dyDescent="0.25">
      <c r="B28" s="555"/>
      <c r="D28" s="486" t="s">
        <v>61</v>
      </c>
      <c r="E28" s="604" t="str">
        <f>IF(PedBerIVenPM!H1&gt;1,PedBerIVenPM!K4&amp;" msec","")</f>
        <v>20 msec</v>
      </c>
    </row>
    <row r="29" spans="2:14" ht="8.1" customHeight="1" thickTop="1" thickBot="1" x14ac:dyDescent="0.25">
      <c r="B29" s="555"/>
      <c r="D29" s="553"/>
      <c r="E29" s="749"/>
    </row>
    <row r="30" spans="2:14" ht="20.100000000000001" customHeight="1" thickTop="1" thickBot="1" x14ac:dyDescent="0.25">
      <c r="B30" s="555"/>
      <c r="D30" s="486" t="s">
        <v>62</v>
      </c>
      <c r="E30" s="765" t="str">
        <f>IF(PedBerIVenPM!H1&gt;1,PedBerIVenPM!K5/10&amp;" mV","")</f>
        <v>0,2 mV</v>
      </c>
    </row>
    <row r="31" spans="2:14" ht="20.100000000000001" customHeight="1" thickTop="1" thickBot="1" x14ac:dyDescent="0.25">
      <c r="B31" s="555"/>
      <c r="D31" s="486" t="s">
        <v>3796</v>
      </c>
      <c r="E31" s="604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E2" sqref="E2"/>
    </sheetView>
  </sheetViews>
  <sheetFormatPr defaultRowHeight="12.75" x14ac:dyDescent="0.2"/>
  <cols>
    <col min="1" max="2" width="15.42578125" customWidth="1"/>
    <col min="3" max="6" width="15.42578125" style="310" customWidth="1"/>
  </cols>
  <sheetData>
    <row r="1" spans="1:13" x14ac:dyDescent="0.2">
      <c r="A1" s="1" t="s">
        <v>947</v>
      </c>
      <c r="B1" s="1" t="s">
        <v>948</v>
      </c>
      <c r="C1" s="1" t="s">
        <v>182</v>
      </c>
      <c r="D1" s="1" t="s">
        <v>3785</v>
      </c>
      <c r="E1" s="1" t="s">
        <v>120</v>
      </c>
      <c r="F1" s="1" t="s">
        <v>330</v>
      </c>
      <c r="H1" s="1" t="s">
        <v>258</v>
      </c>
      <c r="I1" s="1" t="s">
        <v>63</v>
      </c>
      <c r="J1" s="1" t="s">
        <v>203</v>
      </c>
      <c r="K1">
        <v>30</v>
      </c>
      <c r="L1">
        <v>70</v>
      </c>
      <c r="M1" s="1" t="s">
        <v>3785</v>
      </c>
    </row>
    <row r="2" spans="1:13" x14ac:dyDescent="0.2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>
        <f t="shared" ref="E2:E7" si="1">IF(INDEX(tblInfusenBer,B2,2)&lt;&gt;0,INDEX(tblInfusenBer,B2,3),0)</f>
        <v>0</v>
      </c>
      <c r="F2" s="6">
        <f t="shared" ref="F2:F7" si="2">IF(INDEX(tblInfusenBer,B2,2)&lt;&gt;0,INDEX(tblInfusenBer,B2,2),0)</f>
        <v>0</v>
      </c>
      <c r="H2">
        <v>1</v>
      </c>
      <c r="I2">
        <v>1</v>
      </c>
      <c r="J2" s="1" t="s">
        <v>254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 t="shared" si="0"/>
        <v/>
      </c>
      <c r="D3" s="6" t="str">
        <f t="shared" ref="D3:D7" si="3">IF(B3&gt;1,"verw","")</f>
        <v/>
      </c>
      <c r="E3" s="6">
        <f t="shared" si="1"/>
        <v>0</v>
      </c>
      <c r="F3" s="6">
        <f t="shared" si="2"/>
        <v>0</v>
      </c>
      <c r="J3" s="1" t="s">
        <v>255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 t="shared" si="0"/>
        <v/>
      </c>
      <c r="D4" s="6" t="str">
        <f t="shared" si="3"/>
        <v/>
      </c>
      <c r="E4" s="6">
        <f t="shared" si="1"/>
        <v>0</v>
      </c>
      <c r="F4" s="6">
        <f t="shared" si="2"/>
        <v>0</v>
      </c>
      <c r="J4" s="1" t="s">
        <v>256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 t="shared" si="0"/>
        <v/>
      </c>
      <c r="D5" s="6" t="str">
        <f t="shared" si="3"/>
        <v/>
      </c>
      <c r="E5" s="6">
        <f t="shared" si="1"/>
        <v>0</v>
      </c>
      <c r="F5" s="6">
        <f t="shared" si="2"/>
        <v>0</v>
      </c>
      <c r="G5" s="382"/>
      <c r="J5" s="1" t="s">
        <v>257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 t="shared" si="0"/>
        <v/>
      </c>
      <c r="D6" s="6" t="str">
        <f t="shared" si="3"/>
        <v/>
      </c>
      <c r="E6" s="6">
        <f t="shared" si="1"/>
        <v>0</v>
      </c>
      <c r="F6" s="6">
        <f t="shared" si="2"/>
        <v>0</v>
      </c>
      <c r="G6" s="382"/>
      <c r="J6" s="1" t="s">
        <v>291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 t="shared" si="0"/>
        <v/>
      </c>
      <c r="D7" s="6" t="str">
        <f t="shared" si="3"/>
        <v/>
      </c>
      <c r="E7" s="6">
        <f t="shared" si="1"/>
        <v>0</v>
      </c>
      <c r="F7" s="6">
        <f t="shared" si="2"/>
        <v>0</v>
      </c>
      <c r="G7" s="382"/>
    </row>
    <row r="8" spans="1:13" x14ac:dyDescent="0.2">
      <c r="A8" s="382"/>
      <c r="B8" s="382"/>
      <c r="C8" s="382"/>
      <c r="D8" s="382"/>
      <c r="E8" s="382"/>
      <c r="F8" s="382"/>
      <c r="G8" s="382"/>
    </row>
    <row r="9" spans="1:13" x14ac:dyDescent="0.2">
      <c r="A9" s="382" t="s">
        <v>237</v>
      </c>
      <c r="B9" s="382"/>
      <c r="C9" s="382"/>
      <c r="D9" s="382" t="str">
        <f>IF(_Ped_IVLijn_Opm="","","verw")</f>
        <v/>
      </c>
      <c r="E9" s="382">
        <f>SUM(E2:E8)</f>
        <v>0</v>
      </c>
      <c r="F9" s="382">
        <f>SUM(F2:F8)</f>
        <v>0</v>
      </c>
      <c r="G9" s="382"/>
    </row>
    <row r="10" spans="1:13" x14ac:dyDescent="0.2">
      <c r="A10" s="382"/>
      <c r="B10" s="382"/>
      <c r="C10" s="382"/>
      <c r="D10" s="382"/>
      <c r="E10" s="382"/>
      <c r="F10" s="382"/>
      <c r="G10" s="382"/>
    </row>
    <row r="11" spans="1:13" x14ac:dyDescent="0.2">
      <c r="A11" s="382"/>
      <c r="B11" s="382"/>
      <c r="C11" s="382"/>
      <c r="D11" s="382"/>
      <c r="E11" s="382"/>
      <c r="F11" s="382"/>
      <c r="G11" s="382"/>
    </row>
    <row r="12" spans="1:13" x14ac:dyDescent="0.2">
      <c r="A12" s="382"/>
      <c r="B12" s="382"/>
      <c r="C12" s="382"/>
      <c r="D12" s="382"/>
      <c r="E12" s="382"/>
      <c r="F12" s="382"/>
      <c r="G12" s="382"/>
    </row>
    <row r="13" spans="1:13" x14ac:dyDescent="0.2">
      <c r="A13" s="382"/>
      <c r="B13" s="382"/>
      <c r="C13" s="382"/>
      <c r="D13" s="382"/>
      <c r="E13" s="382"/>
      <c r="F13" s="382"/>
      <c r="G13" s="382"/>
    </row>
    <row r="14" spans="1:13" x14ac:dyDescent="0.2">
      <c r="A14" s="382"/>
      <c r="B14" s="382"/>
      <c r="C14" s="382"/>
      <c r="D14" s="382"/>
      <c r="E14" s="382"/>
      <c r="F14" s="382"/>
      <c r="G14" s="382"/>
    </row>
    <row r="15" spans="1:13" x14ac:dyDescent="0.2">
      <c r="A15" s="382"/>
      <c r="B15" s="382"/>
      <c r="C15" s="382"/>
      <c r="D15" s="382"/>
      <c r="E15" s="382"/>
      <c r="F15" s="382"/>
      <c r="G15" s="382"/>
    </row>
    <row r="16" spans="1:13" x14ac:dyDescent="0.2">
      <c r="A16" s="382"/>
      <c r="B16" s="382"/>
      <c r="C16" s="382"/>
      <c r="D16" s="382"/>
      <c r="E16" s="382"/>
      <c r="F16" s="382"/>
      <c r="G16" s="382"/>
    </row>
    <row r="17" spans="1:7" x14ac:dyDescent="0.2">
      <c r="A17" s="382"/>
      <c r="B17" s="382"/>
      <c r="C17" s="382"/>
      <c r="D17" s="382"/>
      <c r="E17" s="382"/>
      <c r="F17" s="382"/>
      <c r="G17" s="382"/>
    </row>
    <row r="18" spans="1:7" x14ac:dyDescent="0.2">
      <c r="A18" s="382"/>
      <c r="B18" s="382"/>
      <c r="C18" s="382"/>
      <c r="D18" s="382"/>
      <c r="E18" s="382"/>
      <c r="F18" s="382"/>
      <c r="G18" s="382"/>
    </row>
    <row r="19" spans="1:7" x14ac:dyDescent="0.2">
      <c r="A19" s="382"/>
      <c r="B19" s="382"/>
      <c r="C19" s="382"/>
      <c r="D19" s="382"/>
      <c r="E19" s="382"/>
      <c r="F19" s="382"/>
      <c r="G19" s="382"/>
    </row>
    <row r="20" spans="1:7" x14ac:dyDescent="0.2">
      <c r="A20" s="382"/>
      <c r="B20" s="382"/>
      <c r="C20" s="382"/>
      <c r="D20" s="382"/>
      <c r="E20" s="382"/>
      <c r="F20" s="382"/>
      <c r="G20" s="382"/>
    </row>
    <row r="21" spans="1:7" x14ac:dyDescent="0.2">
      <c r="A21" s="382"/>
      <c r="B21" s="382"/>
      <c r="C21" s="382"/>
      <c r="D21" s="382"/>
      <c r="E21" s="382"/>
      <c r="F21" s="382"/>
      <c r="G21" s="382"/>
    </row>
    <row r="22" spans="1:7" x14ac:dyDescent="0.2">
      <c r="A22" s="382"/>
      <c r="B22" s="382"/>
      <c r="C22" s="382"/>
      <c r="D22" s="382"/>
      <c r="E22" s="382"/>
      <c r="F22" s="382"/>
      <c r="G22" s="382"/>
    </row>
    <row r="23" spans="1:7" x14ac:dyDescent="0.2">
      <c r="A23" s="382"/>
      <c r="B23" s="382"/>
      <c r="C23" s="382"/>
      <c r="D23" s="382"/>
      <c r="E23" s="382"/>
      <c r="F23" s="382"/>
      <c r="G23" s="382"/>
    </row>
    <row r="24" spans="1:7" x14ac:dyDescent="0.2">
      <c r="A24" s="382"/>
      <c r="B24" s="382"/>
      <c r="C24" s="382"/>
      <c r="D24" s="382"/>
      <c r="E24" s="382"/>
      <c r="F24" s="382"/>
      <c r="G24" s="382"/>
    </row>
    <row r="25" spans="1:7" x14ac:dyDescent="0.2">
      <c r="A25" s="382"/>
      <c r="B25" s="382"/>
      <c r="C25" s="382"/>
      <c r="D25" s="382"/>
      <c r="E25" s="382"/>
      <c r="F25" s="382"/>
      <c r="G25" s="382"/>
    </row>
    <row r="26" spans="1:7" x14ac:dyDescent="0.2">
      <c r="A26" s="382"/>
      <c r="B26" s="382"/>
      <c r="C26" s="382"/>
      <c r="D26" s="382"/>
      <c r="E26" s="382"/>
      <c r="F26" s="382"/>
      <c r="G26" s="382"/>
    </row>
    <row r="27" spans="1:7" x14ac:dyDescent="0.2">
      <c r="A27" s="382"/>
      <c r="B27" s="382"/>
      <c r="C27" s="382"/>
      <c r="D27" s="382"/>
      <c r="E27" s="382"/>
      <c r="F27" s="382"/>
      <c r="G27" s="382"/>
    </row>
    <row r="28" spans="1:7" x14ac:dyDescent="0.2">
      <c r="A28" s="382"/>
      <c r="B28" s="382"/>
      <c r="C28" s="382"/>
      <c r="D28" s="382"/>
      <c r="E28" s="382"/>
      <c r="F28" s="382"/>
      <c r="G28" s="382"/>
    </row>
    <row r="29" spans="1:7" x14ac:dyDescent="0.2">
      <c r="A29" s="382"/>
      <c r="B29" s="382"/>
      <c r="C29" s="382"/>
      <c r="D29" s="382"/>
      <c r="E29" s="382"/>
      <c r="F29" s="382"/>
      <c r="G29" s="382"/>
    </row>
    <row r="30" spans="1:7" x14ac:dyDescent="0.2">
      <c r="A30" s="382"/>
      <c r="B30" s="382"/>
      <c r="C30" s="382"/>
      <c r="D30" s="382"/>
      <c r="E30" s="382"/>
      <c r="F30" s="382"/>
      <c r="G30" s="382"/>
    </row>
    <row r="31" spans="1:7" x14ac:dyDescent="0.2">
      <c r="A31" s="382"/>
      <c r="B31" s="382"/>
      <c r="C31" s="382"/>
      <c r="D31" s="382"/>
      <c r="E31" s="382"/>
      <c r="F31" s="382"/>
      <c r="G31" s="382"/>
    </row>
    <row r="32" spans="1:7" x14ac:dyDescent="0.2">
      <c r="A32" s="382"/>
      <c r="B32" s="382"/>
      <c r="C32" s="382"/>
      <c r="D32" s="382"/>
      <c r="E32" s="382"/>
      <c r="F32" s="382"/>
      <c r="G32" s="382"/>
    </row>
    <row r="33" spans="1:7" x14ac:dyDescent="0.2">
      <c r="A33" s="382"/>
      <c r="B33" s="382"/>
      <c r="C33" s="382"/>
      <c r="D33" s="382"/>
      <c r="E33" s="382"/>
      <c r="F33" s="382"/>
      <c r="G33" s="382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946</v>
      </c>
      <c r="B1" s="1" t="s">
        <v>468</v>
      </c>
      <c r="C1" s="1" t="s">
        <v>222</v>
      </c>
      <c r="D1" s="1" t="s">
        <v>569</v>
      </c>
      <c r="E1" s="1" t="s">
        <v>949</v>
      </c>
      <c r="F1" s="1" t="s">
        <v>950</v>
      </c>
    </row>
    <row r="2" spans="1:6" x14ac:dyDescent="0.2">
      <c r="A2" s="361"/>
      <c r="B2" s="310"/>
      <c r="C2" s="310"/>
      <c r="E2" s="310"/>
      <c r="F2" s="310"/>
    </row>
    <row r="3" spans="1:6" x14ac:dyDescent="0.2">
      <c r="A3" s="6" t="s">
        <v>152</v>
      </c>
      <c r="B3" s="310"/>
      <c r="C3" s="310"/>
      <c r="E3" s="310" t="s">
        <v>357</v>
      </c>
      <c r="F3" s="310" t="s">
        <v>251</v>
      </c>
    </row>
    <row r="4" spans="1:6" x14ac:dyDescent="0.2">
      <c r="A4" s="380" t="s">
        <v>955</v>
      </c>
      <c r="B4" s="381">
        <v>48</v>
      </c>
      <c r="C4" s="381">
        <v>7.44</v>
      </c>
      <c r="D4" s="381">
        <v>7.44</v>
      </c>
      <c r="E4" s="310" t="s">
        <v>249</v>
      </c>
      <c r="F4" s="310" t="s">
        <v>252</v>
      </c>
    </row>
    <row r="5" spans="1:6" x14ac:dyDescent="0.2">
      <c r="A5" s="380" t="s">
        <v>956</v>
      </c>
      <c r="B5" s="381">
        <v>72</v>
      </c>
      <c r="C5" s="381">
        <v>11.16</v>
      </c>
      <c r="D5" s="381">
        <v>11.16</v>
      </c>
      <c r="E5" s="310" t="s">
        <v>250</v>
      </c>
      <c r="F5" s="310" t="s">
        <v>253</v>
      </c>
    </row>
    <row r="6" spans="1:6" x14ac:dyDescent="0.2">
      <c r="A6" s="380" t="s">
        <v>920</v>
      </c>
      <c r="B6" s="382"/>
      <c r="C6" s="382"/>
    </row>
    <row r="7" spans="1:6" x14ac:dyDescent="0.2">
      <c r="A7" s="380" t="s">
        <v>957</v>
      </c>
      <c r="B7" s="381">
        <v>48</v>
      </c>
      <c r="C7" s="381">
        <v>7.44</v>
      </c>
      <c r="D7" s="381">
        <v>7.44</v>
      </c>
    </row>
    <row r="8" spans="1:6" x14ac:dyDescent="0.2">
      <c r="A8" s="380" t="s">
        <v>958</v>
      </c>
      <c r="B8" s="381">
        <v>72</v>
      </c>
      <c r="C8" s="381">
        <v>11.16</v>
      </c>
      <c r="D8" s="381">
        <v>11.16</v>
      </c>
    </row>
    <row r="9" spans="1:6" x14ac:dyDescent="0.2">
      <c r="A9" s="380" t="s">
        <v>81</v>
      </c>
      <c r="B9" s="382"/>
      <c r="C9" s="382"/>
    </row>
    <row r="10" spans="1:6" x14ac:dyDescent="0.2">
      <c r="A10" s="380" t="s">
        <v>395</v>
      </c>
      <c r="B10" s="382"/>
      <c r="C10" s="382"/>
    </row>
    <row r="11" spans="1:6" x14ac:dyDescent="0.2">
      <c r="A11" s="380" t="s">
        <v>396</v>
      </c>
      <c r="B11" s="382"/>
      <c r="C11" s="382"/>
    </row>
    <row r="12" spans="1:6" x14ac:dyDescent="0.2">
      <c r="A12" s="380" t="s">
        <v>335</v>
      </c>
      <c r="B12" s="382"/>
      <c r="C12" s="382"/>
    </row>
    <row r="13" spans="1:6" x14ac:dyDescent="0.2">
      <c r="A13" s="380" t="s">
        <v>336</v>
      </c>
      <c r="B13" s="382"/>
      <c r="C13" s="382"/>
    </row>
    <row r="14" spans="1:6" x14ac:dyDescent="0.2">
      <c r="A14" s="380" t="s">
        <v>119</v>
      </c>
      <c r="B14" s="382"/>
      <c r="C14" s="382"/>
    </row>
    <row r="15" spans="1:6" x14ac:dyDescent="0.2">
      <c r="A15" s="380" t="s">
        <v>959</v>
      </c>
      <c r="B15" s="381">
        <v>48</v>
      </c>
      <c r="C15" s="381">
        <v>7.44</v>
      </c>
      <c r="D15" s="381">
        <v>7.44</v>
      </c>
    </row>
    <row r="16" spans="1:6" x14ac:dyDescent="0.2">
      <c r="A16" s="380" t="s">
        <v>960</v>
      </c>
      <c r="B16" s="381">
        <v>72</v>
      </c>
      <c r="C16" s="381">
        <v>11.16</v>
      </c>
      <c r="D16" s="381">
        <v>11.16</v>
      </c>
    </row>
    <row r="17" spans="1:1" x14ac:dyDescent="0.2">
      <c r="A17" s="380" t="s">
        <v>181</v>
      </c>
    </row>
    <row r="18" spans="1:1" x14ac:dyDescent="0.2">
      <c r="A18" s="380" t="s">
        <v>395</v>
      </c>
    </row>
    <row r="19" spans="1:1" x14ac:dyDescent="0.2">
      <c r="A19" s="380" t="s">
        <v>396</v>
      </c>
    </row>
    <row r="20" spans="1:1" x14ac:dyDescent="0.2">
      <c r="A20" s="380" t="s">
        <v>337</v>
      </c>
    </row>
    <row r="21" spans="1:1" x14ac:dyDescent="0.2">
      <c r="A21" s="380" t="s">
        <v>312</v>
      </c>
    </row>
    <row r="22" spans="1:1" x14ac:dyDescent="0.2">
      <c r="A22" s="380" t="s">
        <v>151</v>
      </c>
    </row>
    <row r="23" spans="1:1" x14ac:dyDescent="0.2">
      <c r="A23" s="380" t="s">
        <v>313</v>
      </c>
    </row>
    <row r="24" spans="1:1" x14ac:dyDescent="0.2">
      <c r="A24" s="380" t="s">
        <v>299</v>
      </c>
    </row>
    <row r="25" spans="1:1" x14ac:dyDescent="0.2">
      <c r="A25" s="380" t="s">
        <v>961</v>
      </c>
    </row>
    <row r="26" spans="1:1" x14ac:dyDescent="0.2">
      <c r="A26" s="380" t="s">
        <v>376</v>
      </c>
    </row>
    <row r="27" spans="1:1" x14ac:dyDescent="0.2">
      <c r="A27" s="380" t="s">
        <v>374</v>
      </c>
    </row>
    <row r="28" spans="1:1" x14ac:dyDescent="0.2">
      <c r="A28" s="380" t="s">
        <v>375</v>
      </c>
    </row>
    <row r="29" spans="1:1" x14ac:dyDescent="0.2">
      <c r="A29" s="380" t="s">
        <v>962</v>
      </c>
    </row>
    <row r="30" spans="1:1" x14ac:dyDescent="0.2">
      <c r="A30" s="380" t="s">
        <v>963</v>
      </c>
    </row>
    <row r="31" spans="1:1" x14ac:dyDescent="0.2">
      <c r="A31" s="380" t="s">
        <v>417</v>
      </c>
    </row>
    <row r="32" spans="1:1" x14ac:dyDescent="0.2">
      <c r="A32" s="380" t="s">
        <v>418</v>
      </c>
    </row>
    <row r="33" spans="1:4" x14ac:dyDescent="0.2">
      <c r="A33" s="380" t="s">
        <v>990</v>
      </c>
      <c r="B33" s="381"/>
      <c r="C33" s="381"/>
    </row>
    <row r="34" spans="1:4" x14ac:dyDescent="0.2">
      <c r="A34" s="380" t="s">
        <v>984</v>
      </c>
      <c r="B34" s="381">
        <v>48</v>
      </c>
      <c r="C34" s="381">
        <v>7.44</v>
      </c>
      <c r="D34" s="381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D44" sqref="D44"/>
    </sheetView>
  </sheetViews>
  <sheetFormatPr defaultColWidth="9.140625" defaultRowHeight="12.75" x14ac:dyDescent="0.2"/>
  <cols>
    <col min="1" max="1" width="4.7109375" style="547" customWidth="1"/>
    <col min="2" max="2" width="6" style="547" customWidth="1"/>
    <col min="3" max="3" width="3.140625" style="547" customWidth="1"/>
    <col min="4" max="4" width="14.28515625" style="547" customWidth="1"/>
    <col min="5" max="5" width="14.42578125" style="547" customWidth="1"/>
    <col min="6" max="6" width="12.140625" style="547" customWidth="1"/>
    <col min="7" max="7" width="26.42578125" style="547" customWidth="1"/>
    <col min="8" max="8" width="13.85546875" style="547" customWidth="1"/>
    <col min="9" max="9" width="15.28515625" style="547" customWidth="1"/>
    <col min="10" max="10" width="15.140625" style="547" customWidth="1"/>
    <col min="11" max="11" width="9.140625" style="547"/>
    <col min="12" max="12" width="10" style="547" customWidth="1"/>
    <col min="13" max="13" width="9.140625" style="547"/>
    <col min="14" max="14" width="10.42578125" style="547" customWidth="1"/>
    <col min="15" max="16" width="9.140625" style="547"/>
    <col min="17" max="17" width="10.7109375" style="547" bestFit="1" customWidth="1"/>
    <col min="18" max="19" width="9.140625" style="547"/>
    <col min="20" max="20" width="10.7109375" style="547" bestFit="1" customWidth="1"/>
    <col min="21" max="16384" width="9.140625" style="547"/>
  </cols>
  <sheetData>
    <row r="1" spans="2:23" s="533" customFormat="1" ht="17.25" customHeight="1" x14ac:dyDescent="0.2">
      <c r="B1" s="624"/>
      <c r="C1" s="525"/>
      <c r="D1" s="525"/>
      <c r="E1" s="525"/>
      <c r="F1" s="525"/>
      <c r="G1" s="525"/>
      <c r="H1" s="525"/>
      <c r="I1" s="525"/>
      <c r="J1" s="525"/>
      <c r="K1" s="525"/>
      <c r="L1" s="525"/>
    </row>
    <row r="2" spans="2:23" s="533" customFormat="1" ht="17.25" customHeight="1" x14ac:dyDescent="0.2">
      <c r="B2" s="525"/>
      <c r="C2" s="497"/>
      <c r="D2" s="525" t="s">
        <v>297</v>
      </c>
      <c r="E2" s="498">
        <f ca="1">Var_AfspraakDatum</f>
        <v>42755</v>
      </c>
      <c r="F2" s="499"/>
      <c r="G2" s="497" t="s">
        <v>3989</v>
      </c>
      <c r="H2" s="500" t="str">
        <f>PatDetails!B15</f>
        <v/>
      </c>
      <c r="I2" s="497" t="str">
        <f>PatDetails!B23</f>
        <v>Gewicht: 1 kg</v>
      </c>
      <c r="J2" s="525"/>
      <c r="K2" s="525" t="s">
        <v>490</v>
      </c>
      <c r="L2" s="497">
        <f>__1_Bed</f>
        <v>0</v>
      </c>
    </row>
    <row r="3" spans="2:23" s="533" customFormat="1" ht="17.25" customHeight="1" x14ac:dyDescent="0.2">
      <c r="B3" s="525"/>
      <c r="C3" s="497"/>
      <c r="D3" s="525" t="s">
        <v>28</v>
      </c>
      <c r="E3" s="501" t="str">
        <f>PatDetails!B21</f>
        <v/>
      </c>
      <c r="F3" s="501"/>
      <c r="G3" s="497" t="s">
        <v>3990</v>
      </c>
      <c r="H3" s="500" t="str">
        <f ca="1">PatDetails!B16</f>
        <v/>
      </c>
      <c r="I3" s="497" t="str">
        <f>PatDetails!B24</f>
        <v>Lengte:</v>
      </c>
      <c r="J3" s="525"/>
      <c r="K3" s="836"/>
      <c r="L3" s="836"/>
      <c r="N3" s="556"/>
    </row>
    <row r="4" spans="2:23" s="533" customFormat="1" ht="17.25" customHeight="1" x14ac:dyDescent="0.2">
      <c r="B4" s="525"/>
      <c r="C4" s="497"/>
      <c r="D4" s="625" t="s">
        <v>3984</v>
      </c>
      <c r="E4" s="497" t="str">
        <f>PatDetails!B17</f>
        <v/>
      </c>
      <c r="F4" s="499"/>
      <c r="G4" s="497" t="s">
        <v>268</v>
      </c>
      <c r="H4" s="504" t="str">
        <f ca="1">PatDetails!B20</f>
        <v/>
      </c>
      <c r="I4" s="497" t="str">
        <f>PatDetails!B25</f>
        <v>Lichamelijk oppervlak:</v>
      </c>
      <c r="J4" s="525"/>
      <c r="K4" s="836"/>
      <c r="L4" s="836"/>
    </row>
    <row r="5" spans="2:23" s="533" customFormat="1" ht="8.1" customHeight="1" x14ac:dyDescent="0.2">
      <c r="B5" s="525"/>
      <c r="C5" s="497"/>
      <c r="D5" s="525"/>
      <c r="E5" s="525"/>
      <c r="F5" s="499"/>
      <c r="G5" s="497"/>
      <c r="H5" s="504"/>
      <c r="I5" s="497"/>
      <c r="J5" s="525"/>
      <c r="K5" s="836"/>
      <c r="L5" s="836"/>
    </row>
    <row r="6" spans="2:23" s="533" customFormat="1" ht="8.1" customHeight="1" x14ac:dyDescent="0.2">
      <c r="C6" s="531"/>
      <c r="E6" s="531"/>
      <c r="F6" s="532"/>
      <c r="G6" s="531"/>
      <c r="H6" s="540"/>
      <c r="I6" s="531"/>
    </row>
    <row r="7" spans="2:23" s="533" customFormat="1" ht="20.100000000000001" customHeight="1" x14ac:dyDescent="0.2">
      <c r="B7" s="805" t="s">
        <v>3785</v>
      </c>
      <c r="C7" s="814"/>
      <c r="D7" s="805" t="s">
        <v>3985</v>
      </c>
      <c r="E7" s="814"/>
      <c r="F7" s="815"/>
      <c r="G7" s="814"/>
      <c r="H7" s="816"/>
      <c r="I7" s="814"/>
      <c r="J7" s="805"/>
      <c r="K7" s="805"/>
      <c r="L7" s="805"/>
    </row>
    <row r="8" spans="2:23" ht="8.1" customHeight="1" x14ac:dyDescent="0.2">
      <c r="B8" s="557"/>
      <c r="D8" s="558"/>
      <c r="E8" s="512"/>
      <c r="F8" s="513"/>
      <c r="G8" s="802"/>
      <c r="H8" s="514"/>
      <c r="I8" s="802"/>
      <c r="J8" s="802"/>
      <c r="K8" s="802"/>
      <c r="L8" s="802"/>
    </row>
    <row r="9" spans="2:23" ht="20.100000000000001" customHeight="1" thickBot="1" x14ac:dyDescent="0.25">
      <c r="B9" s="559" t="str">
        <f>PedBerEnt!I3</f>
        <v/>
      </c>
      <c r="C9" s="495"/>
      <c r="D9" s="495" t="s">
        <v>154</v>
      </c>
      <c r="G9" s="495"/>
      <c r="H9" s="557"/>
      <c r="I9" s="557"/>
      <c r="J9" s="495" t="s">
        <v>3986</v>
      </c>
      <c r="K9" s="495"/>
      <c r="L9" s="495"/>
      <c r="O9" s="560"/>
    </row>
    <row r="10" spans="2:23" ht="20.100000000000001" customHeight="1" thickTop="1" thickBot="1" x14ac:dyDescent="0.25">
      <c r="B10" s="559"/>
      <c r="D10" s="557"/>
      <c r="H10" s="557"/>
      <c r="I10" s="557"/>
      <c r="J10" s="609" t="str">
        <f>PedBerEnt!A10</f>
        <v>energy</v>
      </c>
      <c r="K10" s="766">
        <f>PedBerEnt!B10</f>
        <v>0</v>
      </c>
      <c r="L10" s="557" t="s">
        <v>4588</v>
      </c>
      <c r="M10" s="561"/>
      <c r="O10" s="560"/>
    </row>
    <row r="11" spans="2:23" ht="20.100000000000001" customHeight="1" thickTop="1" thickBot="1" x14ac:dyDescent="0.25">
      <c r="B11" s="559"/>
      <c r="C11" s="495"/>
      <c r="D11" s="608" t="s">
        <v>277</v>
      </c>
      <c r="E11" s="495"/>
      <c r="F11" s="495"/>
      <c r="G11" s="495"/>
      <c r="H11" s="557"/>
      <c r="I11" s="557"/>
      <c r="J11" s="609" t="str">
        <f>PedBerEnt!A11</f>
        <v>eiwit</v>
      </c>
      <c r="K11" s="766">
        <f>PedBerEnt!B11</f>
        <v>0</v>
      </c>
      <c r="L11" s="562" t="s">
        <v>31</v>
      </c>
    </row>
    <row r="12" spans="2:23" ht="20.100000000000001" customHeight="1" thickTop="1" thickBot="1" x14ac:dyDescent="0.25">
      <c r="B12" s="559" t="str">
        <f>PedBerEnt!H3</f>
        <v/>
      </c>
      <c r="C12" s="495"/>
      <c r="D12" s="751" t="str">
        <f>PedBerEnt!J3</f>
        <v/>
      </c>
      <c r="E12" s="801" t="str">
        <f>IF(PedBerEnt!E3&lt;&gt;0,PedBerEnt!D3&amp;" ml","")</f>
        <v/>
      </c>
      <c r="H12" s="563" t="str">
        <f>PedBerEnt!L3</f>
        <v/>
      </c>
      <c r="I12" s="557"/>
      <c r="J12" s="609" t="str">
        <f>PedBerEnt!A12</f>
        <v>KH</v>
      </c>
      <c r="K12" s="766">
        <f>PedBerEnt!B12</f>
        <v>0</v>
      </c>
      <c r="L12" s="562" t="s">
        <v>31</v>
      </c>
      <c r="Q12" s="564"/>
      <c r="R12" s="564"/>
      <c r="S12" s="564"/>
      <c r="T12" s="564"/>
      <c r="U12" s="564"/>
      <c r="V12" s="564"/>
      <c r="W12" s="564"/>
    </row>
    <row r="13" spans="2:23" ht="20.100000000000001" customHeight="1" thickTop="1" thickBot="1" x14ac:dyDescent="0.25">
      <c r="B13" s="559"/>
      <c r="C13" s="495"/>
      <c r="D13" s="495" t="s">
        <v>914</v>
      </c>
      <c r="E13" s="607"/>
      <c r="F13" s="495"/>
      <c r="G13" s="495"/>
      <c r="H13" s="563"/>
      <c r="I13" s="557"/>
      <c r="J13" s="610" t="str">
        <f>PedBerEnt!A13</f>
        <v>vet</v>
      </c>
      <c r="K13" s="766">
        <f>PedBerEnt!B13</f>
        <v>0</v>
      </c>
      <c r="L13" s="562" t="s">
        <v>31</v>
      </c>
      <c r="Q13" s="564"/>
      <c r="R13" s="564"/>
      <c r="S13" s="564"/>
      <c r="T13" s="564"/>
      <c r="U13" s="564"/>
      <c r="V13" s="564"/>
      <c r="W13" s="564"/>
    </row>
    <row r="14" spans="2:23" ht="20.100000000000001" customHeight="1" thickTop="1" thickBot="1" x14ac:dyDescent="0.25">
      <c r="B14" s="559" t="str">
        <f>PedBerEnt!H4</f>
        <v/>
      </c>
      <c r="C14" s="495"/>
      <c r="D14" s="779" t="str">
        <f>PedBerEnt!J4</f>
        <v/>
      </c>
      <c r="E14" s="764" t="str">
        <f>IF(PedBerEnt!F4&gt;1,PedBerEnt!D4&amp;" gram","")</f>
        <v/>
      </c>
      <c r="F14" s="767"/>
      <c r="G14" s="565"/>
      <c r="H14" s="563" t="str">
        <f>PedBerEnt!L4</f>
        <v/>
      </c>
      <c r="I14" s="557"/>
      <c r="J14" s="610" t="str">
        <f>PedBerEnt!A14</f>
        <v>Na</v>
      </c>
      <c r="K14" s="766">
        <f>PedBerEnt!B14</f>
        <v>0</v>
      </c>
      <c r="L14" s="562" t="s">
        <v>159</v>
      </c>
      <c r="Q14" s="564"/>
      <c r="R14" s="564"/>
      <c r="S14" s="564"/>
      <c r="T14" s="564"/>
      <c r="U14" s="564"/>
      <c r="V14" s="564"/>
      <c r="W14" s="564"/>
    </row>
    <row r="15" spans="2:23" ht="20.100000000000001" customHeight="1" thickTop="1" thickBot="1" x14ac:dyDescent="0.25">
      <c r="B15" s="559" t="str">
        <f>PedBerEnt!H5</f>
        <v/>
      </c>
      <c r="C15" s="495"/>
      <c r="D15" s="779" t="str">
        <f>PedBerEnt!J5</f>
        <v/>
      </c>
      <c r="E15" s="764" t="str">
        <f>IF(PedBerEnt!F5&gt;1,PedBerEnt!D5&amp;" gram","")</f>
        <v/>
      </c>
      <c r="F15" s="768"/>
      <c r="G15" s="566"/>
      <c r="H15" s="563" t="str">
        <f>PedBerEnt!L5</f>
        <v/>
      </c>
      <c r="I15" s="557"/>
      <c r="J15" s="610" t="str">
        <f>PedBerEnt!A15</f>
        <v>K</v>
      </c>
      <c r="K15" s="766">
        <f>PedBerEnt!B15</f>
        <v>0</v>
      </c>
      <c r="L15" s="562" t="s">
        <v>159</v>
      </c>
      <c r="Q15" s="564"/>
      <c r="R15" s="564"/>
      <c r="S15" s="564"/>
      <c r="T15" s="564"/>
      <c r="U15" s="564"/>
      <c r="V15" s="564"/>
      <c r="W15" s="564"/>
    </row>
    <row r="16" spans="2:23" ht="20.100000000000001" customHeight="1" thickTop="1" thickBot="1" x14ac:dyDescent="0.25">
      <c r="B16" s="559" t="str">
        <f>PedBerEnt!H6</f>
        <v/>
      </c>
      <c r="C16" s="495"/>
      <c r="D16" s="751" t="str">
        <f>PedBerEnt!J6</f>
        <v/>
      </c>
      <c r="E16" s="801" t="str">
        <f>IF(PedBerEnt!F6&gt;1,PedBerEnt!D6&amp;" gram","")</f>
        <v/>
      </c>
      <c r="F16" s="768"/>
      <c r="G16" s="566"/>
      <c r="H16" s="563" t="str">
        <f>PedBerEnt!L6</f>
        <v/>
      </c>
      <c r="I16" s="557"/>
      <c r="J16" s="610" t="str">
        <f>PedBerEnt!A16</f>
        <v>Ca</v>
      </c>
      <c r="K16" s="766">
        <f>PedBerEnt!B16</f>
        <v>0</v>
      </c>
      <c r="L16" s="562" t="s">
        <v>159</v>
      </c>
      <c r="Q16" s="564"/>
      <c r="R16" s="564"/>
      <c r="S16" s="564"/>
      <c r="T16" s="564"/>
      <c r="U16" s="564"/>
      <c r="V16" s="564"/>
      <c r="W16" s="564"/>
    </row>
    <row r="17" spans="2:23" ht="20.100000000000001" customHeight="1" thickTop="1" thickBot="1" x14ac:dyDescent="0.25">
      <c r="D17" s="524"/>
      <c r="E17" s="802"/>
      <c r="I17" s="557"/>
      <c r="J17" s="609" t="str">
        <f>PedBerEnt!A17</f>
        <v>P</v>
      </c>
      <c r="K17" s="766">
        <f>PedBerEnt!B17</f>
        <v>0</v>
      </c>
      <c r="L17" s="562" t="s">
        <v>159</v>
      </c>
      <c r="M17" s="564"/>
      <c r="Q17" s="564"/>
      <c r="R17" s="564"/>
      <c r="S17" s="564"/>
      <c r="T17" s="564"/>
      <c r="U17" s="564"/>
      <c r="V17" s="564"/>
      <c r="W17" s="564"/>
    </row>
    <row r="18" spans="2:23" ht="20.100000000000001" customHeight="1" thickTop="1" thickBot="1" x14ac:dyDescent="0.25">
      <c r="B18" s="559" t="str">
        <f>PedBerEnt!H8</f>
        <v/>
      </c>
      <c r="C18" s="495"/>
      <c r="D18" s="609" t="s">
        <v>285</v>
      </c>
      <c r="E18" s="834">
        <f>_Ped_Ent_Opm</f>
        <v>0</v>
      </c>
      <c r="F18" s="835"/>
      <c r="G18" s="835"/>
      <c r="H18" s="835"/>
      <c r="I18" s="557"/>
      <c r="J18" s="610" t="str">
        <f>PedBerEnt!A18</f>
        <v>Mg</v>
      </c>
      <c r="K18" s="605">
        <f>PedBerEnt!B18</f>
        <v>0</v>
      </c>
      <c r="L18" s="562" t="s">
        <v>159</v>
      </c>
      <c r="M18" s="564"/>
      <c r="Q18" s="564"/>
      <c r="R18" s="564"/>
      <c r="S18" s="564"/>
      <c r="T18" s="564"/>
      <c r="U18" s="564"/>
      <c r="V18" s="564"/>
      <c r="W18" s="564"/>
    </row>
    <row r="19" spans="2:23" ht="8.1" customHeight="1" thickTop="1" x14ac:dyDescent="0.2">
      <c r="D19" s="567"/>
      <c r="E19" s="802"/>
      <c r="I19" s="557"/>
      <c r="J19" s="568"/>
      <c r="L19" s="564"/>
      <c r="M19" s="564"/>
      <c r="Q19" s="564"/>
      <c r="R19" s="564"/>
      <c r="S19" s="564"/>
      <c r="T19" s="564"/>
      <c r="U19" s="564"/>
      <c r="V19" s="564"/>
      <c r="W19" s="564"/>
    </row>
    <row r="20" spans="2:23" ht="20.100000000000001" customHeight="1" x14ac:dyDescent="0.2">
      <c r="B20" s="805" t="s">
        <v>3785</v>
      </c>
      <c r="C20" s="805"/>
      <c r="D20" s="805" t="s">
        <v>528</v>
      </c>
      <c r="E20" s="805"/>
      <c r="F20" s="805"/>
      <c r="G20" s="805"/>
      <c r="H20" s="805"/>
      <c r="I20" s="812"/>
      <c r="J20" s="805"/>
      <c r="K20" s="817"/>
      <c r="L20" s="817"/>
      <c r="M20" s="564"/>
      <c r="Q20" s="564"/>
      <c r="R20" s="564"/>
      <c r="S20" s="564"/>
      <c r="T20" s="564"/>
      <c r="U20" s="564"/>
      <c r="V20" s="564"/>
      <c r="W20" s="564"/>
    </row>
    <row r="21" spans="2:23" ht="8.1" customHeight="1" thickBot="1" x14ac:dyDescent="0.25">
      <c r="B21" s="534"/>
      <c r="C21" s="534"/>
      <c r="D21" s="533"/>
      <c r="E21" s="534"/>
      <c r="F21" s="534"/>
      <c r="G21" s="534"/>
      <c r="H21" s="534"/>
      <c r="I21" s="569"/>
      <c r="J21" s="534"/>
      <c r="K21" s="570"/>
      <c r="L21" s="570"/>
      <c r="M21" s="564"/>
      <c r="Q21" s="564"/>
      <c r="R21" s="564"/>
      <c r="S21" s="564"/>
      <c r="T21" s="564"/>
      <c r="U21" s="564"/>
      <c r="V21" s="564"/>
      <c r="W21" s="564"/>
    </row>
    <row r="22" spans="2:23" ht="20.100000000000001" customHeight="1" thickTop="1" thickBot="1" x14ac:dyDescent="0.25">
      <c r="B22" s="559" t="str">
        <f>IF(AND(E22="",J22=""),"","verw")</f>
        <v/>
      </c>
      <c r="C22" s="495"/>
      <c r="D22" s="609" t="s">
        <v>3994</v>
      </c>
      <c r="E22" s="605" t="str">
        <f>IF(PedBerTPN!F3&lt;&gt;0,IF(PedBerTPN!F3/24&gt;=10,ROUND(PedBerTPN!F3/24,1),ROUND(PedBerTPN!F3/24,1))&amp;" ml/uur","")</f>
        <v/>
      </c>
      <c r="F22" s="558"/>
      <c r="G22" s="557"/>
      <c r="H22" s="557" t="str">
        <f>IF(E22&lt;&gt;"",PedBerTPN!F3&amp;" mL/dag","")</f>
        <v/>
      </c>
      <c r="I22" s="609" t="s">
        <v>4005</v>
      </c>
      <c r="J22" s="560" t="str">
        <f>IF(PedBerTPN!D19&lt;&gt;0,PedBerTPN!E19&amp;" ml/uur","")</f>
        <v/>
      </c>
      <c r="K22" s="557"/>
      <c r="L22" s="558" t="str">
        <f>IF(J22&lt;&gt;"",PedBerTPN!F19&amp;" mL/dag","")</f>
        <v/>
      </c>
      <c r="Q22" s="564"/>
      <c r="U22" s="564"/>
      <c r="V22" s="564"/>
      <c r="W22" s="564"/>
    </row>
    <row r="23" spans="2:23" ht="20.100000000000001" customHeight="1" thickTop="1" thickBot="1" x14ac:dyDescent="0.25">
      <c r="B23" s="559"/>
      <c r="C23" s="495"/>
      <c r="D23" s="495"/>
      <c r="F23" s="766" t="str">
        <f>IF(AND(PedBerTPN!E4&lt;&gt;0,PedBerTPN!E4&lt;&gt;"",PedBerTPN!B4&lt;&gt;1,PedBerTPN!F4&lt;&gt;0),PedBerTPN!F4&amp;" ml","")</f>
        <v/>
      </c>
      <c r="G23" s="558"/>
      <c r="H23" s="557"/>
      <c r="I23" s="495"/>
      <c r="K23" s="562"/>
      <c r="L23" s="562"/>
      <c r="Q23" s="564"/>
      <c r="U23" s="564"/>
      <c r="V23" s="564"/>
      <c r="W23" s="564"/>
    </row>
    <row r="24" spans="2:23" ht="20.100000000000001" customHeight="1" thickTop="1" thickBot="1" x14ac:dyDescent="0.25">
      <c r="B24" s="559" t="str">
        <f>IF(E24="","","verw")</f>
        <v/>
      </c>
      <c r="C24" s="495"/>
      <c r="D24" s="609" t="s">
        <v>3995</v>
      </c>
      <c r="E24" s="557" t="str">
        <f>IF(AND(_Pat_Gewicht/10&gt;=16,_Ped_TPN_Keuze=2),ROUND((PedBerTPN!F5+PedBerTPN!F17)/24,1)&amp;" ml/uur","")</f>
        <v/>
      </c>
      <c r="F24" s="605" t="str">
        <f>IF(AND(_Pat_Gewicht/10&gt;=16,_Ped_TPN_Keuze=2),PedBerTPN!F5&amp;" ml","")</f>
        <v/>
      </c>
      <c r="G24" s="558" t="str">
        <f>IF(AND(_Pat_Gewicht/10&gt;=16,_Ped_TPN_Keuze=2)," in 100 ml glucose 10%,","")</f>
        <v/>
      </c>
      <c r="H24" s="557"/>
      <c r="I24" s="495"/>
      <c r="K24" s="562"/>
      <c r="L24" s="562"/>
      <c r="Q24" s="564"/>
      <c r="U24" s="564"/>
      <c r="V24" s="564"/>
      <c r="W24" s="564"/>
    </row>
    <row r="25" spans="2:23" ht="20.100000000000001" customHeight="1" thickTop="1" thickBot="1" x14ac:dyDescent="0.25">
      <c r="B25" s="559"/>
      <c r="C25" s="495"/>
      <c r="D25" s="495"/>
      <c r="F25" s="560" t="str">
        <f>IF(PedBerTPN!F6&lt;&gt;0,ROUND(PedBerTPN!F6,1)&amp;" ml","")</f>
        <v/>
      </c>
      <c r="G25" s="833"/>
      <c r="H25" s="833"/>
      <c r="I25" s="495"/>
      <c r="K25" s="557" t="str">
        <f>IF(PedBerTPN!F20&lt;&gt;0,ROUND(PedBerTPN!F20,1)&amp;" ml","")</f>
        <v/>
      </c>
      <c r="L25" s="557"/>
      <c r="Q25" s="564"/>
      <c r="U25" s="564"/>
      <c r="V25" s="564"/>
      <c r="W25" s="564"/>
    </row>
    <row r="26" spans="2:23" ht="20.100000000000001" customHeight="1" thickTop="1" thickBot="1" x14ac:dyDescent="0.25">
      <c r="B26" s="559"/>
      <c r="C26" s="495"/>
      <c r="D26" s="609" t="s">
        <v>3996</v>
      </c>
      <c r="E26" s="557"/>
      <c r="F26" s="766" t="str">
        <f>IF(PedBerTPN!C7,PedBerTPN!F7&amp;" ml","")</f>
        <v/>
      </c>
      <c r="G26" s="557"/>
      <c r="H26" s="557"/>
      <c r="I26" s="609" t="s">
        <v>3996</v>
      </c>
      <c r="J26" s="766" t="str">
        <f>IF(PedBerTPN!C21,PedBerTPN!F21&amp;" ml","")</f>
        <v/>
      </c>
      <c r="K26" s="557"/>
      <c r="L26" s="557"/>
      <c r="Q26" s="564"/>
      <c r="U26" s="564"/>
      <c r="V26" s="564"/>
      <c r="W26" s="564"/>
    </row>
    <row r="27" spans="2:23" ht="20.100000000000001" customHeight="1" thickTop="1" thickBot="1" x14ac:dyDescent="0.25">
      <c r="B27" s="559"/>
      <c r="C27" s="495"/>
      <c r="D27" s="609" t="s">
        <v>3997</v>
      </c>
      <c r="E27" s="557"/>
      <c r="F27" s="605" t="str">
        <f>IF(PedBerTPN!C8,PedBerTPN!F8&amp;" ml","")</f>
        <v/>
      </c>
      <c r="G27" s="557"/>
      <c r="H27" s="557"/>
      <c r="I27" s="609" t="s">
        <v>3997</v>
      </c>
      <c r="J27" s="605" t="str">
        <f>IF(PedBerTPN!C22,PedBerTPN!F22&amp;" ml","")</f>
        <v/>
      </c>
      <c r="K27" s="557"/>
      <c r="L27" s="557"/>
      <c r="Q27" s="564"/>
      <c r="U27" s="564"/>
      <c r="V27" s="564"/>
      <c r="W27" s="564"/>
    </row>
    <row r="28" spans="2:23" ht="9.9499999999999993" customHeight="1" thickTop="1" thickBot="1" x14ac:dyDescent="0.25">
      <c r="B28" s="559"/>
      <c r="C28" s="495"/>
      <c r="D28" s="609"/>
      <c r="E28" s="557"/>
      <c r="F28" s="560"/>
      <c r="G28" s="557"/>
      <c r="H28" s="557"/>
      <c r="I28" s="524"/>
      <c r="K28" s="560"/>
      <c r="L28" s="560"/>
      <c r="Q28" s="564"/>
      <c r="U28" s="564"/>
      <c r="V28" s="564"/>
      <c r="W28" s="564"/>
    </row>
    <row r="29" spans="2:23" ht="20.100000000000001" customHeight="1" thickTop="1" thickBot="1" x14ac:dyDescent="0.25">
      <c r="B29" s="559" t="str">
        <f>IF(E29="","","verw")</f>
        <v/>
      </c>
      <c r="C29" s="495"/>
      <c r="D29" s="609" t="s">
        <v>3998</v>
      </c>
      <c r="E29" s="557" t="str">
        <f>IF(AND(_Pat_Gewicht/10&lt;=50,_Ped_TPN_SST1Keuze&lt;11,_Ped_TPN_Keuze=2),ROUND((PedBerTPN!F17+PedBerTPN!F10+PedBerTPN!F9)/24,1)&amp;" ml/uur","")</f>
        <v/>
      </c>
      <c r="F29" s="766" t="str">
        <f>IF(PedBerTPN!C9,PedBerTPN!D9&amp;" ml","")</f>
        <v/>
      </c>
      <c r="G29" s="557" t="str">
        <f>IF(AND(_Pat_Gewicht/10&lt;=50,_Ped_TPN_SST1Keuze&lt;11,_Ped_TPN_Keuze=2),"in "&amp;PedBerTPN!F17&amp;" ml glucose 10%","")</f>
        <v/>
      </c>
      <c r="H29" s="557"/>
      <c r="I29" s="524"/>
      <c r="K29" s="564"/>
      <c r="L29" s="564"/>
      <c r="M29" s="564"/>
      <c r="O29" s="564"/>
      <c r="P29" s="564"/>
      <c r="Q29" s="564"/>
      <c r="U29" s="564"/>
      <c r="V29" s="564"/>
      <c r="W29" s="564"/>
    </row>
    <row r="30" spans="2:23" ht="20.100000000000001" customHeight="1" thickTop="1" thickBot="1" x14ac:dyDescent="0.25">
      <c r="B30" s="559"/>
      <c r="C30" s="495"/>
      <c r="D30" s="609" t="s">
        <v>3999</v>
      </c>
      <c r="E30" s="557"/>
      <c r="F30" s="605" t="str">
        <f>IF(PedBerTPN!C10,PedBerTPN!D10&amp;" ml","")</f>
        <v/>
      </c>
      <c r="G30" s="557"/>
      <c r="H30" s="571"/>
      <c r="K30" s="564"/>
      <c r="L30" s="564"/>
      <c r="M30" s="564"/>
      <c r="N30" s="564"/>
      <c r="O30" s="564"/>
      <c r="P30" s="564"/>
      <c r="Q30" s="564"/>
      <c r="U30" s="564"/>
      <c r="V30" s="564"/>
      <c r="W30" s="564"/>
    </row>
    <row r="31" spans="2:23" ht="9.9499999999999993" customHeight="1" thickTop="1" thickBot="1" x14ac:dyDescent="0.25">
      <c r="B31" s="559"/>
      <c r="D31" s="556"/>
      <c r="E31" s="557"/>
      <c r="F31" s="560"/>
      <c r="G31" s="557"/>
      <c r="H31" s="557"/>
      <c r="K31" s="564"/>
      <c r="L31" s="564"/>
      <c r="M31" s="564"/>
      <c r="N31" s="564"/>
      <c r="O31" s="564"/>
      <c r="P31" s="564"/>
      <c r="Q31" s="564"/>
      <c r="U31" s="564"/>
      <c r="V31" s="564"/>
      <c r="W31" s="564"/>
    </row>
    <row r="32" spans="2:23" ht="20.100000000000001" customHeight="1" thickTop="1" thickBot="1" x14ac:dyDescent="0.25">
      <c r="B32" s="559" t="str">
        <f>IF(E32="","","verw")</f>
        <v/>
      </c>
      <c r="C32" s="495"/>
      <c r="D32" s="609" t="s">
        <v>308</v>
      </c>
      <c r="E32" s="557" t="str">
        <f>IF(PedBerTPN!F11&gt;0,((ROUND(PedBerTPN!F11*1.5/(_Pat_Gewicht/10)/24/0.01,1)*24-PedBerTPN!F11)+PedBerTPN!F11)/24&amp;" ml/uur","")</f>
        <v/>
      </c>
      <c r="F32" s="605" t="str">
        <f>IF(PedBerTPN!C11,PedBerTPN!F11&amp;" ml","")</f>
        <v/>
      </c>
      <c r="G32" s="557" t="str">
        <f>IF(PedBerTPN!F11&gt;0,"plus "&amp;(ROUND(PedBerTPN!F11*1.5/(_Pat_Gewicht/10)/24/0.01,1)*24-PedBerTPN!F11)&amp;" ml gluc 5%","")</f>
        <v/>
      </c>
      <c r="H32" s="557" t="str">
        <f>IF(PedBerTPN!F11&gt;0,ROUND(PedBerTPN!F11*1.5/(_Pat_Gewicht/10),2)&amp;" mmol/kg","")</f>
        <v/>
      </c>
      <c r="K32" s="564"/>
      <c r="L32" s="564"/>
      <c r="M32" s="564"/>
      <c r="N32" s="564"/>
      <c r="O32" s="564"/>
      <c r="P32" s="564"/>
      <c r="Q32" s="564"/>
      <c r="U32" s="564"/>
      <c r="V32" s="564"/>
      <c r="W32" s="564"/>
    </row>
    <row r="33" spans="2:23" ht="8.1" customHeight="1" thickTop="1" thickBot="1" x14ac:dyDescent="0.25">
      <c r="B33" s="559"/>
      <c r="C33" s="534"/>
      <c r="D33" s="556"/>
      <c r="F33" s="560"/>
      <c r="G33" s="557"/>
      <c r="H33" s="557"/>
      <c r="K33" s="564"/>
      <c r="L33" s="564"/>
      <c r="M33" s="564"/>
      <c r="N33" s="564"/>
      <c r="O33" s="564"/>
      <c r="P33" s="564"/>
      <c r="Q33" s="564"/>
      <c r="U33" s="564"/>
      <c r="V33" s="564"/>
      <c r="W33" s="564"/>
    </row>
    <row r="34" spans="2:23" ht="20.100000000000001" customHeight="1" thickTop="1" thickBot="1" x14ac:dyDescent="0.25">
      <c r="B34" s="559" t="str">
        <f>IF(E34="","","verw")</f>
        <v/>
      </c>
      <c r="C34" s="495"/>
      <c r="D34" s="609" t="s">
        <v>4000</v>
      </c>
      <c r="E34" s="605" t="str">
        <f>IF(PedBerTPN!D12&lt;&gt;0,PedBerTPN!E12&amp;" ml/uur","")</f>
        <v/>
      </c>
      <c r="F34" s="557"/>
      <c r="G34" s="557"/>
      <c r="H34" s="557" t="str">
        <f>IF(PedBerTPN!F12&lt;&gt;0,PedBerTPN!F12&amp;" ml per dag","")</f>
        <v/>
      </c>
      <c r="K34" s="564"/>
      <c r="L34" s="564"/>
      <c r="M34" s="564"/>
      <c r="N34" s="564"/>
      <c r="O34" s="564"/>
      <c r="P34" s="564"/>
      <c r="Q34" s="564"/>
      <c r="U34" s="564"/>
      <c r="V34" s="564"/>
      <c r="W34" s="564"/>
    </row>
    <row r="35" spans="2:23" ht="20.100000000000001" customHeight="1" thickTop="1" thickBot="1" x14ac:dyDescent="0.25">
      <c r="B35" s="559"/>
      <c r="C35" s="495"/>
      <c r="D35" s="609" t="s">
        <v>4001</v>
      </c>
      <c r="E35" s="557"/>
      <c r="F35" s="560" t="str">
        <f>IF(PedBerTPN!F13&lt;&gt;0,ROUND(PedBerTPN!F13,0)&amp;" ml","")</f>
        <v/>
      </c>
      <c r="G35" s="557"/>
      <c r="H35" s="557"/>
      <c r="K35" s="564"/>
      <c r="L35" s="564"/>
      <c r="M35" s="564"/>
      <c r="N35" s="564"/>
      <c r="O35" s="564"/>
      <c r="P35" s="564"/>
      <c r="Q35" s="564"/>
      <c r="U35" s="564"/>
      <c r="V35" s="564"/>
      <c r="W35" s="564"/>
    </row>
    <row r="36" spans="2:23" ht="20.100000000000001" customHeight="1" thickTop="1" thickBot="1" x14ac:dyDescent="0.25">
      <c r="B36" s="559"/>
      <c r="C36" s="495"/>
      <c r="D36" s="609" t="s">
        <v>4002</v>
      </c>
      <c r="E36" s="557"/>
      <c r="F36" s="766" t="str">
        <f>IF(PedBerTPN!C14,PedBerTPN!F14&amp;" ml","")</f>
        <v/>
      </c>
      <c r="G36" s="557"/>
      <c r="H36" s="557"/>
      <c r="K36" s="564"/>
      <c r="L36" s="564"/>
      <c r="M36" s="564"/>
      <c r="N36" s="564"/>
      <c r="O36" s="564"/>
      <c r="P36" s="564"/>
      <c r="Q36" s="564"/>
      <c r="R36" s="564"/>
      <c r="S36" s="564"/>
      <c r="T36" s="564"/>
      <c r="U36" s="564"/>
      <c r="V36" s="564"/>
      <c r="W36" s="564"/>
    </row>
    <row r="37" spans="2:23" ht="20.100000000000001" customHeight="1" thickTop="1" thickBot="1" x14ac:dyDescent="0.25">
      <c r="B37" s="559"/>
      <c r="C37" s="495"/>
      <c r="D37" s="609" t="s">
        <v>4003</v>
      </c>
      <c r="E37" s="557"/>
      <c r="F37" s="605" t="str">
        <f>IF(PedBerTPN!C15,PedBerTPN!F15&amp;" ml","")</f>
        <v/>
      </c>
      <c r="G37" s="557"/>
      <c r="H37" s="557"/>
      <c r="K37" s="564"/>
      <c r="L37" s="564"/>
      <c r="M37" s="564"/>
      <c r="N37" s="564"/>
      <c r="O37" s="564"/>
      <c r="P37" s="564"/>
      <c r="Q37" s="564"/>
      <c r="R37" s="564"/>
      <c r="S37" s="564"/>
      <c r="T37" s="564"/>
      <c r="U37" s="564"/>
      <c r="V37" s="564"/>
      <c r="W37" s="564"/>
    </row>
    <row r="38" spans="2:23" ht="9.9499999999999993" customHeight="1" thickTop="1" thickBot="1" x14ac:dyDescent="0.25">
      <c r="B38" s="559"/>
      <c r="F38" s="560"/>
      <c r="K38" s="564"/>
      <c r="L38" s="564"/>
      <c r="M38" s="564"/>
      <c r="N38" s="564"/>
      <c r="O38" s="564"/>
      <c r="P38" s="564"/>
      <c r="Q38" s="564"/>
      <c r="R38" s="564"/>
      <c r="S38" s="564"/>
      <c r="T38" s="564"/>
      <c r="U38" s="564"/>
      <c r="V38" s="564"/>
      <c r="W38" s="564"/>
    </row>
    <row r="39" spans="2:23" ht="20.100000000000001" customHeight="1" thickTop="1" thickBot="1" x14ac:dyDescent="0.25">
      <c r="B39" s="559" t="str">
        <f>IF(OR(E39=0,E39=""),"","verw")</f>
        <v/>
      </c>
      <c r="C39" s="495"/>
      <c r="D39" s="609" t="s">
        <v>4004</v>
      </c>
      <c r="E39" s="834">
        <f>GlobBerOpm!B3</f>
        <v>0</v>
      </c>
      <c r="F39" s="835"/>
      <c r="G39" s="835"/>
      <c r="H39" s="835"/>
      <c r="K39" s="564"/>
      <c r="L39" s="564"/>
      <c r="M39" s="564"/>
      <c r="N39" s="564"/>
      <c r="O39" s="564"/>
      <c r="P39" s="564"/>
      <c r="Q39" s="564"/>
      <c r="R39" s="564"/>
      <c r="S39" s="564"/>
      <c r="T39" s="564"/>
      <c r="U39" s="564"/>
      <c r="V39" s="564"/>
      <c r="W39" s="564"/>
    </row>
    <row r="40" spans="2:23" ht="10.5" customHeight="1" thickTop="1" x14ac:dyDescent="0.2">
      <c r="D40" s="560"/>
      <c r="F40" s="560"/>
      <c r="K40" s="564"/>
      <c r="L40" s="564"/>
      <c r="M40" s="564"/>
      <c r="N40" s="564"/>
      <c r="O40" s="564"/>
      <c r="P40" s="564"/>
      <c r="Q40" s="564"/>
      <c r="R40" s="564"/>
      <c r="S40" s="564"/>
      <c r="T40" s="564"/>
      <c r="U40" s="564"/>
      <c r="V40" s="564"/>
      <c r="W40" s="564"/>
    </row>
    <row r="41" spans="2:23" x14ac:dyDescent="0.2">
      <c r="B41" s="526"/>
      <c r="C41" s="526" t="s">
        <v>269</v>
      </c>
      <c r="D41" s="526"/>
      <c r="E41" s="526" t="str">
        <f>ROUND(PedBerTot!C2,0)&amp;" ml/kg"</f>
        <v>26 ml/kg</v>
      </c>
      <c r="F41" s="526" t="str">
        <f ca="1">ROUND(GlobBerNorm!$A$18,0)&amp;" ml/kg"</f>
        <v>150 ml/kg</v>
      </c>
      <c r="G41" s="526" t="str">
        <f>"= "&amp;ROUND(PedBerTot!C2*_Pat_Gewicht/10,0)&amp;" ml/dag"</f>
        <v>= 26 ml/dag</v>
      </c>
      <c r="H41" s="526"/>
      <c r="I41" s="526" t="s">
        <v>216</v>
      </c>
      <c r="J41" s="526" t="str">
        <f>ROUND(PedBerTot!$C$9,1)&amp;"  gram/kg"</f>
        <v>0  gram/kg</v>
      </c>
      <c r="K41" s="526" t="str">
        <f>IF(_Pat_Gewicht/10&lt;30,"2-2,5 g/kg","1,5 g/kg")</f>
        <v>2-2,5 g/kg</v>
      </c>
      <c r="L41" s="526"/>
    </row>
    <row r="42" spans="2:23" x14ac:dyDescent="0.2">
      <c r="B42" s="526"/>
      <c r="C42" s="526" t="s">
        <v>270</v>
      </c>
      <c r="D42" s="526"/>
      <c r="E42" s="526" t="str">
        <f>ROUND(PedBerTot!E44,0)&amp;" kCal/kg"</f>
        <v>0 kCal/kg</v>
      </c>
      <c r="F42" s="526" t="str">
        <f ca="1">GlobBerNorm!$A$21&amp;" kCal/kg"</f>
        <v>0 kCal/kg</v>
      </c>
      <c r="G42" s="526"/>
      <c r="H42" s="526"/>
      <c r="I42" s="526" t="s">
        <v>217</v>
      </c>
      <c r="J42" s="526" t="str">
        <f>ROUND(PedBerTot!$C$13,1)&amp;" gram/kg"</f>
        <v>0 gram/kg</v>
      </c>
      <c r="K42" s="526" t="str">
        <f>IF(_Pat_Gewicht/10&lt;30,"4 g/kg","2 g/kg")</f>
        <v>4 g/kg</v>
      </c>
      <c r="L42" s="526"/>
    </row>
    <row r="43" spans="2:23" x14ac:dyDescent="0.2">
      <c r="B43" s="526"/>
      <c r="C43" s="526" t="s">
        <v>232</v>
      </c>
      <c r="D43" s="526"/>
      <c r="E43" s="526" t="str">
        <f>ROUND(PedBerTot!C5,1)&amp;" g/kg"</f>
        <v>0 g/kg</v>
      </c>
      <c r="F43" s="526" t="s">
        <v>346</v>
      </c>
      <c r="G43" s="526" t="str">
        <f>"= "&amp;ROUND(PedBerTot!C5/1.4,1)&amp;" mg/kg/min"</f>
        <v>= 0 mg/kg/min</v>
      </c>
      <c r="H43" s="526"/>
      <c r="I43" s="526" t="s">
        <v>218</v>
      </c>
      <c r="J43" s="526" t="str">
        <f>ROUND(PedBerTot!$C$27,1)&amp;" mmol/kg"</f>
        <v>0 mmol/kg</v>
      </c>
      <c r="K43" s="526" t="s">
        <v>421</v>
      </c>
      <c r="L43" s="526"/>
    </row>
    <row r="44" spans="2:23" x14ac:dyDescent="0.2">
      <c r="B44" s="526"/>
      <c r="C44" s="526" t="s">
        <v>271</v>
      </c>
      <c r="D44" s="526"/>
      <c r="E44" s="526" t="str">
        <f>ROUND(PedBerTot!C17,1)&amp;" mmol/kg"</f>
        <v>1,1 mmol/kg</v>
      </c>
      <c r="F44" s="526" t="s">
        <v>340</v>
      </c>
      <c r="G44" s="526"/>
      <c r="H44" s="526"/>
      <c r="I44" s="526" t="s">
        <v>309</v>
      </c>
      <c r="J44" s="526" t="str">
        <f>ROUND(PedBerTot!$C$33,1)&amp;" mmol/kg"</f>
        <v>0 mmol/kg</v>
      </c>
      <c r="K44" s="526" t="s">
        <v>345</v>
      </c>
      <c r="L44" s="526"/>
    </row>
    <row r="45" spans="2:23" x14ac:dyDescent="0.2">
      <c r="B45" s="526"/>
      <c r="C45" s="526" t="s">
        <v>272</v>
      </c>
      <c r="D45" s="526"/>
      <c r="E45" s="526" t="str">
        <f>ROUND(PedBerTot!C23,1)&amp;" mmol/kg"</f>
        <v>0 mmol/kg</v>
      </c>
      <c r="F45" s="526" t="s">
        <v>339</v>
      </c>
      <c r="G45" s="526"/>
      <c r="H45" s="526"/>
      <c r="I45" s="526" t="s">
        <v>219</v>
      </c>
      <c r="J45" s="526" t="str">
        <f>ROUND(PedBerTot!$C$30,1)&amp;" mmol/kg"</f>
        <v>0 mmol/kg</v>
      </c>
      <c r="K45" s="526" t="s">
        <v>344</v>
      </c>
      <c r="L45" s="526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6" type="noConversion"/>
  <conditionalFormatting sqref="K3:L5">
    <cfRule type="expression" dxfId="52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2" sqref="E2"/>
    </sheetView>
  </sheetViews>
  <sheetFormatPr defaultRowHeight="12.75" x14ac:dyDescent="0.2"/>
  <cols>
    <col min="1" max="1" width="13.42578125" style="333" customWidth="1"/>
    <col min="2" max="3" width="9.140625" style="333"/>
    <col min="4" max="4" width="9.42578125" style="333" bestFit="1" customWidth="1"/>
    <col min="5" max="7" width="9.140625" style="333"/>
    <col min="8" max="9" width="10.5703125" style="333" customWidth="1"/>
    <col min="10" max="12" width="12.7109375" style="333" customWidth="1"/>
    <col min="13" max="13" width="28.85546875" style="333" customWidth="1"/>
    <col min="14" max="16384" width="9.140625" style="333"/>
  </cols>
  <sheetData>
    <row r="1" spans="1:25" x14ac:dyDescent="0.2">
      <c r="M1" s="333">
        <v>1</v>
      </c>
      <c r="N1" s="333">
        <v>3</v>
      </c>
      <c r="O1" s="333">
        <v>4</v>
      </c>
      <c r="P1" s="333">
        <v>5</v>
      </c>
      <c r="Q1" s="333">
        <v>6</v>
      </c>
      <c r="R1" s="333">
        <v>7</v>
      </c>
      <c r="S1" s="333">
        <v>8</v>
      </c>
      <c r="T1" s="333">
        <v>9</v>
      </c>
      <c r="U1" s="333">
        <v>10</v>
      </c>
      <c r="V1" s="333">
        <v>11</v>
      </c>
      <c r="W1" s="333">
        <v>12</v>
      </c>
      <c r="X1" s="333">
        <v>13</v>
      </c>
      <c r="Y1" s="333">
        <v>14</v>
      </c>
    </row>
    <row r="2" spans="1:25" x14ac:dyDescent="0.2">
      <c r="A2" s="334"/>
      <c r="B2" s="333" t="s">
        <v>112</v>
      </c>
      <c r="C2" s="333" t="s">
        <v>87</v>
      </c>
      <c r="E2" s="333" t="s">
        <v>276</v>
      </c>
      <c r="F2" s="333" t="s">
        <v>234</v>
      </c>
      <c r="G2" s="334" t="s">
        <v>488</v>
      </c>
      <c r="H2" s="334" t="s">
        <v>3778</v>
      </c>
      <c r="I2" s="334" t="s">
        <v>3987</v>
      </c>
      <c r="J2" s="334" t="s">
        <v>3991</v>
      </c>
      <c r="K2" s="334" t="s">
        <v>3992</v>
      </c>
      <c r="L2" s="334" t="s">
        <v>3993</v>
      </c>
      <c r="M2" s="334" t="s">
        <v>277</v>
      </c>
      <c r="N2" s="20" t="s">
        <v>227</v>
      </c>
      <c r="O2" s="20" t="s">
        <v>189</v>
      </c>
      <c r="P2" s="20" t="s">
        <v>228</v>
      </c>
      <c r="Q2" s="20" t="s">
        <v>190</v>
      </c>
      <c r="R2" s="20" t="s">
        <v>222</v>
      </c>
      <c r="S2" s="20" t="s">
        <v>223</v>
      </c>
      <c r="T2" s="20" t="s">
        <v>224</v>
      </c>
      <c r="U2" s="20" t="s">
        <v>229</v>
      </c>
      <c r="V2" s="20" t="s">
        <v>225</v>
      </c>
      <c r="W2" s="150" t="s">
        <v>851</v>
      </c>
      <c r="X2" s="150" t="s">
        <v>852</v>
      </c>
      <c r="Y2" s="150" t="s">
        <v>569</v>
      </c>
    </row>
    <row r="3" spans="1:25" x14ac:dyDescent="0.2">
      <c r="A3" s="150" t="s">
        <v>277</v>
      </c>
      <c r="B3" s="20">
        <v>1</v>
      </c>
      <c r="C3" s="20">
        <v>0</v>
      </c>
      <c r="D3" s="333">
        <f>IF(C3&lt;51,C3/10,IF(C3&lt;66,(C3-49)+4,IF(C3&lt;82,(C3-61)*5,IF(C3&lt;122,(C3-71)*10,(C3-111)*50))))</f>
        <v>0</v>
      </c>
      <c r="E3" s="20">
        <f>IF(F3&gt;1,B3*D3,0)</f>
        <v>0</v>
      </c>
      <c r="F3" s="333">
        <v>1</v>
      </c>
      <c r="G3" s="333">
        <v>1</v>
      </c>
      <c r="H3" s="333" t="str">
        <f>IF(F3&gt;1,"verw","")</f>
        <v/>
      </c>
      <c r="I3" s="333" t="str">
        <f>IF(G3&gt;1,"verw","")</f>
        <v/>
      </c>
      <c r="J3" s="333" t="str">
        <f>IF(AND(E3&lt;&gt;0,E3&lt;&gt;""),IF(B3=24,"continue drip",B3&amp;" dd"),"")</f>
        <v/>
      </c>
      <c r="K3" s="333" t="str">
        <f>IF(OR(E3=0,E3=""),"",C3&amp;" mL")</f>
        <v/>
      </c>
      <c r="L3" s="333" t="str">
        <f>IF(PedBerEnt!F3&gt;1,PedBerEnt!E3&amp;" mL/dag","")</f>
        <v/>
      </c>
      <c r="M3" s="333">
        <f t="shared" ref="M3:Y3" si="0">INDEX(Tbl_Ped_Voeding,$F3,M$1)</f>
        <v>0</v>
      </c>
      <c r="N3" s="333">
        <f t="shared" si="0"/>
        <v>0</v>
      </c>
      <c r="O3" s="333">
        <f t="shared" si="0"/>
        <v>0</v>
      </c>
      <c r="P3" s="333">
        <f t="shared" si="0"/>
        <v>0</v>
      </c>
      <c r="Q3" s="333">
        <f t="shared" si="0"/>
        <v>0</v>
      </c>
      <c r="R3" s="333">
        <f t="shared" si="0"/>
        <v>0</v>
      </c>
      <c r="S3" s="333">
        <f t="shared" si="0"/>
        <v>0</v>
      </c>
      <c r="T3" s="333">
        <f t="shared" si="0"/>
        <v>0</v>
      </c>
      <c r="U3" s="333">
        <f t="shared" si="0"/>
        <v>0</v>
      </c>
      <c r="V3" s="333">
        <f t="shared" si="0"/>
        <v>0</v>
      </c>
      <c r="W3" s="333">
        <f t="shared" si="0"/>
        <v>0</v>
      </c>
      <c r="X3" s="333">
        <f t="shared" si="0"/>
        <v>0</v>
      </c>
      <c r="Y3" s="333">
        <f t="shared" si="0"/>
        <v>0</v>
      </c>
    </row>
    <row r="4" spans="1:25" x14ac:dyDescent="0.2">
      <c r="A4" s="150" t="s">
        <v>4585</v>
      </c>
      <c r="B4" s="333">
        <v>1</v>
      </c>
      <c r="C4" s="333">
        <v>0</v>
      </c>
      <c r="D4" s="333">
        <f>IF(C4&lt;51,C4/10,IF(C4&lt;66,(C4-49)+4,IF(C4&lt;82,(C4-61)*5,IF(C4&lt;122,(C4-71)*10,(C4-111)*50))))</f>
        <v>0</v>
      </c>
      <c r="E4" s="20">
        <f>IF(F4&gt;1,B4*D4,0)</f>
        <v>0</v>
      </c>
      <c r="F4" s="333">
        <v>1</v>
      </c>
      <c r="H4" s="333" t="str">
        <f t="shared" ref="H4:H6" si="1">IF(F4&gt;1,"verw","")</f>
        <v/>
      </c>
      <c r="J4" s="333" t="str">
        <f t="shared" ref="J4:J6" si="2">IF(AND(E4&lt;&gt;0,E4&lt;&gt;""),B4&amp;" dd","")</f>
        <v/>
      </c>
      <c r="K4" s="333" t="str">
        <f t="shared" ref="K4:K6" si="3">IF(OR(E4=0,E4=""),"",C4&amp;" mL")</f>
        <v/>
      </c>
      <c r="L4" s="333" t="str">
        <f>IF(PedBerEnt!F4&gt;1,PedBerEnt!E4&amp;" gram/dag","")</f>
        <v/>
      </c>
      <c r="M4" s="333">
        <f t="shared" ref="M4:Y6" si="4">INDEX(Tbl_Ped_Poeder,$F4,M$1)</f>
        <v>0</v>
      </c>
      <c r="N4" s="333">
        <f t="shared" si="4"/>
        <v>0</v>
      </c>
      <c r="O4" s="333">
        <f t="shared" si="4"/>
        <v>0</v>
      </c>
      <c r="P4" s="333">
        <f t="shared" si="4"/>
        <v>0</v>
      </c>
      <c r="Q4" s="333">
        <f t="shared" si="4"/>
        <v>0</v>
      </c>
      <c r="R4" s="333">
        <f t="shared" si="4"/>
        <v>0</v>
      </c>
      <c r="S4" s="333">
        <f t="shared" si="4"/>
        <v>0</v>
      </c>
      <c r="T4" s="333">
        <f t="shared" si="4"/>
        <v>0</v>
      </c>
      <c r="U4" s="333">
        <f t="shared" si="4"/>
        <v>0</v>
      </c>
      <c r="V4" s="333">
        <f t="shared" si="4"/>
        <v>0</v>
      </c>
      <c r="W4" s="333">
        <f t="shared" si="4"/>
        <v>0</v>
      </c>
      <c r="X4" s="333">
        <f t="shared" si="4"/>
        <v>0</v>
      </c>
      <c r="Y4" s="333">
        <f t="shared" si="4"/>
        <v>0</v>
      </c>
    </row>
    <row r="5" spans="1:25" x14ac:dyDescent="0.2">
      <c r="A5" s="150" t="s">
        <v>4586</v>
      </c>
      <c r="B5" s="333">
        <v>1</v>
      </c>
      <c r="C5" s="333">
        <v>0</v>
      </c>
      <c r="D5" s="333">
        <f>IF(C5&lt;51,C5/10,IF(C5&lt;66,(C5-49)+4,IF(C5&lt;82,(C5-61)*5,IF(C5&lt;122,(C5-71)*10,(C5-111)*50))))</f>
        <v>0</v>
      </c>
      <c r="E5" s="20">
        <f>IF(F5&gt;1,B5*D5,0)</f>
        <v>0</v>
      </c>
      <c r="F5" s="333">
        <v>1</v>
      </c>
      <c r="H5" s="333" t="str">
        <f t="shared" si="1"/>
        <v/>
      </c>
      <c r="J5" s="333" t="str">
        <f t="shared" si="2"/>
        <v/>
      </c>
      <c r="K5" s="333" t="str">
        <f t="shared" si="3"/>
        <v/>
      </c>
      <c r="L5" s="333" t="str">
        <f>IF(PedBerEnt!F5&gt;1,PedBerEnt!E5&amp;" gram/dag","")</f>
        <v/>
      </c>
      <c r="M5" s="333">
        <f t="shared" si="4"/>
        <v>0</v>
      </c>
      <c r="N5" s="333">
        <f t="shared" si="4"/>
        <v>0</v>
      </c>
      <c r="O5" s="333">
        <f t="shared" si="4"/>
        <v>0</v>
      </c>
      <c r="P5" s="333">
        <f t="shared" si="4"/>
        <v>0</v>
      </c>
      <c r="Q5" s="333">
        <f t="shared" si="4"/>
        <v>0</v>
      </c>
      <c r="R5" s="333">
        <f t="shared" si="4"/>
        <v>0</v>
      </c>
      <c r="S5" s="333">
        <f t="shared" si="4"/>
        <v>0</v>
      </c>
      <c r="T5" s="333">
        <f t="shared" si="4"/>
        <v>0</v>
      </c>
      <c r="U5" s="333">
        <f t="shared" si="4"/>
        <v>0</v>
      </c>
      <c r="V5" s="333">
        <f t="shared" si="4"/>
        <v>0</v>
      </c>
      <c r="W5" s="333">
        <f t="shared" si="4"/>
        <v>0</v>
      </c>
      <c r="X5" s="333">
        <f t="shared" si="4"/>
        <v>0</v>
      </c>
      <c r="Y5" s="333">
        <f t="shared" si="4"/>
        <v>0</v>
      </c>
    </row>
    <row r="6" spans="1:25" x14ac:dyDescent="0.2">
      <c r="A6" s="150" t="s">
        <v>4587</v>
      </c>
      <c r="B6" s="333">
        <v>1</v>
      </c>
      <c r="C6" s="333">
        <v>0</v>
      </c>
      <c r="D6" s="333">
        <f>IF(C6&lt;51,C6/10,IF(C6&lt;66,(C6-49)+4,IF(C6&lt;82,(C6-61)*5,IF(C6&lt;122,(C6-71)*10,(C6-111)*50))))</f>
        <v>0</v>
      </c>
      <c r="E6" s="20">
        <f>IF(F6&gt;1,B6*D6,0)</f>
        <v>0</v>
      </c>
      <c r="F6" s="333">
        <v>1</v>
      </c>
      <c r="H6" s="333" t="str">
        <f t="shared" si="1"/>
        <v/>
      </c>
      <c r="J6" s="333" t="str">
        <f t="shared" si="2"/>
        <v/>
      </c>
      <c r="K6" s="333" t="str">
        <f t="shared" si="3"/>
        <v/>
      </c>
      <c r="L6" s="333" t="str">
        <f>IF(PedBerEnt!F6&gt;1,PedBerEnt!E6&amp;" gram/dag","")</f>
        <v/>
      </c>
      <c r="M6" s="333">
        <f t="shared" si="4"/>
        <v>0</v>
      </c>
      <c r="N6" s="333">
        <f t="shared" si="4"/>
        <v>0</v>
      </c>
      <c r="O6" s="333">
        <f t="shared" si="4"/>
        <v>0</v>
      </c>
      <c r="P6" s="333">
        <f t="shared" si="4"/>
        <v>0</v>
      </c>
      <c r="Q6" s="333">
        <f t="shared" si="4"/>
        <v>0</v>
      </c>
      <c r="R6" s="333">
        <f t="shared" si="4"/>
        <v>0</v>
      </c>
      <c r="S6" s="333">
        <f t="shared" si="4"/>
        <v>0</v>
      </c>
      <c r="T6" s="333">
        <f t="shared" si="4"/>
        <v>0</v>
      </c>
      <c r="U6" s="333">
        <f t="shared" si="4"/>
        <v>0</v>
      </c>
      <c r="V6" s="333">
        <f t="shared" si="4"/>
        <v>0</v>
      </c>
      <c r="W6" s="333">
        <f t="shared" si="4"/>
        <v>0</v>
      </c>
      <c r="X6" s="333">
        <f t="shared" si="4"/>
        <v>0</v>
      </c>
      <c r="Y6" s="333">
        <f t="shared" si="4"/>
        <v>0</v>
      </c>
    </row>
    <row r="7" spans="1:25" x14ac:dyDescent="0.2">
      <c r="A7" s="150" t="s">
        <v>215</v>
      </c>
      <c r="E7" s="150">
        <f>E3</f>
        <v>0</v>
      </c>
      <c r="N7" s="333">
        <f>SUM(N3:N6)</f>
        <v>0</v>
      </c>
      <c r="O7" s="333">
        <f t="shared" ref="O7:Y7" si="5">SUM(O3:O6)</f>
        <v>0</v>
      </c>
      <c r="P7" s="333">
        <f t="shared" si="5"/>
        <v>0</v>
      </c>
      <c r="Q7" s="333">
        <f t="shared" si="5"/>
        <v>0</v>
      </c>
      <c r="R7" s="333">
        <f t="shared" si="5"/>
        <v>0</v>
      </c>
      <c r="S7" s="333">
        <f t="shared" si="5"/>
        <v>0</v>
      </c>
      <c r="T7" s="333">
        <f t="shared" si="5"/>
        <v>0</v>
      </c>
      <c r="U7" s="333">
        <f t="shared" si="5"/>
        <v>0</v>
      </c>
      <c r="V7" s="333">
        <f t="shared" si="5"/>
        <v>0</v>
      </c>
      <c r="W7" s="333">
        <f t="shared" si="5"/>
        <v>0</v>
      </c>
      <c r="X7" s="333">
        <f t="shared" si="5"/>
        <v>0</v>
      </c>
      <c r="Y7" s="333">
        <f t="shared" si="5"/>
        <v>0</v>
      </c>
    </row>
    <row r="8" spans="1:25" x14ac:dyDescent="0.2">
      <c r="A8" s="150" t="s">
        <v>440</v>
      </c>
      <c r="H8" s="333" t="str">
        <f>IF(ISBLANK(_Ped_Ent_Opm),"","verw")</f>
        <v/>
      </c>
    </row>
    <row r="9" spans="1:25" x14ac:dyDescent="0.2">
      <c r="A9" s="20"/>
    </row>
    <row r="10" spans="1:25" ht="15" x14ac:dyDescent="0.25">
      <c r="A10" s="644" t="s">
        <v>227</v>
      </c>
      <c r="B10" s="333">
        <f>_Glob_SpecialeVoeding_01</f>
        <v>0</v>
      </c>
    </row>
    <row r="11" spans="1:25" ht="15" x14ac:dyDescent="0.25">
      <c r="A11" s="644" t="s">
        <v>189</v>
      </c>
      <c r="B11" s="333">
        <f>_Glob_SpecialeVoeding_02</f>
        <v>0</v>
      </c>
    </row>
    <row r="12" spans="1:25" ht="15" x14ac:dyDescent="0.25">
      <c r="A12" s="644" t="s">
        <v>228</v>
      </c>
      <c r="B12" s="333">
        <f>_Glob_SpecialeVoeding_03</f>
        <v>0</v>
      </c>
    </row>
    <row r="13" spans="1:25" ht="15" x14ac:dyDescent="0.25">
      <c r="A13" s="644" t="s">
        <v>190</v>
      </c>
      <c r="B13" s="333">
        <f>_Glob_SpecialeVoeding_04</f>
        <v>0</v>
      </c>
    </row>
    <row r="14" spans="1:25" ht="15" x14ac:dyDescent="0.25">
      <c r="A14" s="644" t="s">
        <v>222</v>
      </c>
      <c r="B14" s="333">
        <f>_Glob_SpecialeVoeding_05</f>
        <v>0</v>
      </c>
    </row>
    <row r="15" spans="1:25" ht="15" x14ac:dyDescent="0.25">
      <c r="A15" s="644" t="s">
        <v>223</v>
      </c>
      <c r="B15" s="333">
        <f>_Glob_SpecialeVoeding_06</f>
        <v>0</v>
      </c>
    </row>
    <row r="16" spans="1:25" ht="15" x14ac:dyDescent="0.25">
      <c r="A16" s="644" t="s">
        <v>224</v>
      </c>
      <c r="B16" s="333">
        <f>_Glob_SpecialeVoeding_07</f>
        <v>0</v>
      </c>
    </row>
    <row r="17" spans="1:2" ht="15" x14ac:dyDescent="0.25">
      <c r="A17" s="644" t="s">
        <v>229</v>
      </c>
      <c r="B17" s="333">
        <f>_Glob_SpecialeVoeding_08</f>
        <v>0</v>
      </c>
    </row>
    <row r="18" spans="1:2" ht="15" x14ac:dyDescent="0.25">
      <c r="A18" s="644" t="s">
        <v>225</v>
      </c>
      <c r="B18" s="333">
        <f>_Glob_SpecialeVoeding_09</f>
        <v>0</v>
      </c>
    </row>
    <row r="19" spans="1:2" ht="15" x14ac:dyDescent="0.25">
      <c r="A19" s="644" t="s">
        <v>851</v>
      </c>
      <c r="B19" s="333">
        <f>_Glob_SpecialeVoeding_10</f>
        <v>0</v>
      </c>
    </row>
    <row r="20" spans="1:2" ht="15" x14ac:dyDescent="0.25">
      <c r="A20" s="644" t="s">
        <v>852</v>
      </c>
      <c r="B20" s="333">
        <f>_Glob_SpecialeVoeding_11</f>
        <v>0</v>
      </c>
    </row>
    <row r="21" spans="1:2" ht="15" x14ac:dyDescent="0.25">
      <c r="A21" s="644" t="s">
        <v>569</v>
      </c>
      <c r="B21" s="333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8" sqref="A28:I28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3" x14ac:dyDescent="0.2">
      <c r="A1" s="351"/>
      <c r="G1" s="310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311" t="s">
        <v>4606</v>
      </c>
    </row>
    <row r="2" spans="1:33" ht="25.5" x14ac:dyDescent="0.2">
      <c r="B2" t="s">
        <v>234</v>
      </c>
      <c r="C2" t="s">
        <v>113</v>
      </c>
      <c r="D2" s="149" t="s">
        <v>3983</v>
      </c>
      <c r="E2" s="19" t="s">
        <v>108</v>
      </c>
      <c r="F2" t="s">
        <v>304</v>
      </c>
      <c r="G2" s="311" t="s">
        <v>453</v>
      </c>
      <c r="H2" t="s">
        <v>227</v>
      </c>
      <c r="I2" t="s">
        <v>189</v>
      </c>
      <c r="J2" t="s">
        <v>228</v>
      </c>
      <c r="K2" t="s">
        <v>190</v>
      </c>
      <c r="L2" t="s">
        <v>222</v>
      </c>
      <c r="M2" t="s">
        <v>223</v>
      </c>
      <c r="N2" t="s">
        <v>224</v>
      </c>
      <c r="O2" t="s">
        <v>229</v>
      </c>
      <c r="P2" t="s">
        <v>225</v>
      </c>
      <c r="Q2" t="s">
        <v>851</v>
      </c>
      <c r="R2" t="s">
        <v>852</v>
      </c>
      <c r="S2" t="s">
        <v>569</v>
      </c>
      <c r="U2" s="311" t="s">
        <v>182</v>
      </c>
      <c r="V2" t="s">
        <v>227</v>
      </c>
      <c r="W2" t="s">
        <v>189</v>
      </c>
      <c r="X2" t="s">
        <v>228</v>
      </c>
      <c r="Y2" t="s">
        <v>190</v>
      </c>
      <c r="Z2" t="s">
        <v>222</v>
      </c>
      <c r="AA2" t="s">
        <v>223</v>
      </c>
      <c r="AB2" t="s">
        <v>224</v>
      </c>
      <c r="AC2" t="s">
        <v>229</v>
      </c>
      <c r="AD2" t="s">
        <v>225</v>
      </c>
      <c r="AE2" t="s">
        <v>851</v>
      </c>
      <c r="AF2" t="s">
        <v>852</v>
      </c>
      <c r="AG2" t="s">
        <v>569</v>
      </c>
    </row>
    <row r="3" spans="1:33" x14ac:dyDescent="0.2">
      <c r="A3" t="s">
        <v>333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310"/>
      <c r="H3" s="310">
        <f t="shared" ref="H3:S12" si="0">IF($G3=0,0,VLOOKUP($G3,Tbl_Glob_ParEnt,H$1,FALSE))*$F3</f>
        <v>0</v>
      </c>
      <c r="I3" s="310">
        <f t="shared" si="0"/>
        <v>0</v>
      </c>
      <c r="J3" s="310">
        <f t="shared" si="0"/>
        <v>0</v>
      </c>
      <c r="K3" s="310">
        <f t="shared" si="0"/>
        <v>0</v>
      </c>
      <c r="L3" s="310">
        <f t="shared" si="0"/>
        <v>0</v>
      </c>
      <c r="M3" s="310">
        <f t="shared" si="0"/>
        <v>0</v>
      </c>
      <c r="N3" s="310">
        <f t="shared" si="0"/>
        <v>0</v>
      </c>
      <c r="O3" s="310">
        <f t="shared" si="0"/>
        <v>0</v>
      </c>
      <c r="P3" s="310">
        <f t="shared" si="0"/>
        <v>0</v>
      </c>
      <c r="Q3" s="310">
        <f t="shared" si="0"/>
        <v>0</v>
      </c>
      <c r="R3" s="310">
        <f t="shared" si="0"/>
        <v>0</v>
      </c>
      <c r="S3" s="310">
        <f t="shared" si="0"/>
        <v>0</v>
      </c>
      <c r="U3" s="310">
        <f t="shared" ref="U3:U22" si="1">IF(_Pat_Gewicht&gt;0,F3/(_Pat_Gewicht/10),0)</f>
        <v>0</v>
      </c>
      <c r="V3">
        <f t="shared" ref="V3:V22" si="2">IF(_Pat_Gewicht&gt;0,H3/(_Pat_Gewicht/10),0)</f>
        <v>0</v>
      </c>
      <c r="W3" s="310">
        <f t="shared" ref="W3:W22" si="3">IF(_Pat_Gewicht&gt;0,I3/(_Pat_Gewicht/10),0)</f>
        <v>0</v>
      </c>
      <c r="X3" s="310">
        <f t="shared" ref="X3:X22" si="4">IF(_Pat_Gewicht&gt;0,J3/(_Pat_Gewicht/10),0)</f>
        <v>0</v>
      </c>
      <c r="Y3" s="310">
        <f t="shared" ref="Y3:Y22" si="5">IF(_Pat_Gewicht&gt;0,K3/(_Pat_Gewicht/10),0)</f>
        <v>0</v>
      </c>
      <c r="Z3" s="310">
        <f t="shared" ref="Z3:Z22" si="6">IF(_Pat_Gewicht&gt;0,L3/(_Pat_Gewicht/10),0)</f>
        <v>0</v>
      </c>
      <c r="AA3" s="310">
        <f t="shared" ref="AA3:AA22" si="7">IF(_Pat_Gewicht&gt;0,M3/(_Pat_Gewicht/10),0)</f>
        <v>0</v>
      </c>
      <c r="AB3" s="310">
        <f t="shared" ref="AB3:AB22" si="8">IF(_Pat_Gewicht&gt;0,N3/(_Pat_Gewicht/10),0)</f>
        <v>0</v>
      </c>
      <c r="AC3" s="310">
        <f t="shared" ref="AC3:AC22" si="9">IF(_Pat_Gewicht&gt;0,O3/(_Pat_Gewicht/10),0)</f>
        <v>0</v>
      </c>
      <c r="AD3" s="310">
        <f t="shared" ref="AD3:AD22" si="10">IF(_Pat_Gewicht&gt;0,P3/(_Pat_Gewicht/10),0)</f>
        <v>0</v>
      </c>
      <c r="AE3" s="310">
        <f t="shared" ref="AE3:AE22" si="11">IF(_Pat_Gewicht&gt;0,Q3/(_Pat_Gewicht/10),0)</f>
        <v>0</v>
      </c>
      <c r="AF3" s="310">
        <f t="shared" ref="AF3:AF22" si="12">IF(_Pat_Gewicht&gt;0,R3/(_Pat_Gewicht/10),0)</f>
        <v>0</v>
      </c>
      <c r="AG3" s="310">
        <f t="shared" ref="AG3:AG22" si="13">IF(_Pat_Gewicht&gt;0,S3/(_Pat_Gewicht/10),0)</f>
        <v>0</v>
      </c>
    </row>
    <row r="4" spans="1:33" x14ac:dyDescent="0.2">
      <c r="A4" t="s">
        <v>226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310">
        <f>INDEX(Tbl_Ped_TPN,B4,1)</f>
        <v>0</v>
      </c>
      <c r="H4" s="310">
        <f t="shared" si="0"/>
        <v>0</v>
      </c>
      <c r="I4" s="310">
        <f t="shared" si="0"/>
        <v>0</v>
      </c>
      <c r="J4" s="310">
        <f t="shared" si="0"/>
        <v>0</v>
      </c>
      <c r="K4" s="310">
        <f t="shared" si="0"/>
        <v>0</v>
      </c>
      <c r="L4" s="310">
        <f t="shared" si="0"/>
        <v>0</v>
      </c>
      <c r="M4" s="310">
        <f t="shared" si="0"/>
        <v>0</v>
      </c>
      <c r="N4" s="310">
        <f t="shared" si="0"/>
        <v>0</v>
      </c>
      <c r="O4" s="310">
        <f t="shared" si="0"/>
        <v>0</v>
      </c>
      <c r="P4" s="310">
        <f t="shared" si="0"/>
        <v>0</v>
      </c>
      <c r="Q4" s="310">
        <f t="shared" si="0"/>
        <v>0</v>
      </c>
      <c r="R4" s="310">
        <f t="shared" si="0"/>
        <v>0</v>
      </c>
      <c r="S4" s="310">
        <f t="shared" si="0"/>
        <v>0</v>
      </c>
      <c r="U4" s="310">
        <f t="shared" si="1"/>
        <v>0</v>
      </c>
      <c r="V4" s="310">
        <f t="shared" si="2"/>
        <v>0</v>
      </c>
      <c r="W4" s="310">
        <f t="shared" si="3"/>
        <v>0</v>
      </c>
      <c r="X4" s="310">
        <f t="shared" si="4"/>
        <v>0</v>
      </c>
      <c r="Y4" s="310">
        <f t="shared" si="5"/>
        <v>0</v>
      </c>
      <c r="Z4" s="310">
        <f t="shared" si="6"/>
        <v>0</v>
      </c>
      <c r="AA4" s="310">
        <f t="shared" si="7"/>
        <v>0</v>
      </c>
      <c r="AB4" s="310">
        <f t="shared" si="8"/>
        <v>0</v>
      </c>
      <c r="AC4" s="310">
        <f t="shared" si="9"/>
        <v>0</v>
      </c>
      <c r="AD4" s="310">
        <f t="shared" si="10"/>
        <v>0</v>
      </c>
      <c r="AE4" s="310">
        <f t="shared" si="11"/>
        <v>0</v>
      </c>
      <c r="AF4" s="310">
        <f t="shared" si="12"/>
        <v>0</v>
      </c>
      <c r="AG4" s="310">
        <f t="shared" si="13"/>
        <v>0</v>
      </c>
    </row>
    <row r="5" spans="1:33" x14ac:dyDescent="0.2">
      <c r="A5" t="s">
        <v>303</v>
      </c>
      <c r="E5">
        <v>0</v>
      </c>
      <c r="F5">
        <f>IF(AND(_Pat_Gewicht/10&gt;=16,_Ped_TPN_Keuze&gt;1,OR(_Ped_TPN_SST1Keuze&lt;11,_Pat_Gewicht/10&gt;50)),E5,0)</f>
        <v>0</v>
      </c>
      <c r="G5" s="310"/>
      <c r="H5" s="310">
        <f t="shared" si="0"/>
        <v>0</v>
      </c>
      <c r="I5" s="310">
        <f t="shared" si="0"/>
        <v>0</v>
      </c>
      <c r="J5" s="310">
        <f t="shared" si="0"/>
        <v>0</v>
      </c>
      <c r="K5" s="310">
        <f t="shared" si="0"/>
        <v>0</v>
      </c>
      <c r="L5" s="310">
        <f t="shared" si="0"/>
        <v>0</v>
      </c>
      <c r="M5" s="310">
        <f t="shared" si="0"/>
        <v>0</v>
      </c>
      <c r="N5" s="310">
        <f t="shared" si="0"/>
        <v>0</v>
      </c>
      <c r="O5" s="310">
        <f t="shared" si="0"/>
        <v>0</v>
      </c>
      <c r="P5" s="310">
        <f t="shared" si="0"/>
        <v>0</v>
      </c>
      <c r="Q5" s="310">
        <f t="shared" si="0"/>
        <v>0</v>
      </c>
      <c r="R5" s="310">
        <f t="shared" si="0"/>
        <v>0</v>
      </c>
      <c r="S5" s="310">
        <f t="shared" si="0"/>
        <v>0</v>
      </c>
      <c r="U5" s="310">
        <f t="shared" si="1"/>
        <v>0</v>
      </c>
      <c r="V5" s="310">
        <f t="shared" si="2"/>
        <v>0</v>
      </c>
      <c r="W5" s="310">
        <f t="shared" si="3"/>
        <v>0</v>
      </c>
      <c r="X5" s="310">
        <f t="shared" si="4"/>
        <v>0</v>
      </c>
      <c r="Y5" s="310">
        <f t="shared" si="5"/>
        <v>0</v>
      </c>
      <c r="Z5" s="310">
        <f t="shared" si="6"/>
        <v>0</v>
      </c>
      <c r="AA5" s="310">
        <f t="shared" si="7"/>
        <v>0</v>
      </c>
      <c r="AB5" s="310">
        <f t="shared" si="8"/>
        <v>0</v>
      </c>
      <c r="AC5" s="310">
        <f t="shared" si="9"/>
        <v>0</v>
      </c>
      <c r="AD5" s="310">
        <f t="shared" si="10"/>
        <v>0</v>
      </c>
      <c r="AE5" s="310">
        <f t="shared" si="11"/>
        <v>0</v>
      </c>
      <c r="AF5" s="310">
        <f t="shared" si="12"/>
        <v>0</v>
      </c>
      <c r="AG5" s="310">
        <f t="shared" si="13"/>
        <v>0</v>
      </c>
    </row>
    <row r="6" spans="1:33" x14ac:dyDescent="0.2">
      <c r="A6" s="351" t="s">
        <v>287</v>
      </c>
      <c r="B6">
        <v>1</v>
      </c>
      <c r="F6">
        <f>IF(_Pat_Gewicht/10&gt;50,F3-F7-F8-F9-F10,IF(OR(_Ped_TPN_Keuze=1,_Ped_TPN_SST1Keuze&gt;=11),F3-F7-F8-F9-F10,F3-F4-F5-F7-F8))</f>
        <v>0</v>
      </c>
      <c r="G6" s="310">
        <f>INDEX(Tbl_Ped_SST,B6,1)</f>
        <v>0</v>
      </c>
      <c r="H6" s="310">
        <f t="shared" si="0"/>
        <v>0</v>
      </c>
      <c r="I6" s="310">
        <f t="shared" si="0"/>
        <v>0</v>
      </c>
      <c r="J6" s="310">
        <f t="shared" si="0"/>
        <v>0</v>
      </c>
      <c r="K6" s="310">
        <f t="shared" si="0"/>
        <v>0</v>
      </c>
      <c r="L6" s="310">
        <f t="shared" si="0"/>
        <v>0</v>
      </c>
      <c r="M6" s="310">
        <f t="shared" si="0"/>
        <v>0</v>
      </c>
      <c r="N6" s="310">
        <f t="shared" si="0"/>
        <v>0</v>
      </c>
      <c r="O6" s="310">
        <f t="shared" si="0"/>
        <v>0</v>
      </c>
      <c r="P6" s="310">
        <f t="shared" si="0"/>
        <v>0</v>
      </c>
      <c r="Q6" s="310">
        <f t="shared" si="0"/>
        <v>0</v>
      </c>
      <c r="R6" s="310">
        <f t="shared" si="0"/>
        <v>0</v>
      </c>
      <c r="S6" s="310">
        <f t="shared" si="0"/>
        <v>0</v>
      </c>
      <c r="U6" s="310">
        <f t="shared" si="1"/>
        <v>0</v>
      </c>
      <c r="V6" s="310">
        <f t="shared" si="2"/>
        <v>0</v>
      </c>
      <c r="W6" s="310">
        <f t="shared" si="3"/>
        <v>0</v>
      </c>
      <c r="X6" s="310">
        <f t="shared" si="4"/>
        <v>0</v>
      </c>
      <c r="Y6" s="310">
        <f t="shared" si="5"/>
        <v>0</v>
      </c>
      <c r="Z6" s="310">
        <f t="shared" si="6"/>
        <v>0</v>
      </c>
      <c r="AA6" s="310">
        <f t="shared" si="7"/>
        <v>0</v>
      </c>
      <c r="AB6" s="310">
        <f t="shared" si="8"/>
        <v>0</v>
      </c>
      <c r="AC6" s="310">
        <f t="shared" si="9"/>
        <v>0</v>
      </c>
      <c r="AD6" s="310">
        <f t="shared" si="10"/>
        <v>0</v>
      </c>
      <c r="AE6" s="310">
        <f t="shared" si="11"/>
        <v>0</v>
      </c>
      <c r="AF6" s="310">
        <f t="shared" si="12"/>
        <v>0</v>
      </c>
      <c r="AG6" s="310">
        <f t="shared" si="13"/>
        <v>0</v>
      </c>
    </row>
    <row r="7" spans="1:33" x14ac:dyDescent="0.2">
      <c r="A7" t="s">
        <v>328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310" t="str">
        <f>A7</f>
        <v>NaCl 2,9%</v>
      </c>
      <c r="H7" s="310">
        <f t="shared" si="0"/>
        <v>0</v>
      </c>
      <c r="I7" s="310">
        <f t="shared" si="0"/>
        <v>0</v>
      </c>
      <c r="J7" s="310">
        <f t="shared" si="0"/>
        <v>0</v>
      </c>
      <c r="K7" s="310">
        <f t="shared" si="0"/>
        <v>0</v>
      </c>
      <c r="L7" s="310">
        <f t="shared" si="0"/>
        <v>0</v>
      </c>
      <c r="M7" s="310">
        <f t="shared" si="0"/>
        <v>0</v>
      </c>
      <c r="N7" s="310">
        <f t="shared" si="0"/>
        <v>0</v>
      </c>
      <c r="O7" s="310">
        <f t="shared" si="0"/>
        <v>0</v>
      </c>
      <c r="P7" s="310">
        <f t="shared" si="0"/>
        <v>0</v>
      </c>
      <c r="Q7" s="310">
        <f t="shared" si="0"/>
        <v>0</v>
      </c>
      <c r="R7" s="310">
        <f t="shared" si="0"/>
        <v>0</v>
      </c>
      <c r="S7" s="310">
        <f t="shared" si="0"/>
        <v>0</v>
      </c>
      <c r="U7" s="310">
        <f t="shared" si="1"/>
        <v>0</v>
      </c>
      <c r="V7" s="310">
        <f t="shared" si="2"/>
        <v>0</v>
      </c>
      <c r="W7" s="310">
        <f t="shared" si="3"/>
        <v>0</v>
      </c>
      <c r="X7" s="310">
        <f t="shared" si="4"/>
        <v>0</v>
      </c>
      <c r="Y7" s="310">
        <f t="shared" si="5"/>
        <v>0</v>
      </c>
      <c r="Z7" s="310">
        <f t="shared" si="6"/>
        <v>0</v>
      </c>
      <c r="AA7" s="310">
        <f t="shared" si="7"/>
        <v>0</v>
      </c>
      <c r="AB7" s="310">
        <f t="shared" si="8"/>
        <v>0</v>
      </c>
      <c r="AC7" s="310">
        <f t="shared" si="9"/>
        <v>0</v>
      </c>
      <c r="AD7" s="310">
        <f t="shared" si="10"/>
        <v>0</v>
      </c>
      <c r="AE7" s="310">
        <f t="shared" si="11"/>
        <v>0</v>
      </c>
      <c r="AF7" s="310">
        <f t="shared" si="12"/>
        <v>0</v>
      </c>
      <c r="AG7" s="310">
        <f t="shared" si="13"/>
        <v>0</v>
      </c>
    </row>
    <row r="8" spans="1:33" x14ac:dyDescent="0.2">
      <c r="A8" t="s">
        <v>220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310" t="str">
        <f t="shared" ref="G8:G11" si="14">A8</f>
        <v>KCl 7,4%</v>
      </c>
      <c r="H8" s="310">
        <f t="shared" si="0"/>
        <v>0</v>
      </c>
      <c r="I8" s="310">
        <f t="shared" si="0"/>
        <v>0</v>
      </c>
      <c r="J8" s="310">
        <f t="shared" si="0"/>
        <v>0</v>
      </c>
      <c r="K8" s="310">
        <f t="shared" si="0"/>
        <v>0</v>
      </c>
      <c r="L8" s="310">
        <f t="shared" si="0"/>
        <v>0</v>
      </c>
      <c r="M8" s="310">
        <f t="shared" si="0"/>
        <v>0</v>
      </c>
      <c r="N8" s="310">
        <f t="shared" si="0"/>
        <v>0</v>
      </c>
      <c r="O8" s="310">
        <f t="shared" si="0"/>
        <v>0</v>
      </c>
      <c r="P8" s="310">
        <f t="shared" si="0"/>
        <v>0</v>
      </c>
      <c r="Q8" s="310">
        <f t="shared" si="0"/>
        <v>0</v>
      </c>
      <c r="R8" s="310">
        <f t="shared" si="0"/>
        <v>0</v>
      </c>
      <c r="S8" s="310">
        <f t="shared" si="0"/>
        <v>0</v>
      </c>
      <c r="U8" s="310">
        <f t="shared" si="1"/>
        <v>0</v>
      </c>
      <c r="V8" s="310">
        <f t="shared" si="2"/>
        <v>0</v>
      </c>
      <c r="W8" s="310">
        <f t="shared" si="3"/>
        <v>0</v>
      </c>
      <c r="X8" s="310">
        <f t="shared" si="4"/>
        <v>0</v>
      </c>
      <c r="Y8" s="310">
        <f t="shared" si="5"/>
        <v>0</v>
      </c>
      <c r="Z8" s="310">
        <f t="shared" si="6"/>
        <v>0</v>
      </c>
      <c r="AA8" s="310">
        <f t="shared" si="7"/>
        <v>0</v>
      </c>
      <c r="AB8" s="310">
        <f t="shared" si="8"/>
        <v>0</v>
      </c>
      <c r="AC8" s="310">
        <f t="shared" si="9"/>
        <v>0</v>
      </c>
      <c r="AD8" s="310">
        <f t="shared" si="10"/>
        <v>0</v>
      </c>
      <c r="AE8" s="310">
        <f t="shared" si="11"/>
        <v>0</v>
      </c>
      <c r="AF8" s="310">
        <f t="shared" si="12"/>
        <v>0</v>
      </c>
      <c r="AG8" s="310">
        <f t="shared" si="13"/>
        <v>0</v>
      </c>
    </row>
    <row r="9" spans="1:33" x14ac:dyDescent="0.2">
      <c r="A9" t="s">
        <v>329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310" t="str">
        <f t="shared" si="14"/>
        <v>CaGluc 10%</v>
      </c>
      <c r="H9" s="310">
        <f t="shared" si="0"/>
        <v>0</v>
      </c>
      <c r="I9" s="310">
        <f t="shared" si="0"/>
        <v>0</v>
      </c>
      <c r="J9" s="310">
        <f t="shared" si="0"/>
        <v>0</v>
      </c>
      <c r="K9" s="310">
        <f t="shared" si="0"/>
        <v>0</v>
      </c>
      <c r="L9" s="310">
        <f t="shared" si="0"/>
        <v>0</v>
      </c>
      <c r="M9" s="310">
        <f t="shared" si="0"/>
        <v>0</v>
      </c>
      <c r="N9" s="310">
        <f t="shared" si="0"/>
        <v>0</v>
      </c>
      <c r="O9" s="310">
        <f t="shared" si="0"/>
        <v>0</v>
      </c>
      <c r="P9" s="310">
        <f t="shared" si="0"/>
        <v>0</v>
      </c>
      <c r="Q9" s="310">
        <f t="shared" si="0"/>
        <v>0</v>
      </c>
      <c r="R9" s="310">
        <f t="shared" si="0"/>
        <v>0</v>
      </c>
      <c r="S9" s="310">
        <f t="shared" si="0"/>
        <v>0</v>
      </c>
      <c r="U9" s="310">
        <f t="shared" si="1"/>
        <v>0</v>
      </c>
      <c r="V9" s="310">
        <f t="shared" si="2"/>
        <v>0</v>
      </c>
      <c r="W9" s="310">
        <f t="shared" si="3"/>
        <v>0</v>
      </c>
      <c r="X9" s="310">
        <f t="shared" si="4"/>
        <v>0</v>
      </c>
      <c r="Y9" s="310">
        <f t="shared" si="5"/>
        <v>0</v>
      </c>
      <c r="Z9" s="310">
        <f t="shared" si="6"/>
        <v>0</v>
      </c>
      <c r="AA9" s="310">
        <f t="shared" si="7"/>
        <v>0</v>
      </c>
      <c r="AB9" s="310">
        <f t="shared" si="8"/>
        <v>0</v>
      </c>
      <c r="AC9" s="310">
        <f t="shared" si="9"/>
        <v>0</v>
      </c>
      <c r="AD9" s="310">
        <f t="shared" si="10"/>
        <v>0</v>
      </c>
      <c r="AE9" s="310">
        <f t="shared" si="11"/>
        <v>0</v>
      </c>
      <c r="AF9" s="310">
        <f t="shared" si="12"/>
        <v>0</v>
      </c>
      <c r="AG9" s="310">
        <f t="shared" si="13"/>
        <v>0</v>
      </c>
    </row>
    <row r="10" spans="1:33" x14ac:dyDescent="0.2">
      <c r="A10" t="s">
        <v>310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310" t="str">
        <f t="shared" si="14"/>
        <v>MgCl 10%</v>
      </c>
      <c r="H10" s="310">
        <f t="shared" si="0"/>
        <v>0</v>
      </c>
      <c r="I10" s="310">
        <f t="shared" si="0"/>
        <v>0</v>
      </c>
      <c r="J10" s="310">
        <f t="shared" si="0"/>
        <v>0</v>
      </c>
      <c r="K10" s="310">
        <f t="shared" si="0"/>
        <v>0</v>
      </c>
      <c r="L10" s="310">
        <f t="shared" si="0"/>
        <v>0</v>
      </c>
      <c r="M10" s="310">
        <f t="shared" si="0"/>
        <v>0</v>
      </c>
      <c r="N10" s="310">
        <f t="shared" si="0"/>
        <v>0</v>
      </c>
      <c r="O10" s="310">
        <f t="shared" si="0"/>
        <v>0</v>
      </c>
      <c r="P10" s="310">
        <f t="shared" si="0"/>
        <v>0</v>
      </c>
      <c r="Q10" s="310">
        <f t="shared" si="0"/>
        <v>0</v>
      </c>
      <c r="R10" s="310">
        <f t="shared" si="0"/>
        <v>0</v>
      </c>
      <c r="S10" s="310">
        <f t="shared" si="0"/>
        <v>0</v>
      </c>
      <c r="U10" s="310">
        <f t="shared" si="1"/>
        <v>0</v>
      </c>
      <c r="V10" s="310">
        <f t="shared" si="2"/>
        <v>0</v>
      </c>
      <c r="W10" s="310">
        <f t="shared" si="3"/>
        <v>0</v>
      </c>
      <c r="X10" s="310">
        <f t="shared" si="4"/>
        <v>0</v>
      </c>
      <c r="Y10" s="310">
        <f t="shared" si="5"/>
        <v>0</v>
      </c>
      <c r="Z10" s="310">
        <f t="shared" si="6"/>
        <v>0</v>
      </c>
      <c r="AA10" s="310">
        <f t="shared" si="7"/>
        <v>0</v>
      </c>
      <c r="AB10" s="310">
        <f t="shared" si="8"/>
        <v>0</v>
      </c>
      <c r="AC10" s="310">
        <f t="shared" si="9"/>
        <v>0</v>
      </c>
      <c r="AD10" s="310">
        <f t="shared" si="10"/>
        <v>0</v>
      </c>
      <c r="AE10" s="310">
        <f t="shared" si="11"/>
        <v>0</v>
      </c>
      <c r="AF10" s="310">
        <f t="shared" si="12"/>
        <v>0</v>
      </c>
      <c r="AG10" s="310">
        <f t="shared" si="13"/>
        <v>0</v>
      </c>
    </row>
    <row r="11" spans="1:33" x14ac:dyDescent="0.2">
      <c r="A11" t="s">
        <v>308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310" t="str">
        <f t="shared" si="14"/>
        <v>KNaFosfaat</v>
      </c>
      <c r="H11" s="310">
        <f t="shared" si="0"/>
        <v>0</v>
      </c>
      <c r="I11" s="310">
        <f t="shared" si="0"/>
        <v>0</v>
      </c>
      <c r="J11" s="310">
        <f t="shared" si="0"/>
        <v>0</v>
      </c>
      <c r="K11" s="310">
        <f t="shared" si="0"/>
        <v>0</v>
      </c>
      <c r="L11" s="310">
        <f t="shared" si="0"/>
        <v>0</v>
      </c>
      <c r="M11" s="310">
        <f t="shared" si="0"/>
        <v>0</v>
      </c>
      <c r="N11" s="310">
        <f t="shared" si="0"/>
        <v>0</v>
      </c>
      <c r="O11" s="310">
        <f t="shared" si="0"/>
        <v>0</v>
      </c>
      <c r="P11" s="310">
        <f t="shared" si="0"/>
        <v>0</v>
      </c>
      <c r="Q11" s="310">
        <f t="shared" si="0"/>
        <v>0</v>
      </c>
      <c r="R11" s="310">
        <f t="shared" si="0"/>
        <v>0</v>
      </c>
      <c r="S11" s="310">
        <f t="shared" si="0"/>
        <v>0</v>
      </c>
      <c r="U11" s="310">
        <f t="shared" si="1"/>
        <v>0</v>
      </c>
      <c r="V11" s="310">
        <f t="shared" si="2"/>
        <v>0</v>
      </c>
      <c r="W11" s="310">
        <f t="shared" si="3"/>
        <v>0</v>
      </c>
      <c r="X11" s="310">
        <f t="shared" si="4"/>
        <v>0</v>
      </c>
      <c r="Y11" s="310">
        <f t="shared" si="5"/>
        <v>0</v>
      </c>
      <c r="Z11" s="310">
        <f t="shared" si="6"/>
        <v>0</v>
      </c>
      <c r="AA11" s="310">
        <f t="shared" si="7"/>
        <v>0</v>
      </c>
      <c r="AB11" s="310">
        <f t="shared" si="8"/>
        <v>0</v>
      </c>
      <c r="AC11" s="310">
        <f t="shared" si="9"/>
        <v>0</v>
      </c>
      <c r="AD11" s="310">
        <f t="shared" si="10"/>
        <v>0</v>
      </c>
      <c r="AE11" s="310">
        <f t="shared" si="11"/>
        <v>0</v>
      </c>
      <c r="AF11" s="310">
        <f t="shared" si="12"/>
        <v>0</v>
      </c>
      <c r="AG11" s="310">
        <f t="shared" si="13"/>
        <v>0</v>
      </c>
    </row>
    <row r="12" spans="1:33" x14ac:dyDescent="0.2">
      <c r="A12" t="s">
        <v>191</v>
      </c>
      <c r="D12">
        <v>0</v>
      </c>
      <c r="E12">
        <f>ROUND(IF(D12&lt;50,D12/10,D12-45),1)</f>
        <v>0</v>
      </c>
      <c r="F12">
        <f>E12*24</f>
        <v>0</v>
      </c>
      <c r="G12" s="310"/>
      <c r="H12" s="310">
        <f t="shared" si="0"/>
        <v>0</v>
      </c>
      <c r="I12" s="310">
        <f t="shared" si="0"/>
        <v>0</v>
      </c>
      <c r="J12" s="310">
        <f t="shared" si="0"/>
        <v>0</v>
      </c>
      <c r="K12" s="310">
        <f t="shared" si="0"/>
        <v>0</v>
      </c>
      <c r="L12" s="310">
        <f t="shared" si="0"/>
        <v>0</v>
      </c>
      <c r="M12" s="310">
        <f t="shared" si="0"/>
        <v>0</v>
      </c>
      <c r="N12" s="310">
        <f t="shared" si="0"/>
        <v>0</v>
      </c>
      <c r="O12" s="310">
        <f t="shared" si="0"/>
        <v>0</v>
      </c>
      <c r="P12" s="310">
        <f t="shared" si="0"/>
        <v>0</v>
      </c>
      <c r="Q12" s="310">
        <f t="shared" si="0"/>
        <v>0</v>
      </c>
      <c r="R12" s="310">
        <f t="shared" si="0"/>
        <v>0</v>
      </c>
      <c r="S12" s="310">
        <f t="shared" si="0"/>
        <v>0</v>
      </c>
      <c r="U12" s="310">
        <f t="shared" si="1"/>
        <v>0</v>
      </c>
      <c r="V12" s="310">
        <f t="shared" si="2"/>
        <v>0</v>
      </c>
      <c r="W12" s="310">
        <f t="shared" si="3"/>
        <v>0</v>
      </c>
      <c r="X12" s="310">
        <f t="shared" si="4"/>
        <v>0</v>
      </c>
      <c r="Y12" s="310">
        <f t="shared" si="5"/>
        <v>0</v>
      </c>
      <c r="Z12" s="310">
        <f t="shared" si="6"/>
        <v>0</v>
      </c>
      <c r="AA12" s="310">
        <f t="shared" si="7"/>
        <v>0</v>
      </c>
      <c r="AB12" s="310">
        <f t="shared" si="8"/>
        <v>0</v>
      </c>
      <c r="AC12" s="310">
        <f t="shared" si="9"/>
        <v>0</v>
      </c>
      <c r="AD12" s="310">
        <f t="shared" si="10"/>
        <v>0</v>
      </c>
      <c r="AE12" s="310">
        <f t="shared" si="11"/>
        <v>0</v>
      </c>
      <c r="AF12" s="310">
        <f t="shared" si="12"/>
        <v>0</v>
      </c>
      <c r="AG12" s="310">
        <f t="shared" si="13"/>
        <v>0</v>
      </c>
    </row>
    <row r="13" spans="1:33" x14ac:dyDescent="0.2">
      <c r="A13" t="s">
        <v>192</v>
      </c>
      <c r="F13">
        <f>F12-F14-F15-F16</f>
        <v>0</v>
      </c>
      <c r="G13" s="310" t="str">
        <f>A13</f>
        <v>Intralipid 20%</v>
      </c>
      <c r="H13" s="310">
        <f t="shared" ref="H13:S22" si="15">IF($G13=0,0,VLOOKUP($G13,Tbl_Glob_ParEnt,H$1,FALSE))*$F13</f>
        <v>0</v>
      </c>
      <c r="I13" s="310">
        <f t="shared" si="15"/>
        <v>0</v>
      </c>
      <c r="J13" s="310">
        <f t="shared" si="15"/>
        <v>0</v>
      </c>
      <c r="K13" s="310">
        <f t="shared" si="15"/>
        <v>0</v>
      </c>
      <c r="L13" s="310">
        <f t="shared" si="15"/>
        <v>0</v>
      </c>
      <c r="M13" s="310">
        <f t="shared" si="15"/>
        <v>0</v>
      </c>
      <c r="N13" s="310">
        <f t="shared" si="15"/>
        <v>0</v>
      </c>
      <c r="O13" s="310">
        <f t="shared" si="15"/>
        <v>0</v>
      </c>
      <c r="P13" s="310">
        <f t="shared" si="15"/>
        <v>0</v>
      </c>
      <c r="Q13" s="310">
        <f t="shared" si="15"/>
        <v>0</v>
      </c>
      <c r="R13" s="310">
        <f t="shared" si="15"/>
        <v>0</v>
      </c>
      <c r="S13" s="310">
        <f t="shared" si="15"/>
        <v>0</v>
      </c>
      <c r="U13" s="310">
        <f t="shared" si="1"/>
        <v>0</v>
      </c>
      <c r="V13" s="310">
        <f t="shared" si="2"/>
        <v>0</v>
      </c>
      <c r="W13" s="310">
        <f t="shared" si="3"/>
        <v>0</v>
      </c>
      <c r="X13" s="310">
        <f t="shared" si="4"/>
        <v>0</v>
      </c>
      <c r="Y13" s="310">
        <f t="shared" si="5"/>
        <v>0</v>
      </c>
      <c r="Z13" s="310">
        <f t="shared" si="6"/>
        <v>0</v>
      </c>
      <c r="AA13" s="310">
        <f t="shared" si="7"/>
        <v>0</v>
      </c>
      <c r="AB13" s="310">
        <f t="shared" si="8"/>
        <v>0</v>
      </c>
      <c r="AC13" s="310">
        <f t="shared" si="9"/>
        <v>0</v>
      </c>
      <c r="AD13" s="310">
        <f t="shared" si="10"/>
        <v>0</v>
      </c>
      <c r="AE13" s="310">
        <f t="shared" si="11"/>
        <v>0</v>
      </c>
      <c r="AF13" s="310">
        <f t="shared" si="12"/>
        <v>0</v>
      </c>
      <c r="AG13" s="310">
        <f t="shared" si="13"/>
        <v>0</v>
      </c>
    </row>
    <row r="14" spans="1:33" x14ac:dyDescent="0.2">
      <c r="A14" t="s">
        <v>193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310"/>
      <c r="H14" s="310">
        <f t="shared" si="15"/>
        <v>0</v>
      </c>
      <c r="I14" s="310">
        <f t="shared" si="15"/>
        <v>0</v>
      </c>
      <c r="J14" s="310">
        <f t="shared" si="15"/>
        <v>0</v>
      </c>
      <c r="K14" s="310">
        <f t="shared" si="15"/>
        <v>0</v>
      </c>
      <c r="L14" s="310">
        <f t="shared" si="15"/>
        <v>0</v>
      </c>
      <c r="M14" s="310">
        <f t="shared" si="15"/>
        <v>0</v>
      </c>
      <c r="N14" s="310">
        <f t="shared" si="15"/>
        <v>0</v>
      </c>
      <c r="O14" s="310">
        <f t="shared" si="15"/>
        <v>0</v>
      </c>
      <c r="P14" s="310">
        <f t="shared" si="15"/>
        <v>0</v>
      </c>
      <c r="Q14" s="310">
        <f t="shared" si="15"/>
        <v>0</v>
      </c>
      <c r="R14" s="310">
        <f t="shared" si="15"/>
        <v>0</v>
      </c>
      <c r="S14" s="310">
        <f t="shared" si="15"/>
        <v>0</v>
      </c>
      <c r="U14" s="310">
        <f t="shared" si="1"/>
        <v>0</v>
      </c>
      <c r="V14" s="310">
        <f t="shared" si="2"/>
        <v>0</v>
      </c>
      <c r="W14" s="310">
        <f t="shared" si="3"/>
        <v>0</v>
      </c>
      <c r="X14" s="310">
        <f t="shared" si="4"/>
        <v>0</v>
      </c>
      <c r="Y14" s="310">
        <f t="shared" si="5"/>
        <v>0</v>
      </c>
      <c r="Z14" s="310">
        <f t="shared" si="6"/>
        <v>0</v>
      </c>
      <c r="AA14" s="310">
        <f t="shared" si="7"/>
        <v>0</v>
      </c>
      <c r="AB14" s="310">
        <f t="shared" si="8"/>
        <v>0</v>
      </c>
      <c r="AC14" s="310">
        <f t="shared" si="9"/>
        <v>0</v>
      </c>
      <c r="AD14" s="310">
        <f t="shared" si="10"/>
        <v>0</v>
      </c>
      <c r="AE14" s="310">
        <f t="shared" si="11"/>
        <v>0</v>
      </c>
      <c r="AF14" s="310">
        <f t="shared" si="12"/>
        <v>0</v>
      </c>
      <c r="AG14" s="310">
        <f t="shared" si="13"/>
        <v>0</v>
      </c>
    </row>
    <row r="15" spans="1:33" x14ac:dyDescent="0.2">
      <c r="A15" t="s">
        <v>194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310" t="str">
        <f t="shared" ref="G15" si="16">A15</f>
        <v>Soluvit</v>
      </c>
      <c r="H15" s="310">
        <f t="shared" si="15"/>
        <v>0</v>
      </c>
      <c r="I15" s="310">
        <f t="shared" si="15"/>
        <v>0</v>
      </c>
      <c r="J15" s="310">
        <f t="shared" si="15"/>
        <v>0</v>
      </c>
      <c r="K15" s="310">
        <f t="shared" si="15"/>
        <v>0</v>
      </c>
      <c r="L15" s="310">
        <f t="shared" si="15"/>
        <v>0</v>
      </c>
      <c r="M15" s="310">
        <f t="shared" si="15"/>
        <v>0</v>
      </c>
      <c r="N15" s="310">
        <f t="shared" si="15"/>
        <v>0</v>
      </c>
      <c r="O15" s="310">
        <f t="shared" si="15"/>
        <v>0</v>
      </c>
      <c r="P15" s="310">
        <f t="shared" si="15"/>
        <v>0</v>
      </c>
      <c r="Q15" s="310">
        <f t="shared" si="15"/>
        <v>0</v>
      </c>
      <c r="R15" s="310">
        <f t="shared" si="15"/>
        <v>0</v>
      </c>
      <c r="S15" s="310">
        <f t="shared" si="15"/>
        <v>0</v>
      </c>
      <c r="U15" s="310">
        <f t="shared" si="1"/>
        <v>0</v>
      </c>
      <c r="V15" s="310">
        <f t="shared" si="2"/>
        <v>0</v>
      </c>
      <c r="W15" s="310">
        <f t="shared" si="3"/>
        <v>0</v>
      </c>
      <c r="X15" s="310">
        <f t="shared" si="4"/>
        <v>0</v>
      </c>
      <c r="Y15" s="310">
        <f t="shared" si="5"/>
        <v>0</v>
      </c>
      <c r="Z15" s="310">
        <f t="shared" si="6"/>
        <v>0</v>
      </c>
      <c r="AA15" s="310">
        <f t="shared" si="7"/>
        <v>0</v>
      </c>
      <c r="AB15" s="310">
        <f t="shared" si="8"/>
        <v>0</v>
      </c>
      <c r="AC15" s="310">
        <f t="shared" si="9"/>
        <v>0</v>
      </c>
      <c r="AD15" s="310">
        <f t="shared" si="10"/>
        <v>0</v>
      </c>
      <c r="AE15" s="310">
        <f t="shared" si="11"/>
        <v>0</v>
      </c>
      <c r="AF15" s="310">
        <f t="shared" si="12"/>
        <v>0</v>
      </c>
      <c r="AG15" s="310">
        <f t="shared" si="13"/>
        <v>0</v>
      </c>
    </row>
    <row r="16" spans="1:33" s="310" customFormat="1" x14ac:dyDescent="0.2">
      <c r="A16" s="311" t="s">
        <v>985</v>
      </c>
      <c r="C16" s="310">
        <v>0</v>
      </c>
      <c r="D16" s="310">
        <f>IF(E16&lt;50,E16/10,E16-45)</f>
        <v>4.9000000000000004</v>
      </c>
      <c r="E16" s="310">
        <v>49</v>
      </c>
      <c r="F16" s="310">
        <f>IF(C16,D16,0)</f>
        <v>0</v>
      </c>
      <c r="H16" s="310">
        <f t="shared" si="15"/>
        <v>0</v>
      </c>
      <c r="I16" s="310">
        <f t="shared" si="15"/>
        <v>0</v>
      </c>
      <c r="J16" s="310">
        <f t="shared" si="15"/>
        <v>0</v>
      </c>
      <c r="K16" s="310">
        <f t="shared" si="15"/>
        <v>0</v>
      </c>
      <c r="L16" s="310">
        <f t="shared" si="15"/>
        <v>0</v>
      </c>
      <c r="M16" s="310">
        <f t="shared" si="15"/>
        <v>0</v>
      </c>
      <c r="N16" s="310">
        <f t="shared" si="15"/>
        <v>0</v>
      </c>
      <c r="O16" s="310">
        <f t="shared" si="15"/>
        <v>0</v>
      </c>
      <c r="P16" s="310">
        <f t="shared" si="15"/>
        <v>0</v>
      </c>
      <c r="Q16" s="310">
        <f t="shared" si="15"/>
        <v>0</v>
      </c>
      <c r="R16" s="310">
        <f t="shared" si="15"/>
        <v>0</v>
      </c>
      <c r="S16" s="310">
        <f t="shared" si="15"/>
        <v>0</v>
      </c>
      <c r="U16" s="310">
        <f t="shared" si="1"/>
        <v>0</v>
      </c>
      <c r="V16" s="310">
        <f t="shared" si="2"/>
        <v>0</v>
      </c>
      <c r="W16" s="310">
        <f t="shared" si="3"/>
        <v>0</v>
      </c>
      <c r="X16" s="310">
        <f t="shared" si="4"/>
        <v>0</v>
      </c>
      <c r="Y16" s="310">
        <f t="shared" si="5"/>
        <v>0</v>
      </c>
      <c r="Z16" s="310">
        <f t="shared" si="6"/>
        <v>0</v>
      </c>
      <c r="AA16" s="310">
        <f t="shared" si="7"/>
        <v>0</v>
      </c>
      <c r="AB16" s="310">
        <f t="shared" si="8"/>
        <v>0</v>
      </c>
      <c r="AC16" s="310">
        <f t="shared" si="9"/>
        <v>0</v>
      </c>
      <c r="AD16" s="310">
        <f t="shared" si="10"/>
        <v>0</v>
      </c>
      <c r="AE16" s="310">
        <f t="shared" si="11"/>
        <v>0</v>
      </c>
      <c r="AF16" s="310">
        <f t="shared" si="12"/>
        <v>0</v>
      </c>
      <c r="AG16" s="310">
        <f t="shared" si="13"/>
        <v>0</v>
      </c>
    </row>
    <row r="17" spans="1:33" x14ac:dyDescent="0.2">
      <c r="A17" t="s">
        <v>153</v>
      </c>
      <c r="F17">
        <f>IF(AND(_Ped_TPN_Keuze=2,_Pat_Gewicht/10&lt;=50,_Ped_TPN_SST1Keuze&lt;11),ROUND((F9*4+F10*4)/10,0)*10,IF(AND(_Ped_TPN_Keuze=2,_Pat_Gewicht/10&gt;50),100,0))</f>
        <v>0</v>
      </c>
      <c r="G17" s="311" t="s">
        <v>573</v>
      </c>
      <c r="H17" s="310">
        <f t="shared" si="15"/>
        <v>0</v>
      </c>
      <c r="I17" s="310">
        <f t="shared" si="15"/>
        <v>0</v>
      </c>
      <c r="J17" s="310">
        <f t="shared" si="15"/>
        <v>0</v>
      </c>
      <c r="K17" s="310">
        <f t="shared" si="15"/>
        <v>0</v>
      </c>
      <c r="L17" s="310">
        <f t="shared" si="15"/>
        <v>0</v>
      </c>
      <c r="M17" s="310">
        <f t="shared" si="15"/>
        <v>0</v>
      </c>
      <c r="N17" s="310">
        <f t="shared" si="15"/>
        <v>0</v>
      </c>
      <c r="O17" s="310">
        <f t="shared" si="15"/>
        <v>0</v>
      </c>
      <c r="P17" s="310">
        <f t="shared" si="15"/>
        <v>0</v>
      </c>
      <c r="Q17" s="310">
        <f t="shared" si="15"/>
        <v>0</v>
      </c>
      <c r="R17" s="310">
        <f t="shared" si="15"/>
        <v>0</v>
      </c>
      <c r="S17" s="310">
        <f t="shared" si="15"/>
        <v>0</v>
      </c>
      <c r="U17" s="310">
        <f t="shared" si="1"/>
        <v>0</v>
      </c>
      <c r="V17" s="310">
        <f t="shared" si="2"/>
        <v>0</v>
      </c>
      <c r="W17" s="310">
        <f t="shared" si="3"/>
        <v>0</v>
      </c>
      <c r="X17" s="310">
        <f t="shared" si="4"/>
        <v>0</v>
      </c>
      <c r="Y17" s="310">
        <f t="shared" si="5"/>
        <v>0</v>
      </c>
      <c r="Z17" s="310">
        <f t="shared" si="6"/>
        <v>0</v>
      </c>
      <c r="AA17" s="310">
        <f t="shared" si="7"/>
        <v>0</v>
      </c>
      <c r="AB17" s="310">
        <f t="shared" si="8"/>
        <v>0</v>
      </c>
      <c r="AC17" s="310">
        <f t="shared" si="9"/>
        <v>0</v>
      </c>
      <c r="AD17" s="310">
        <f t="shared" si="10"/>
        <v>0</v>
      </c>
      <c r="AE17" s="310">
        <f t="shared" si="11"/>
        <v>0</v>
      </c>
      <c r="AF17" s="310">
        <f t="shared" si="12"/>
        <v>0</v>
      </c>
      <c r="AG17" s="310">
        <f t="shared" si="13"/>
        <v>0</v>
      </c>
    </row>
    <row r="18" spans="1:33" x14ac:dyDescent="0.2">
      <c r="A18" t="s">
        <v>109</v>
      </c>
      <c r="F18">
        <f>IF(_Pat_Gewicht&gt;0,(ROUND(PedBerTPN!F11*1.5/(_Pat_Gewicht/10)/24/0.01,1)*24-PedBerTPN!F11),0)</f>
        <v>0</v>
      </c>
      <c r="G18" s="311" t="s">
        <v>574</v>
      </c>
      <c r="H18" s="310">
        <f t="shared" si="15"/>
        <v>0</v>
      </c>
      <c r="I18" s="310">
        <f t="shared" si="15"/>
        <v>0</v>
      </c>
      <c r="J18" s="310">
        <f t="shared" si="15"/>
        <v>0</v>
      </c>
      <c r="K18" s="310">
        <f t="shared" si="15"/>
        <v>0</v>
      </c>
      <c r="L18" s="310">
        <f t="shared" si="15"/>
        <v>0</v>
      </c>
      <c r="M18" s="310">
        <f t="shared" si="15"/>
        <v>0</v>
      </c>
      <c r="N18" s="310">
        <f t="shared" si="15"/>
        <v>0</v>
      </c>
      <c r="O18" s="310">
        <f t="shared" si="15"/>
        <v>0</v>
      </c>
      <c r="P18" s="310">
        <f t="shared" si="15"/>
        <v>0</v>
      </c>
      <c r="Q18" s="310">
        <f t="shared" si="15"/>
        <v>0</v>
      </c>
      <c r="R18" s="310">
        <f t="shared" si="15"/>
        <v>0</v>
      </c>
      <c r="S18" s="310">
        <f t="shared" si="15"/>
        <v>0</v>
      </c>
      <c r="U18" s="310">
        <f t="shared" si="1"/>
        <v>0</v>
      </c>
      <c r="V18" s="310">
        <f t="shared" si="2"/>
        <v>0</v>
      </c>
      <c r="W18" s="310">
        <f t="shared" si="3"/>
        <v>0</v>
      </c>
      <c r="X18" s="310">
        <f t="shared" si="4"/>
        <v>0</v>
      </c>
      <c r="Y18" s="310">
        <f t="shared" si="5"/>
        <v>0</v>
      </c>
      <c r="Z18" s="310">
        <f t="shared" si="6"/>
        <v>0</v>
      </c>
      <c r="AA18" s="310">
        <f t="shared" si="7"/>
        <v>0</v>
      </c>
      <c r="AB18" s="310">
        <f t="shared" si="8"/>
        <v>0</v>
      </c>
      <c r="AC18" s="310">
        <f t="shared" si="9"/>
        <v>0</v>
      </c>
      <c r="AD18" s="310">
        <f t="shared" si="10"/>
        <v>0</v>
      </c>
      <c r="AE18" s="310">
        <f t="shared" si="11"/>
        <v>0</v>
      </c>
      <c r="AF18" s="310">
        <f t="shared" si="12"/>
        <v>0</v>
      </c>
      <c r="AG18" s="310">
        <f t="shared" si="13"/>
        <v>0</v>
      </c>
    </row>
    <row r="19" spans="1:33" x14ac:dyDescent="0.2">
      <c r="A19" t="s">
        <v>334</v>
      </c>
      <c r="D19">
        <v>0</v>
      </c>
      <c r="E19">
        <f>IF(D19&lt;50,D19/10,D19-45)</f>
        <v>0</v>
      </c>
      <c r="F19">
        <f>E19*24</f>
        <v>0</v>
      </c>
      <c r="G19" s="310"/>
      <c r="H19" s="310">
        <f t="shared" si="15"/>
        <v>0</v>
      </c>
      <c r="I19" s="310">
        <f t="shared" si="15"/>
        <v>0</v>
      </c>
      <c r="J19" s="310">
        <f t="shared" si="15"/>
        <v>0</v>
      </c>
      <c r="K19" s="310">
        <f t="shared" si="15"/>
        <v>0</v>
      </c>
      <c r="L19" s="310">
        <f t="shared" si="15"/>
        <v>0</v>
      </c>
      <c r="M19" s="310">
        <f t="shared" si="15"/>
        <v>0</v>
      </c>
      <c r="N19" s="310">
        <f t="shared" si="15"/>
        <v>0</v>
      </c>
      <c r="O19" s="310">
        <f t="shared" si="15"/>
        <v>0</v>
      </c>
      <c r="P19" s="310">
        <f t="shared" si="15"/>
        <v>0</v>
      </c>
      <c r="Q19" s="310">
        <f t="shared" si="15"/>
        <v>0</v>
      </c>
      <c r="R19" s="310">
        <f t="shared" si="15"/>
        <v>0</v>
      </c>
      <c r="S19" s="310">
        <f t="shared" si="15"/>
        <v>0</v>
      </c>
      <c r="U19" s="310">
        <f t="shared" si="1"/>
        <v>0</v>
      </c>
      <c r="V19" s="310">
        <f t="shared" si="2"/>
        <v>0</v>
      </c>
      <c r="W19" s="310">
        <f t="shared" si="3"/>
        <v>0</v>
      </c>
      <c r="X19" s="310">
        <f t="shared" si="4"/>
        <v>0</v>
      </c>
      <c r="Y19" s="310">
        <f t="shared" si="5"/>
        <v>0</v>
      </c>
      <c r="Z19" s="310">
        <f t="shared" si="6"/>
        <v>0</v>
      </c>
      <c r="AA19" s="310">
        <f t="shared" si="7"/>
        <v>0</v>
      </c>
      <c r="AB19" s="310">
        <f t="shared" si="8"/>
        <v>0</v>
      </c>
      <c r="AC19" s="310">
        <f t="shared" si="9"/>
        <v>0</v>
      </c>
      <c r="AD19" s="310">
        <f t="shared" si="10"/>
        <v>0</v>
      </c>
      <c r="AE19" s="310">
        <f t="shared" si="11"/>
        <v>0</v>
      </c>
      <c r="AF19" s="310">
        <f t="shared" si="12"/>
        <v>0</v>
      </c>
      <c r="AG19" s="310">
        <f t="shared" si="13"/>
        <v>0</v>
      </c>
    </row>
    <row r="20" spans="1:33" x14ac:dyDescent="0.2">
      <c r="A20" t="s">
        <v>287</v>
      </c>
      <c r="B20">
        <v>1</v>
      </c>
      <c r="F20">
        <f>IF(F19-F21-F22&lt;0,0,F19-F21-F22)</f>
        <v>0</v>
      </c>
      <c r="G20" s="310">
        <f>INDEX(Tbl_Ped_SST,B20,1)</f>
        <v>0</v>
      </c>
      <c r="H20" s="310">
        <f t="shared" si="15"/>
        <v>0</v>
      </c>
      <c r="I20" s="310">
        <f t="shared" si="15"/>
        <v>0</v>
      </c>
      <c r="J20" s="310">
        <f t="shared" si="15"/>
        <v>0</v>
      </c>
      <c r="K20" s="310">
        <f t="shared" si="15"/>
        <v>0</v>
      </c>
      <c r="L20" s="310">
        <f t="shared" si="15"/>
        <v>0</v>
      </c>
      <c r="M20" s="310">
        <f t="shared" si="15"/>
        <v>0</v>
      </c>
      <c r="N20" s="310">
        <f t="shared" si="15"/>
        <v>0</v>
      </c>
      <c r="O20" s="310">
        <f t="shared" si="15"/>
        <v>0</v>
      </c>
      <c r="P20" s="310">
        <f t="shared" si="15"/>
        <v>0</v>
      </c>
      <c r="Q20" s="310">
        <f t="shared" si="15"/>
        <v>0</v>
      </c>
      <c r="R20" s="310">
        <f t="shared" si="15"/>
        <v>0</v>
      </c>
      <c r="S20" s="310">
        <f t="shared" si="15"/>
        <v>0</v>
      </c>
      <c r="U20" s="310">
        <f t="shared" si="1"/>
        <v>0</v>
      </c>
      <c r="V20" s="310">
        <f t="shared" si="2"/>
        <v>0</v>
      </c>
      <c r="W20" s="310">
        <f t="shared" si="3"/>
        <v>0</v>
      </c>
      <c r="X20" s="310">
        <f t="shared" si="4"/>
        <v>0</v>
      </c>
      <c r="Y20" s="310">
        <f t="shared" si="5"/>
        <v>0</v>
      </c>
      <c r="Z20" s="310">
        <f t="shared" si="6"/>
        <v>0</v>
      </c>
      <c r="AA20" s="310">
        <f t="shared" si="7"/>
        <v>0</v>
      </c>
      <c r="AB20" s="310">
        <f t="shared" si="8"/>
        <v>0</v>
      </c>
      <c r="AC20" s="310">
        <f t="shared" si="9"/>
        <v>0</v>
      </c>
      <c r="AD20" s="310">
        <f t="shared" si="10"/>
        <v>0</v>
      </c>
      <c r="AE20" s="310">
        <f t="shared" si="11"/>
        <v>0</v>
      </c>
      <c r="AF20" s="310">
        <f t="shared" si="12"/>
        <v>0</v>
      </c>
      <c r="AG20" s="310">
        <f t="shared" si="13"/>
        <v>0</v>
      </c>
    </row>
    <row r="21" spans="1:33" x14ac:dyDescent="0.2">
      <c r="A21" t="s">
        <v>328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310" t="str">
        <f>A21</f>
        <v>NaCl 2,9%</v>
      </c>
      <c r="H21" s="310">
        <f t="shared" si="15"/>
        <v>0</v>
      </c>
      <c r="I21" s="310">
        <f t="shared" si="15"/>
        <v>0</v>
      </c>
      <c r="J21" s="310">
        <f t="shared" si="15"/>
        <v>0</v>
      </c>
      <c r="K21" s="310">
        <f t="shared" si="15"/>
        <v>0</v>
      </c>
      <c r="L21" s="310">
        <f t="shared" si="15"/>
        <v>0</v>
      </c>
      <c r="M21" s="310">
        <f t="shared" si="15"/>
        <v>0</v>
      </c>
      <c r="N21" s="310">
        <f t="shared" si="15"/>
        <v>0</v>
      </c>
      <c r="O21" s="310">
        <f t="shared" si="15"/>
        <v>0</v>
      </c>
      <c r="P21" s="310">
        <f t="shared" si="15"/>
        <v>0</v>
      </c>
      <c r="Q21" s="310">
        <f t="shared" si="15"/>
        <v>0</v>
      </c>
      <c r="R21" s="310">
        <f t="shared" si="15"/>
        <v>0</v>
      </c>
      <c r="S21" s="310">
        <f t="shared" si="15"/>
        <v>0</v>
      </c>
      <c r="U21" s="310">
        <f t="shared" si="1"/>
        <v>0</v>
      </c>
      <c r="V21" s="310">
        <f t="shared" si="2"/>
        <v>0</v>
      </c>
      <c r="W21" s="310">
        <f t="shared" si="3"/>
        <v>0</v>
      </c>
      <c r="X21" s="310">
        <f t="shared" si="4"/>
        <v>0</v>
      </c>
      <c r="Y21" s="310">
        <f t="shared" si="5"/>
        <v>0</v>
      </c>
      <c r="Z21" s="310">
        <f t="shared" si="6"/>
        <v>0</v>
      </c>
      <c r="AA21" s="310">
        <f t="shared" si="7"/>
        <v>0</v>
      </c>
      <c r="AB21" s="310">
        <f t="shared" si="8"/>
        <v>0</v>
      </c>
      <c r="AC21" s="310">
        <f t="shared" si="9"/>
        <v>0</v>
      </c>
      <c r="AD21" s="310">
        <f t="shared" si="10"/>
        <v>0</v>
      </c>
      <c r="AE21" s="310">
        <f t="shared" si="11"/>
        <v>0</v>
      </c>
      <c r="AF21" s="310">
        <f t="shared" si="12"/>
        <v>0</v>
      </c>
      <c r="AG21" s="310">
        <f t="shared" si="13"/>
        <v>0</v>
      </c>
    </row>
    <row r="22" spans="1:33" x14ac:dyDescent="0.2">
      <c r="A22" t="s">
        <v>220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310" t="str">
        <f>A22</f>
        <v>KCl 7,4%</v>
      </c>
      <c r="H22" s="310">
        <f t="shared" si="15"/>
        <v>0</v>
      </c>
      <c r="I22" s="310">
        <f t="shared" si="15"/>
        <v>0</v>
      </c>
      <c r="J22" s="310">
        <f t="shared" si="15"/>
        <v>0</v>
      </c>
      <c r="K22" s="310">
        <f t="shared" si="15"/>
        <v>0</v>
      </c>
      <c r="L22" s="310">
        <f t="shared" si="15"/>
        <v>0</v>
      </c>
      <c r="M22" s="310">
        <f t="shared" si="15"/>
        <v>0</v>
      </c>
      <c r="N22" s="310">
        <f t="shared" si="15"/>
        <v>0</v>
      </c>
      <c r="O22" s="310">
        <f t="shared" si="15"/>
        <v>0</v>
      </c>
      <c r="P22" s="310">
        <f t="shared" si="15"/>
        <v>0</v>
      </c>
      <c r="Q22" s="310">
        <f t="shared" si="15"/>
        <v>0</v>
      </c>
      <c r="R22" s="310">
        <f t="shared" si="15"/>
        <v>0</v>
      </c>
      <c r="S22" s="310">
        <f t="shared" si="15"/>
        <v>0</v>
      </c>
      <c r="U22" s="310">
        <f t="shared" si="1"/>
        <v>0</v>
      </c>
      <c r="V22" s="310">
        <f t="shared" si="2"/>
        <v>0</v>
      </c>
      <c r="W22" s="310">
        <f t="shared" si="3"/>
        <v>0</v>
      </c>
      <c r="X22" s="310">
        <f t="shared" si="4"/>
        <v>0</v>
      </c>
      <c r="Y22" s="310">
        <f t="shared" si="5"/>
        <v>0</v>
      </c>
      <c r="Z22" s="310">
        <f t="shared" si="6"/>
        <v>0</v>
      </c>
      <c r="AA22" s="310">
        <f t="shared" si="7"/>
        <v>0</v>
      </c>
      <c r="AB22" s="310">
        <f t="shared" si="8"/>
        <v>0</v>
      </c>
      <c r="AC22" s="310">
        <f t="shared" si="9"/>
        <v>0</v>
      </c>
      <c r="AD22" s="310">
        <f t="shared" si="10"/>
        <v>0</v>
      </c>
      <c r="AE22" s="310">
        <f t="shared" si="11"/>
        <v>0</v>
      </c>
      <c r="AF22" s="310">
        <f t="shared" si="12"/>
        <v>0</v>
      </c>
      <c r="AG22" s="310">
        <f t="shared" si="13"/>
        <v>0</v>
      </c>
    </row>
    <row r="24" spans="1:33" x14ac:dyDescent="0.2">
      <c r="A24" t="s">
        <v>111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310">
        <f t="shared" si="17"/>
        <v>0</v>
      </c>
      <c r="J24" s="310">
        <f t="shared" si="17"/>
        <v>0</v>
      </c>
      <c r="K24" s="310">
        <f t="shared" si="17"/>
        <v>0</v>
      </c>
      <c r="L24" s="310">
        <f t="shared" si="17"/>
        <v>0</v>
      </c>
      <c r="M24" s="310">
        <f t="shared" si="17"/>
        <v>0</v>
      </c>
      <c r="N24" s="310">
        <f t="shared" si="17"/>
        <v>0</v>
      </c>
      <c r="O24" s="310">
        <f t="shared" si="17"/>
        <v>0</v>
      </c>
      <c r="P24" s="310">
        <f t="shared" si="17"/>
        <v>0</v>
      </c>
      <c r="Q24" s="310">
        <f t="shared" si="17"/>
        <v>0</v>
      </c>
      <c r="R24" s="310">
        <f t="shared" si="17"/>
        <v>0</v>
      </c>
      <c r="S24" s="310">
        <f t="shared" si="17"/>
        <v>0</v>
      </c>
      <c r="U24" s="310">
        <f t="shared" si="17"/>
        <v>0</v>
      </c>
      <c r="V24" s="310">
        <f t="shared" si="17"/>
        <v>0</v>
      </c>
      <c r="W24" s="310">
        <f t="shared" si="17"/>
        <v>0</v>
      </c>
      <c r="X24" s="310">
        <f t="shared" si="17"/>
        <v>0</v>
      </c>
      <c r="Y24" s="310">
        <f t="shared" si="17"/>
        <v>0</v>
      </c>
      <c r="Z24" s="310">
        <f t="shared" si="17"/>
        <v>0</v>
      </c>
      <c r="AA24" s="310">
        <f t="shared" si="17"/>
        <v>0</v>
      </c>
      <c r="AB24" s="310">
        <f t="shared" si="17"/>
        <v>0</v>
      </c>
      <c r="AC24" s="310">
        <f t="shared" si="17"/>
        <v>0</v>
      </c>
      <c r="AD24" s="310">
        <f t="shared" si="17"/>
        <v>0</v>
      </c>
      <c r="AE24" s="310">
        <f t="shared" si="17"/>
        <v>0</v>
      </c>
      <c r="AF24" s="310">
        <f t="shared" si="17"/>
        <v>0</v>
      </c>
      <c r="AG24" s="310">
        <f t="shared" si="17"/>
        <v>0</v>
      </c>
    </row>
    <row r="25" spans="1:33" x14ac:dyDescent="0.2">
      <c r="A25" s="651"/>
      <c r="B25" s="651"/>
      <c r="C25" s="651"/>
      <c r="D25" s="651"/>
      <c r="E25" s="651"/>
      <c r="F25" s="651"/>
      <c r="G25" s="651"/>
      <c r="H25" s="651"/>
      <c r="I25" s="651"/>
      <c r="J25" s="651"/>
      <c r="K25" s="651"/>
      <c r="L25" s="651"/>
      <c r="M25" s="651"/>
      <c r="N25" s="651"/>
      <c r="O25" s="651"/>
      <c r="P25" s="651"/>
      <c r="Q25" s="651"/>
    </row>
    <row r="26" spans="1:33" x14ac:dyDescent="0.2">
      <c r="A26" s="645"/>
      <c r="B26" s="645"/>
      <c r="C26" s="645"/>
      <c r="D26" s="645"/>
      <c r="E26" s="645"/>
      <c r="F26" s="645"/>
      <c r="G26" s="645"/>
      <c r="H26" s="645"/>
      <c r="I26" s="645"/>
      <c r="J26" s="651"/>
      <c r="K26" s="651"/>
      <c r="L26" s="651"/>
      <c r="M26" s="651"/>
      <c r="N26" s="651"/>
      <c r="O26" s="651"/>
      <c r="P26" s="651"/>
      <c r="Q26" s="651"/>
    </row>
    <row r="27" spans="1:33" x14ac:dyDescent="0.2">
      <c r="A27" s="651"/>
      <c r="B27" s="651"/>
      <c r="C27" s="651"/>
      <c r="D27" s="651"/>
      <c r="E27" s="651"/>
      <c r="F27" s="651"/>
      <c r="G27" s="651"/>
      <c r="H27" s="651"/>
      <c r="I27" s="651"/>
      <c r="J27" s="651"/>
      <c r="K27" s="651"/>
      <c r="L27" s="651"/>
      <c r="M27" s="651"/>
      <c r="N27" s="651"/>
      <c r="O27" s="651"/>
      <c r="P27" s="651"/>
      <c r="Q27" s="651"/>
    </row>
    <row r="28" spans="1:33" x14ac:dyDescent="0.2">
      <c r="A28" s="645"/>
      <c r="B28" s="645"/>
      <c r="C28" s="645"/>
      <c r="D28" s="645"/>
      <c r="E28" s="645"/>
      <c r="F28" s="645"/>
      <c r="G28" s="645"/>
      <c r="H28" s="645"/>
      <c r="I28" s="645"/>
      <c r="J28" s="651"/>
      <c r="K28" s="651"/>
      <c r="L28" s="651"/>
      <c r="M28" s="651"/>
      <c r="N28" s="651"/>
      <c r="O28" s="651"/>
      <c r="P28" s="651"/>
      <c r="Q28" s="651"/>
    </row>
    <row r="29" spans="1:33" x14ac:dyDescent="0.2">
      <c r="A29" s="645"/>
      <c r="B29" s="645"/>
      <c r="C29" s="645"/>
      <c r="D29" s="645"/>
      <c r="E29" s="645"/>
      <c r="F29" s="645"/>
      <c r="G29" s="645"/>
      <c r="H29" s="645"/>
      <c r="I29" s="645"/>
      <c r="J29" s="651"/>
      <c r="K29" s="651"/>
      <c r="L29" s="651"/>
      <c r="M29" s="651"/>
      <c r="N29" s="651"/>
      <c r="O29" s="651"/>
      <c r="P29" s="651"/>
      <c r="Q29" s="651"/>
    </row>
    <row r="30" spans="1:33" x14ac:dyDescent="0.2">
      <c r="A30" s="645"/>
      <c r="B30" s="645"/>
      <c r="C30" s="645"/>
      <c r="D30" s="645"/>
      <c r="E30" s="645"/>
      <c r="F30" s="645"/>
      <c r="G30" s="645"/>
      <c r="H30" s="645"/>
      <c r="I30" s="645"/>
      <c r="J30" s="651"/>
      <c r="K30" s="651"/>
      <c r="L30" s="651"/>
      <c r="M30" s="651"/>
      <c r="N30" s="651"/>
      <c r="O30" s="651"/>
      <c r="P30" s="651"/>
      <c r="Q30" s="651"/>
    </row>
    <row r="31" spans="1:33" x14ac:dyDescent="0.2">
      <c r="A31" s="645"/>
      <c r="B31" s="645"/>
      <c r="C31" s="645"/>
      <c r="D31" s="645"/>
      <c r="E31" s="645"/>
      <c r="F31" s="645"/>
      <c r="G31" s="645"/>
      <c r="H31" s="645"/>
      <c r="I31" s="645"/>
      <c r="J31" s="651"/>
      <c r="K31" s="651"/>
      <c r="L31" s="651"/>
      <c r="M31" s="651"/>
      <c r="N31" s="651"/>
      <c r="O31" s="651"/>
      <c r="P31" s="651"/>
      <c r="Q31" s="651"/>
    </row>
    <row r="32" spans="1:33" x14ac:dyDescent="0.2">
      <c r="A32" s="645"/>
      <c r="B32" s="645"/>
      <c r="C32" s="645"/>
      <c r="D32" s="645"/>
      <c r="E32" s="645"/>
      <c r="F32" s="645"/>
      <c r="G32" s="645"/>
      <c r="H32" s="645"/>
      <c r="I32" s="645"/>
      <c r="J32" s="651"/>
      <c r="K32" s="651"/>
      <c r="L32" s="651"/>
      <c r="M32" s="651"/>
      <c r="N32" s="651"/>
      <c r="O32" s="651"/>
      <c r="P32" s="651"/>
      <c r="Q32" s="651"/>
    </row>
    <row r="33" spans="1:17" x14ac:dyDescent="0.2">
      <c r="A33" s="645"/>
      <c r="B33" s="645"/>
      <c r="C33" s="645"/>
      <c r="D33" s="645"/>
      <c r="E33" s="645"/>
      <c r="F33" s="645"/>
      <c r="G33" s="645"/>
      <c r="H33" s="645"/>
      <c r="I33" s="645"/>
      <c r="J33" s="651"/>
      <c r="K33" s="651"/>
      <c r="L33" s="651"/>
      <c r="M33" s="651"/>
      <c r="N33" s="651"/>
      <c r="O33" s="651"/>
      <c r="P33" s="651"/>
      <c r="Q33" s="651"/>
    </row>
    <row r="34" spans="1:17" x14ac:dyDescent="0.2">
      <c r="A34" s="651"/>
      <c r="B34" s="651"/>
      <c r="C34" s="651"/>
      <c r="D34" s="651"/>
      <c r="E34" s="651"/>
      <c r="F34" s="651"/>
      <c r="G34" s="651"/>
      <c r="H34" s="651"/>
      <c r="I34" s="651"/>
      <c r="J34" s="651"/>
      <c r="K34" s="651"/>
      <c r="L34" s="651"/>
      <c r="M34" s="651"/>
      <c r="N34" s="651"/>
      <c r="O34" s="651"/>
      <c r="P34" s="651"/>
      <c r="Q34" s="651"/>
    </row>
    <row r="35" spans="1:17" x14ac:dyDescent="0.2">
      <c r="A35" s="651"/>
      <c r="B35" s="651"/>
      <c r="C35" s="651"/>
      <c r="D35" s="651"/>
      <c r="E35" s="651"/>
      <c r="F35" s="651"/>
      <c r="G35" s="651"/>
      <c r="H35" s="651"/>
      <c r="I35" s="651"/>
      <c r="J35" s="651"/>
      <c r="K35" s="651"/>
      <c r="L35" s="651"/>
      <c r="M35" s="651"/>
      <c r="N35" s="651"/>
      <c r="O35" s="651"/>
      <c r="P35" s="651"/>
      <c r="Q35" s="651"/>
    </row>
    <row r="36" spans="1:17" x14ac:dyDescent="0.2">
      <c r="A36" s="645"/>
      <c r="B36" s="651"/>
      <c r="C36" s="651"/>
      <c r="D36" s="651"/>
      <c r="E36" s="651"/>
      <c r="F36" s="651"/>
      <c r="G36" s="651"/>
      <c r="H36" s="651"/>
      <c r="I36" s="651"/>
      <c r="J36" s="651"/>
      <c r="K36" s="651"/>
      <c r="L36" s="651"/>
      <c r="M36" s="651"/>
      <c r="N36" s="651"/>
      <c r="O36" s="651"/>
      <c r="P36" s="651"/>
      <c r="Q36" s="651"/>
    </row>
    <row r="37" spans="1:17" x14ac:dyDescent="0.2">
      <c r="A37" s="645"/>
      <c r="B37" s="651"/>
      <c r="C37" s="651"/>
      <c r="D37" s="651"/>
      <c r="E37" s="651"/>
      <c r="F37" s="651"/>
      <c r="G37" s="651"/>
      <c r="H37" s="651"/>
      <c r="I37" s="651"/>
      <c r="J37" s="651"/>
      <c r="K37" s="651"/>
      <c r="L37" s="651"/>
      <c r="M37" s="651"/>
      <c r="N37" s="651"/>
      <c r="O37" s="651"/>
      <c r="P37" s="651"/>
      <c r="Q37" s="651"/>
    </row>
    <row r="38" spans="1:17" x14ac:dyDescent="0.2">
      <c r="A38" s="645"/>
      <c r="B38" s="651"/>
      <c r="C38" s="651"/>
      <c r="D38" s="651"/>
      <c r="E38" s="651"/>
      <c r="F38" s="651"/>
      <c r="G38" s="651"/>
      <c r="H38" s="651"/>
      <c r="I38" s="651"/>
      <c r="J38" s="651"/>
      <c r="K38" s="651"/>
      <c r="L38" s="651"/>
      <c r="M38" s="651"/>
      <c r="N38" s="651"/>
      <c r="O38" s="651"/>
      <c r="P38" s="651"/>
      <c r="Q38" s="651"/>
    </row>
    <row r="39" spans="1:17" x14ac:dyDescent="0.2">
      <c r="A39" s="645"/>
      <c r="B39" s="651"/>
      <c r="C39" s="651"/>
      <c r="D39" s="651"/>
      <c r="E39" s="651"/>
      <c r="F39" s="651"/>
      <c r="G39" s="651"/>
      <c r="H39" s="651"/>
      <c r="I39" s="651"/>
      <c r="J39" s="651"/>
      <c r="K39" s="651"/>
      <c r="L39" s="651"/>
      <c r="M39" s="651"/>
      <c r="N39" s="651"/>
      <c r="O39" s="651"/>
      <c r="P39" s="651"/>
      <c r="Q39" s="651"/>
    </row>
    <row r="40" spans="1:17" x14ac:dyDescent="0.2">
      <c r="A40" s="645"/>
      <c r="B40" s="651"/>
      <c r="C40" s="651"/>
      <c r="D40" s="651"/>
      <c r="E40" s="651"/>
      <c r="F40" s="651"/>
      <c r="G40" s="651"/>
      <c r="H40" s="651"/>
      <c r="I40" s="651"/>
      <c r="J40" s="651"/>
      <c r="K40" s="45"/>
      <c r="L40" s="651"/>
      <c r="M40" s="651"/>
      <c r="N40" s="651"/>
      <c r="O40" s="651"/>
      <c r="P40" s="651"/>
      <c r="Q40" s="651"/>
    </row>
    <row r="41" spans="1:17" x14ac:dyDescent="0.2">
      <c r="A41" s="651"/>
      <c r="B41" s="651"/>
      <c r="C41" s="651"/>
      <c r="D41" s="651"/>
      <c r="E41" s="651"/>
      <c r="F41" s="651"/>
      <c r="G41" s="651"/>
      <c r="H41" s="651"/>
      <c r="I41" s="651"/>
      <c r="J41" s="651"/>
      <c r="K41" s="651"/>
      <c r="L41" s="651"/>
      <c r="M41" s="651"/>
      <c r="N41" s="651"/>
      <c r="O41" s="651"/>
      <c r="P41" s="651"/>
      <c r="Q41" s="651"/>
    </row>
    <row r="42" spans="1:17" x14ac:dyDescent="0.2">
      <c r="A42" s="651"/>
      <c r="B42" s="651"/>
      <c r="C42" s="651"/>
      <c r="D42" s="651"/>
      <c r="E42" s="651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51"/>
      <c r="B1" s="311" t="s">
        <v>4605</v>
      </c>
      <c r="C1" s="311" t="s">
        <v>4606</v>
      </c>
      <c r="D1" s="311" t="s">
        <v>4599</v>
      </c>
      <c r="E1" s="311" t="s">
        <v>4606</v>
      </c>
    </row>
    <row r="2" spans="1:5" x14ac:dyDescent="0.2">
      <c r="A2" s="7" t="s">
        <v>330</v>
      </c>
      <c r="B2" s="8">
        <f>SUM(B3:B4)</f>
        <v>26.4</v>
      </c>
      <c r="C2" s="8">
        <f>IF(_Pat_Gewicht&gt;0,10*B2/_Pat_Gewicht,0)</f>
        <v>26.4</v>
      </c>
      <c r="D2" s="8"/>
      <c r="E2" s="9"/>
    </row>
    <row r="3" spans="1:5" x14ac:dyDescent="0.2">
      <c r="A3" s="3" t="s">
        <v>197</v>
      </c>
      <c r="B3">
        <f>PedBerEnt!E3</f>
        <v>0</v>
      </c>
    </row>
    <row r="4" spans="1:5" x14ac:dyDescent="0.2">
      <c r="A4" s="3" t="s">
        <v>195</v>
      </c>
      <c r="B4">
        <f>(PedBerMedIV!M26+PedBerTPN!F24+PedBerIVenPM!F9+GlobBerMedDisc!P33)</f>
        <v>26.4</v>
      </c>
    </row>
    <row r="5" spans="1:5" x14ac:dyDescent="0.2">
      <c r="A5" s="7" t="s">
        <v>185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69" t="s">
        <v>197</v>
      </c>
      <c r="B6">
        <f>PedBerEnt!P7</f>
        <v>0</v>
      </c>
      <c r="C6" s="5" t="s">
        <v>202</v>
      </c>
      <c r="D6" s="5" t="s">
        <v>202</v>
      </c>
    </row>
    <row r="7" spans="1:5" x14ac:dyDescent="0.2">
      <c r="A7" s="3" t="s">
        <v>201</v>
      </c>
      <c r="B7">
        <f>GlobBerMedDisc!S33+PedBerMedIV!N26+PedBerMedIV!O26</f>
        <v>0</v>
      </c>
      <c r="D7">
        <f>B7*4</f>
        <v>0</v>
      </c>
    </row>
    <row r="8" spans="1:5" x14ac:dyDescent="0.2">
      <c r="A8" s="3" t="s">
        <v>226</v>
      </c>
      <c r="B8">
        <f>PedBerTPN!G24</f>
        <v>0</v>
      </c>
      <c r="C8" s="5" t="s">
        <v>202</v>
      </c>
      <c r="D8" s="5" t="s">
        <v>202</v>
      </c>
    </row>
    <row r="9" spans="1:5" x14ac:dyDescent="0.2">
      <c r="A9" s="7" t="s">
        <v>189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197</v>
      </c>
      <c r="B10">
        <f>PedBerEnt!O7</f>
        <v>0</v>
      </c>
      <c r="C10" s="5" t="s">
        <v>202</v>
      </c>
      <c r="D10" s="5" t="s">
        <v>202</v>
      </c>
    </row>
    <row r="11" spans="1:5" x14ac:dyDescent="0.2">
      <c r="A11" s="3" t="s">
        <v>195</v>
      </c>
      <c r="B11">
        <f>PedBerTPN!H24</f>
        <v>0</v>
      </c>
      <c r="C11" s="5" t="s">
        <v>202</v>
      </c>
      <c r="D11" s="5" t="s">
        <v>202</v>
      </c>
    </row>
    <row r="12" spans="1:5" x14ac:dyDescent="0.2">
      <c r="A12" s="3" t="s">
        <v>58</v>
      </c>
      <c r="B12">
        <f>PedBerMedIV!S26</f>
        <v>0</v>
      </c>
      <c r="C12" s="5"/>
      <c r="D12" s="5"/>
    </row>
    <row r="13" spans="1:5" x14ac:dyDescent="0.2">
      <c r="A13" s="7" t="s">
        <v>190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197</v>
      </c>
      <c r="B14">
        <f>PedBerEnt!Q7</f>
        <v>0</v>
      </c>
      <c r="C14">
        <f>IF(_Pat_Gewicht&gt;0,B14/(_Pat_Gewicht/10),0)</f>
        <v>0</v>
      </c>
      <c r="D14" s="5" t="s">
        <v>202</v>
      </c>
    </row>
    <row r="15" spans="1:5" x14ac:dyDescent="0.2">
      <c r="A15" s="3" t="s">
        <v>195</v>
      </c>
      <c r="B15">
        <f>PedBerTPN!O24</f>
        <v>0</v>
      </c>
      <c r="C15">
        <f>IF(_Pat_Gewicht&gt;0,B15/(_Pat_Gewicht/10),0)</f>
        <v>0</v>
      </c>
      <c r="D15" s="5" t="s">
        <v>202</v>
      </c>
    </row>
    <row r="16" spans="1:5" x14ac:dyDescent="0.2">
      <c r="A16" s="3" t="s">
        <v>196</v>
      </c>
      <c r="B16">
        <f>PedBerMedIV!T26</f>
        <v>0</v>
      </c>
      <c r="D16">
        <f>B16*9</f>
        <v>0</v>
      </c>
    </row>
    <row r="17" spans="1:5" x14ac:dyDescent="0.2">
      <c r="A17" s="7" t="s">
        <v>331</v>
      </c>
      <c r="B17" s="8">
        <f>SUM(B18:B22)</f>
        <v>1.1160000000000001</v>
      </c>
      <c r="C17" s="8">
        <f>SUM(C18:C22)</f>
        <v>1.1160000000000001</v>
      </c>
      <c r="D17" s="8"/>
      <c r="E17" s="9"/>
    </row>
    <row r="18" spans="1:5" x14ac:dyDescent="0.2">
      <c r="A18" s="3" t="s">
        <v>197</v>
      </c>
      <c r="B18">
        <f>PedBerEnt!R7</f>
        <v>0</v>
      </c>
      <c r="C18">
        <f>IF(_Pat_Gewicht&gt;0,B18/(_Pat_Gewicht/10),0)</f>
        <v>0</v>
      </c>
    </row>
    <row r="19" spans="1:5" x14ac:dyDescent="0.2">
      <c r="A19" s="3" t="s">
        <v>235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201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PedBerMedIV!Q26</f>
        <v>1.1160000000000001</v>
      </c>
      <c r="C21">
        <f>IF(_Pat_Gewicht&gt;0,B21/(_Pat_Gewicht/10),0)</f>
        <v>1.1160000000000001</v>
      </c>
    </row>
    <row r="22" spans="1:5" x14ac:dyDescent="0.2">
      <c r="A22" s="2" t="s">
        <v>226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332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2">
      <c r="A24" s="3" t="s">
        <v>197</v>
      </c>
      <c r="B24">
        <f>PedBerEnt!S7</f>
        <v>0</v>
      </c>
      <c r="C24">
        <f>IF(_Pat_Gewicht&gt;0,B24/(_Pat_Gewicht/10),0)</f>
        <v>0</v>
      </c>
    </row>
    <row r="25" spans="1:5" x14ac:dyDescent="0.2">
      <c r="A25" s="3" t="s">
        <v>226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201</v>
      </c>
      <c r="B26">
        <f>PedBerMedIV!R26</f>
        <v>0</v>
      </c>
      <c r="C26">
        <f>IF(_Pat_Gewicht&gt;0,B26/(_Pat_Gewicht/10),0)</f>
        <v>0</v>
      </c>
    </row>
    <row r="27" spans="1:5" x14ac:dyDescent="0.2">
      <c r="A27" s="7" t="s">
        <v>186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2">
      <c r="A28" s="3" t="s">
        <v>197</v>
      </c>
      <c r="B28">
        <f>PedBerEnt!T7</f>
        <v>0</v>
      </c>
      <c r="C28">
        <f>IF(_Pat_Gewicht&gt;0,B28/(_Pat_Gewicht/10),0)</f>
        <v>0</v>
      </c>
    </row>
    <row r="29" spans="1:5" x14ac:dyDescent="0.2">
      <c r="A29" s="3" t="s">
        <v>226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187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2">
      <c r="A31" s="3" t="s">
        <v>197</v>
      </c>
      <c r="B31">
        <f>PedBerEnt!U7</f>
        <v>0</v>
      </c>
      <c r="C31">
        <f>IF(_Pat_Gewicht&gt;0,B31/(_Pat_Gewicht/10),0)</f>
        <v>0</v>
      </c>
    </row>
    <row r="32" spans="1:5" x14ac:dyDescent="0.2">
      <c r="A32" s="3" t="s">
        <v>226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188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2">
      <c r="A34" s="3" t="s">
        <v>197</v>
      </c>
      <c r="B34">
        <f>PedBerEnt!V7</f>
        <v>0</v>
      </c>
      <c r="C34">
        <f>IF(_Pat_Gewicht&gt;0,B34/(_Pat_Gewicht/10),0)</f>
        <v>0</v>
      </c>
    </row>
    <row r="35" spans="1:5" x14ac:dyDescent="0.2">
      <c r="A35" s="3" t="s">
        <v>195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937</v>
      </c>
      <c r="B36" s="8">
        <f>SUM(B37)</f>
        <v>0</v>
      </c>
      <c r="C36" s="8">
        <f>SUM(C37)</f>
        <v>0</v>
      </c>
      <c r="D36" s="8"/>
      <c r="E36" s="9"/>
    </row>
    <row r="37" spans="1:5" x14ac:dyDescent="0.2">
      <c r="A37" s="3" t="s">
        <v>197</v>
      </c>
      <c r="B37" s="310">
        <f>PedBerEnt!W7</f>
        <v>0</v>
      </c>
      <c r="C37" s="310">
        <f>IF(_Pat_Gewicht&gt;0,B37/(_Pat_Gewicht/10),0)</f>
        <v>0</v>
      </c>
      <c r="D37" s="310"/>
      <c r="E37" s="310"/>
    </row>
    <row r="38" spans="1:5" x14ac:dyDescent="0.2">
      <c r="A38" s="7" t="s">
        <v>936</v>
      </c>
      <c r="B38" s="8">
        <f>SUM(B39)</f>
        <v>0</v>
      </c>
      <c r="C38" s="8">
        <f>SUM(C39)</f>
        <v>0</v>
      </c>
      <c r="D38" s="8"/>
      <c r="E38" s="9"/>
    </row>
    <row r="39" spans="1:5" x14ac:dyDescent="0.2">
      <c r="A39" s="3" t="s">
        <v>197</v>
      </c>
      <c r="B39" s="310">
        <f>PedBerEnt!X7</f>
        <v>0</v>
      </c>
      <c r="C39" s="310">
        <f>IF(_Pat_Gewicht&gt;0,B39/(_Pat_Gewicht/10),0)</f>
        <v>0</v>
      </c>
      <c r="D39" s="310"/>
      <c r="E39" s="310"/>
    </row>
    <row r="40" spans="1:5" x14ac:dyDescent="0.2">
      <c r="A40" s="7" t="s">
        <v>935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197</v>
      </c>
      <c r="B41" s="310">
        <f>PedBerEnt!Y7</f>
        <v>0</v>
      </c>
      <c r="C41" s="310">
        <f>IF(_Pat_Gewicht&gt;0,B41/(_Pat_Gewicht/10),0)</f>
        <v>0</v>
      </c>
      <c r="D41" s="310"/>
      <c r="E41" s="310"/>
    </row>
    <row r="42" spans="1:5" x14ac:dyDescent="0.2">
      <c r="A42" s="10" t="s">
        <v>226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2">
      <c r="A44" s="3" t="s">
        <v>215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227</v>
      </c>
      <c r="C2" t="s">
        <v>189</v>
      </c>
      <c r="D2" t="s">
        <v>228</v>
      </c>
      <c r="E2" t="s">
        <v>190</v>
      </c>
      <c r="F2" t="s">
        <v>222</v>
      </c>
      <c r="G2" t="s">
        <v>223</v>
      </c>
      <c r="H2" t="s">
        <v>224</v>
      </c>
      <c r="I2" t="s">
        <v>229</v>
      </c>
      <c r="J2" t="s">
        <v>225</v>
      </c>
      <c r="K2" t="s">
        <v>851</v>
      </c>
      <c r="L2" t="s">
        <v>852</v>
      </c>
      <c r="M2" t="s">
        <v>569</v>
      </c>
    </row>
    <row r="3" spans="1:13" x14ac:dyDescent="0.2">
      <c r="A3" s="311" t="s">
        <v>4609</v>
      </c>
      <c r="B3" t="s">
        <v>4588</v>
      </c>
      <c r="C3" t="s">
        <v>31</v>
      </c>
      <c r="D3" t="s">
        <v>31</v>
      </c>
      <c r="E3" t="s">
        <v>31</v>
      </c>
      <c r="F3" t="s">
        <v>472</v>
      </c>
      <c r="G3" t="s">
        <v>472</v>
      </c>
      <c r="H3" t="s">
        <v>472</v>
      </c>
      <c r="I3" t="s">
        <v>472</v>
      </c>
      <c r="J3" t="s">
        <v>472</v>
      </c>
      <c r="K3" t="s">
        <v>472</v>
      </c>
      <c r="L3" t="s">
        <v>4590</v>
      </c>
      <c r="M3" t="s">
        <v>472</v>
      </c>
    </row>
    <row r="5" spans="1:13" x14ac:dyDescent="0.2">
      <c r="A5" t="s">
        <v>327</v>
      </c>
      <c r="B5">
        <f t="shared" ref="B5:M10" si="0">VLOOKUP($A5,Tbl_Glob_ParEnt,B$1,FALSE)</f>
        <v>0.32</v>
      </c>
      <c r="C5" s="310">
        <f t="shared" si="0"/>
        <v>0.08</v>
      </c>
      <c r="D5" s="310">
        <f t="shared" si="0"/>
        <v>0</v>
      </c>
      <c r="E5" s="310">
        <f t="shared" si="0"/>
        <v>0</v>
      </c>
      <c r="F5" s="310">
        <f t="shared" si="0"/>
        <v>8.0000000000000002E-3</v>
      </c>
      <c r="G5" s="310">
        <f t="shared" si="0"/>
        <v>0.02</v>
      </c>
      <c r="H5" s="310">
        <f t="shared" si="0"/>
        <v>2.8000000000000001E-2</v>
      </c>
      <c r="I5" s="310">
        <f t="shared" si="0"/>
        <v>2.4E-2</v>
      </c>
      <c r="J5" s="310">
        <f t="shared" si="0"/>
        <v>8.0000000000000002E-3</v>
      </c>
      <c r="K5" s="310">
        <f t="shared" si="0"/>
        <v>0</v>
      </c>
      <c r="L5" s="310">
        <f t="shared" si="0"/>
        <v>0</v>
      </c>
      <c r="M5" s="310">
        <f t="shared" si="0"/>
        <v>0</v>
      </c>
    </row>
    <row r="6" spans="1:13" x14ac:dyDescent="0.2">
      <c r="A6" t="s">
        <v>326</v>
      </c>
      <c r="B6" s="310">
        <f t="shared" si="0"/>
        <v>0.28999999999999998</v>
      </c>
      <c r="C6" s="310">
        <f t="shared" si="0"/>
        <v>7.4285714285714288E-2</v>
      </c>
      <c r="D6" s="310">
        <f t="shared" si="0"/>
        <v>0</v>
      </c>
      <c r="E6" s="310">
        <f t="shared" si="0"/>
        <v>0</v>
      </c>
      <c r="F6" s="310">
        <f t="shared" si="0"/>
        <v>7.1428571428571426E-3</v>
      </c>
      <c r="G6" s="310">
        <f t="shared" si="0"/>
        <v>1.7142857142857144E-2</v>
      </c>
      <c r="H6" s="310">
        <f t="shared" si="0"/>
        <v>2.5714285714285714E-2</v>
      </c>
      <c r="I6" s="310">
        <f t="shared" si="0"/>
        <v>2.1428571428571429E-2</v>
      </c>
      <c r="J6" s="310">
        <f t="shared" si="0"/>
        <v>5.7142857142857143E-3</v>
      </c>
      <c r="K6" s="310">
        <f t="shared" si="0"/>
        <v>0</v>
      </c>
      <c r="L6" s="310">
        <f t="shared" si="0"/>
        <v>0</v>
      </c>
      <c r="M6" s="310">
        <f t="shared" si="0"/>
        <v>0</v>
      </c>
    </row>
    <row r="7" spans="1:13" x14ac:dyDescent="0.2">
      <c r="A7" t="s">
        <v>327</v>
      </c>
      <c r="B7" s="310">
        <f t="shared" si="0"/>
        <v>0.32</v>
      </c>
      <c r="C7" s="310">
        <f t="shared" si="0"/>
        <v>0.08</v>
      </c>
      <c r="D7" s="310">
        <f t="shared" si="0"/>
        <v>0</v>
      </c>
      <c r="E7" s="310">
        <f t="shared" si="0"/>
        <v>0</v>
      </c>
      <c r="F7" s="310">
        <f t="shared" si="0"/>
        <v>8.0000000000000002E-3</v>
      </c>
      <c r="G7" s="310">
        <f t="shared" si="0"/>
        <v>0.02</v>
      </c>
      <c r="H7" s="310">
        <f t="shared" si="0"/>
        <v>2.8000000000000001E-2</v>
      </c>
      <c r="I7" s="310">
        <f t="shared" si="0"/>
        <v>2.4E-2</v>
      </c>
      <c r="J7" s="310">
        <f t="shared" si="0"/>
        <v>8.0000000000000002E-3</v>
      </c>
      <c r="K7" s="310">
        <f t="shared" si="0"/>
        <v>0</v>
      </c>
      <c r="L7" s="310">
        <f t="shared" si="0"/>
        <v>0</v>
      </c>
      <c r="M7" s="310">
        <f t="shared" si="0"/>
        <v>0</v>
      </c>
    </row>
    <row r="8" spans="1:13" x14ac:dyDescent="0.2">
      <c r="A8" t="s">
        <v>41</v>
      </c>
      <c r="B8" s="310">
        <f t="shared" si="0"/>
        <v>0.35</v>
      </c>
      <c r="C8" s="310">
        <f t="shared" si="0"/>
        <v>8.7999999999999995E-2</v>
      </c>
      <c r="D8" s="310">
        <f t="shared" si="0"/>
        <v>0</v>
      </c>
      <c r="E8" s="310">
        <f t="shared" si="0"/>
        <v>0</v>
      </c>
      <c r="F8" s="310">
        <f t="shared" si="0"/>
        <v>0.01</v>
      </c>
      <c r="G8" s="310">
        <f t="shared" si="0"/>
        <v>2.5000000000000001E-2</v>
      </c>
      <c r="H8" s="310">
        <f t="shared" si="0"/>
        <v>1.7999999999999999E-2</v>
      </c>
      <c r="I8" s="310">
        <f t="shared" si="0"/>
        <v>0.03</v>
      </c>
      <c r="J8" s="310">
        <f t="shared" si="0"/>
        <v>0.01</v>
      </c>
      <c r="K8" s="310">
        <f t="shared" si="0"/>
        <v>0</v>
      </c>
      <c r="L8" s="310">
        <f t="shared" si="0"/>
        <v>0</v>
      </c>
      <c r="M8" s="310">
        <f t="shared" si="0"/>
        <v>0</v>
      </c>
    </row>
    <row r="9" spans="1:13" x14ac:dyDescent="0.2">
      <c r="A9" t="s">
        <v>42</v>
      </c>
      <c r="B9" s="310">
        <f t="shared" si="0"/>
        <v>0.33</v>
      </c>
      <c r="C9" s="310">
        <f t="shared" si="0"/>
        <v>8.3000000000000004E-2</v>
      </c>
      <c r="D9" s="310">
        <f t="shared" si="0"/>
        <v>0</v>
      </c>
      <c r="E9" s="310">
        <f t="shared" si="0"/>
        <v>0</v>
      </c>
      <c r="F9" s="310">
        <f t="shared" si="0"/>
        <v>1.2499999999999999E-2</v>
      </c>
      <c r="G9" s="310">
        <f t="shared" si="0"/>
        <v>3.1E-2</v>
      </c>
      <c r="H9" s="310">
        <f t="shared" si="0"/>
        <v>2.5999999999999999E-2</v>
      </c>
      <c r="I9" s="310">
        <f t="shared" si="0"/>
        <v>3.7999999999999999E-2</v>
      </c>
      <c r="J9" s="310">
        <f t="shared" si="0"/>
        <v>1.2500000000000001E-2</v>
      </c>
      <c r="K9" s="310">
        <f t="shared" si="0"/>
        <v>0</v>
      </c>
      <c r="L9" s="310">
        <f t="shared" si="0"/>
        <v>0</v>
      </c>
      <c r="M9" s="310">
        <f t="shared" si="0"/>
        <v>0</v>
      </c>
    </row>
    <row r="10" spans="1:13" x14ac:dyDescent="0.2">
      <c r="A10" t="s">
        <v>78</v>
      </c>
      <c r="B10" s="310">
        <f t="shared" si="0"/>
        <v>0.96</v>
      </c>
      <c r="C10" s="310">
        <f t="shared" si="0"/>
        <v>7.0000000000000007E-2</v>
      </c>
      <c r="D10" s="310">
        <f t="shared" si="0"/>
        <v>0.24</v>
      </c>
      <c r="E10" s="310">
        <f t="shared" si="0"/>
        <v>0</v>
      </c>
      <c r="F10" s="310">
        <f t="shared" si="0"/>
        <v>4.0500000000000001E-2</v>
      </c>
      <c r="G10" s="310">
        <f t="shared" si="0"/>
        <v>2.5700000000000001E-2</v>
      </c>
      <c r="H10" s="310">
        <f t="shared" si="0"/>
        <v>4.1000000000000003E-3</v>
      </c>
      <c r="I10" s="310">
        <f t="shared" si="0"/>
        <v>1.47E-2</v>
      </c>
      <c r="J10" s="310">
        <f t="shared" si="0"/>
        <v>5.0000000000000001E-3</v>
      </c>
      <c r="K10" s="310">
        <f t="shared" si="0"/>
        <v>0</v>
      </c>
      <c r="L10" s="310">
        <f t="shared" si="0"/>
        <v>0</v>
      </c>
      <c r="M10" s="310">
        <f t="shared" si="0"/>
        <v>0</v>
      </c>
    </row>
    <row r="11" spans="1:13" x14ac:dyDescent="0.2">
      <c r="A11" s="311" t="s">
        <v>4610</v>
      </c>
    </row>
    <row r="12" spans="1:13" x14ac:dyDescent="0.2">
      <c r="A12" s="310"/>
    </row>
    <row r="13" spans="1:13" x14ac:dyDescent="0.2">
      <c r="A13" s="310" t="s">
        <v>295</v>
      </c>
      <c r="B13" s="310">
        <f t="shared" ref="B13:M26" si="1">VLOOKUP($A13,Tbl_Glob_ParEnt,B$1,FALSE)</f>
        <v>0.2</v>
      </c>
      <c r="C13" s="310">
        <f t="shared" si="1"/>
        <v>0</v>
      </c>
      <c r="D13" s="310">
        <f t="shared" si="1"/>
        <v>0.05</v>
      </c>
      <c r="E13" s="310">
        <f t="shared" si="1"/>
        <v>0</v>
      </c>
      <c r="F13" s="310">
        <f t="shared" si="1"/>
        <v>0</v>
      </c>
      <c r="G13" s="310">
        <f t="shared" si="1"/>
        <v>0</v>
      </c>
      <c r="H13" s="310">
        <f t="shared" si="1"/>
        <v>0</v>
      </c>
      <c r="I13" s="310">
        <f t="shared" si="1"/>
        <v>0</v>
      </c>
      <c r="J13" s="310">
        <f t="shared" si="1"/>
        <v>0</v>
      </c>
      <c r="K13" s="310">
        <f t="shared" si="1"/>
        <v>0</v>
      </c>
      <c r="L13" s="310">
        <f t="shared" si="1"/>
        <v>0</v>
      </c>
      <c r="M13" s="310">
        <f t="shared" si="1"/>
        <v>0</v>
      </c>
    </row>
    <row r="14" spans="1:13" x14ac:dyDescent="0.2">
      <c r="A14" s="310" t="s">
        <v>296</v>
      </c>
      <c r="B14" s="310">
        <f t="shared" si="1"/>
        <v>0.4</v>
      </c>
      <c r="C14" s="310">
        <f t="shared" si="1"/>
        <v>0</v>
      </c>
      <c r="D14" s="310">
        <f t="shared" si="1"/>
        <v>0.1</v>
      </c>
      <c r="E14" s="310">
        <f t="shared" si="1"/>
        <v>0</v>
      </c>
      <c r="F14" s="310">
        <f t="shared" si="1"/>
        <v>0</v>
      </c>
      <c r="G14" s="310">
        <f t="shared" si="1"/>
        <v>0</v>
      </c>
      <c r="H14" s="310">
        <f t="shared" si="1"/>
        <v>0</v>
      </c>
      <c r="I14" s="310">
        <f t="shared" si="1"/>
        <v>0</v>
      </c>
      <c r="J14" s="310">
        <f t="shared" si="1"/>
        <v>0</v>
      </c>
      <c r="K14" s="310">
        <f t="shared" si="1"/>
        <v>0</v>
      </c>
      <c r="L14" s="310">
        <f t="shared" si="1"/>
        <v>0</v>
      </c>
      <c r="M14" s="310">
        <f t="shared" si="1"/>
        <v>0</v>
      </c>
    </row>
    <row r="15" spans="1:13" x14ac:dyDescent="0.2">
      <c r="A15" s="310" t="s">
        <v>84</v>
      </c>
      <c r="B15" s="310">
        <f t="shared" si="1"/>
        <v>0.5</v>
      </c>
      <c r="C15" s="310">
        <f t="shared" si="1"/>
        <v>0</v>
      </c>
      <c r="D15" s="310">
        <f t="shared" si="1"/>
        <v>0.125</v>
      </c>
      <c r="E15" s="310">
        <f t="shared" si="1"/>
        <v>0</v>
      </c>
      <c r="F15" s="310">
        <f t="shared" si="1"/>
        <v>0</v>
      </c>
      <c r="G15" s="310">
        <f t="shared" si="1"/>
        <v>0</v>
      </c>
      <c r="H15" s="310">
        <f t="shared" si="1"/>
        <v>0</v>
      </c>
      <c r="I15" s="310">
        <f t="shared" si="1"/>
        <v>0</v>
      </c>
      <c r="J15" s="310">
        <f t="shared" si="1"/>
        <v>0</v>
      </c>
      <c r="K15" s="310">
        <f t="shared" si="1"/>
        <v>0</v>
      </c>
      <c r="L15" s="310">
        <f t="shared" si="1"/>
        <v>0</v>
      </c>
      <c r="M15" s="310">
        <f t="shared" si="1"/>
        <v>0</v>
      </c>
    </row>
    <row r="16" spans="1:13" x14ac:dyDescent="0.2">
      <c r="A16" s="310" t="s">
        <v>95</v>
      </c>
      <c r="B16" s="310">
        <f t="shared" si="1"/>
        <v>0.6</v>
      </c>
      <c r="C16" s="310">
        <f t="shared" si="1"/>
        <v>0</v>
      </c>
      <c r="D16" s="310">
        <f t="shared" si="1"/>
        <v>0.15</v>
      </c>
      <c r="E16" s="310">
        <f t="shared" si="1"/>
        <v>0</v>
      </c>
      <c r="F16" s="310">
        <f t="shared" si="1"/>
        <v>0</v>
      </c>
      <c r="G16" s="310">
        <f t="shared" si="1"/>
        <v>0</v>
      </c>
      <c r="H16" s="310">
        <f t="shared" si="1"/>
        <v>0</v>
      </c>
      <c r="I16" s="310">
        <f t="shared" si="1"/>
        <v>0</v>
      </c>
      <c r="J16" s="310">
        <f t="shared" si="1"/>
        <v>0</v>
      </c>
      <c r="K16" s="310">
        <f t="shared" si="1"/>
        <v>0</v>
      </c>
      <c r="L16" s="310">
        <f t="shared" si="1"/>
        <v>0</v>
      </c>
      <c r="M16" s="310">
        <f t="shared" si="1"/>
        <v>0</v>
      </c>
    </row>
    <row r="17" spans="1:13" x14ac:dyDescent="0.2">
      <c r="A17" s="310" t="s">
        <v>83</v>
      </c>
      <c r="B17" s="310">
        <f t="shared" si="1"/>
        <v>0.7</v>
      </c>
      <c r="C17" s="310">
        <f t="shared" si="1"/>
        <v>0</v>
      </c>
      <c r="D17" s="310">
        <f t="shared" si="1"/>
        <v>0.17499999999999999</v>
      </c>
      <c r="E17" s="310">
        <f t="shared" si="1"/>
        <v>0</v>
      </c>
      <c r="F17" s="310">
        <f t="shared" si="1"/>
        <v>0</v>
      </c>
      <c r="G17" s="310">
        <f t="shared" si="1"/>
        <v>0</v>
      </c>
      <c r="H17" s="310">
        <f t="shared" si="1"/>
        <v>0</v>
      </c>
      <c r="I17" s="310">
        <f t="shared" si="1"/>
        <v>0</v>
      </c>
      <c r="J17" s="310">
        <f t="shared" si="1"/>
        <v>0</v>
      </c>
      <c r="K17" s="310">
        <f t="shared" si="1"/>
        <v>0</v>
      </c>
      <c r="L17" s="310">
        <f t="shared" si="1"/>
        <v>0</v>
      </c>
      <c r="M17" s="310">
        <f t="shared" si="1"/>
        <v>0</v>
      </c>
    </row>
    <row r="18" spans="1:13" x14ac:dyDescent="0.2">
      <c r="A18" s="310" t="s">
        <v>93</v>
      </c>
      <c r="B18" s="310">
        <f t="shared" si="1"/>
        <v>0.8</v>
      </c>
      <c r="C18" s="310">
        <f t="shared" si="1"/>
        <v>0</v>
      </c>
      <c r="D18" s="310">
        <f t="shared" si="1"/>
        <v>0.2</v>
      </c>
      <c r="E18" s="310">
        <f t="shared" si="1"/>
        <v>0</v>
      </c>
      <c r="F18" s="310">
        <f t="shared" si="1"/>
        <v>0</v>
      </c>
      <c r="G18" s="310">
        <f t="shared" si="1"/>
        <v>0</v>
      </c>
      <c r="H18" s="310">
        <f t="shared" si="1"/>
        <v>0</v>
      </c>
      <c r="I18" s="310">
        <f t="shared" si="1"/>
        <v>0</v>
      </c>
      <c r="J18" s="310">
        <f t="shared" si="1"/>
        <v>0</v>
      </c>
      <c r="K18" s="310">
        <f t="shared" si="1"/>
        <v>0</v>
      </c>
      <c r="L18" s="310">
        <f t="shared" si="1"/>
        <v>0</v>
      </c>
      <c r="M18" s="310">
        <f t="shared" si="1"/>
        <v>0</v>
      </c>
    </row>
    <row r="19" spans="1:13" x14ac:dyDescent="0.2">
      <c r="A19" s="310" t="s">
        <v>211</v>
      </c>
      <c r="B19" s="310">
        <f t="shared" si="1"/>
        <v>1</v>
      </c>
      <c r="C19" s="310">
        <f t="shared" si="1"/>
        <v>0</v>
      </c>
      <c r="D19" s="310">
        <f t="shared" si="1"/>
        <v>0.25</v>
      </c>
      <c r="E19" s="310">
        <f t="shared" si="1"/>
        <v>0</v>
      </c>
      <c r="F19" s="310">
        <f t="shared" si="1"/>
        <v>0</v>
      </c>
      <c r="G19" s="310">
        <f t="shared" si="1"/>
        <v>0</v>
      </c>
      <c r="H19" s="310">
        <f t="shared" si="1"/>
        <v>0</v>
      </c>
      <c r="I19" s="310">
        <f t="shared" si="1"/>
        <v>0</v>
      </c>
      <c r="J19" s="310">
        <f t="shared" si="1"/>
        <v>0</v>
      </c>
      <c r="K19" s="310">
        <f t="shared" si="1"/>
        <v>0</v>
      </c>
      <c r="L19" s="310">
        <f t="shared" si="1"/>
        <v>0</v>
      </c>
      <c r="M19" s="310">
        <f t="shared" si="1"/>
        <v>0</v>
      </c>
    </row>
    <row r="20" spans="1:13" x14ac:dyDescent="0.2">
      <c r="A20" s="310" t="s">
        <v>210</v>
      </c>
      <c r="B20" s="310">
        <f t="shared" si="1"/>
        <v>1.2</v>
      </c>
      <c r="C20" s="310">
        <f t="shared" si="1"/>
        <v>0</v>
      </c>
      <c r="D20" s="310">
        <f t="shared" si="1"/>
        <v>0.3</v>
      </c>
      <c r="E20" s="310">
        <f t="shared" si="1"/>
        <v>0</v>
      </c>
      <c r="F20" s="310">
        <f t="shared" si="1"/>
        <v>0</v>
      </c>
      <c r="G20" s="310">
        <f t="shared" si="1"/>
        <v>0</v>
      </c>
      <c r="H20" s="310">
        <f t="shared" si="1"/>
        <v>0</v>
      </c>
      <c r="I20" s="310">
        <f t="shared" si="1"/>
        <v>0</v>
      </c>
      <c r="J20" s="310">
        <f t="shared" si="1"/>
        <v>0</v>
      </c>
      <c r="K20" s="310">
        <f t="shared" si="1"/>
        <v>0</v>
      </c>
      <c r="L20" s="310">
        <f t="shared" si="1"/>
        <v>0</v>
      </c>
      <c r="M20" s="310">
        <f t="shared" si="1"/>
        <v>0</v>
      </c>
    </row>
    <row r="21" spans="1:13" x14ac:dyDescent="0.2">
      <c r="A21" s="310" t="s">
        <v>260</v>
      </c>
      <c r="B21" s="310">
        <f t="shared" si="1"/>
        <v>1.6</v>
      </c>
      <c r="C21" s="310">
        <f t="shared" si="1"/>
        <v>0</v>
      </c>
      <c r="D21" s="310">
        <f t="shared" si="1"/>
        <v>0.4</v>
      </c>
      <c r="E21" s="310">
        <f t="shared" si="1"/>
        <v>0</v>
      </c>
      <c r="F21" s="310">
        <f t="shared" si="1"/>
        <v>0</v>
      </c>
      <c r="G21" s="310">
        <f t="shared" si="1"/>
        <v>0</v>
      </c>
      <c r="H21" s="310">
        <f t="shared" si="1"/>
        <v>0</v>
      </c>
      <c r="I21" s="310">
        <f t="shared" si="1"/>
        <v>0</v>
      </c>
      <c r="J21" s="310">
        <f t="shared" si="1"/>
        <v>0</v>
      </c>
      <c r="K21" s="310">
        <f t="shared" si="1"/>
        <v>0</v>
      </c>
      <c r="L21" s="310">
        <f t="shared" si="1"/>
        <v>0</v>
      </c>
      <c r="M21" s="310">
        <f t="shared" si="1"/>
        <v>0</v>
      </c>
    </row>
    <row r="22" spans="1:13" x14ac:dyDescent="0.2">
      <c r="A22" s="310" t="s">
        <v>94</v>
      </c>
      <c r="B22" s="310">
        <f t="shared" si="1"/>
        <v>2</v>
      </c>
      <c r="C22" s="310">
        <f t="shared" si="1"/>
        <v>0</v>
      </c>
      <c r="D22" s="310">
        <f t="shared" si="1"/>
        <v>0.5</v>
      </c>
      <c r="E22" s="310">
        <f t="shared" si="1"/>
        <v>0</v>
      </c>
      <c r="F22" s="310">
        <f t="shared" si="1"/>
        <v>0</v>
      </c>
      <c r="G22" s="310">
        <f t="shared" si="1"/>
        <v>0</v>
      </c>
      <c r="H22" s="310">
        <f t="shared" si="1"/>
        <v>0</v>
      </c>
      <c r="I22" s="310">
        <f t="shared" si="1"/>
        <v>0</v>
      </c>
      <c r="J22" s="310">
        <f t="shared" si="1"/>
        <v>0</v>
      </c>
      <c r="K22" s="310">
        <f t="shared" si="1"/>
        <v>0</v>
      </c>
      <c r="L22" s="310">
        <f t="shared" si="1"/>
        <v>0</v>
      </c>
      <c r="M22" s="310">
        <f t="shared" si="1"/>
        <v>0</v>
      </c>
    </row>
    <row r="23" spans="1:13" x14ac:dyDescent="0.2">
      <c r="A23" s="310" t="s">
        <v>448</v>
      </c>
      <c r="B23" s="310">
        <f t="shared" si="1"/>
        <v>0.2</v>
      </c>
      <c r="C23" s="310">
        <f t="shared" si="1"/>
        <v>0</v>
      </c>
      <c r="D23" s="310">
        <f t="shared" si="1"/>
        <v>0.05</v>
      </c>
      <c r="E23" s="310">
        <f t="shared" si="1"/>
        <v>0</v>
      </c>
      <c r="F23" s="310">
        <f t="shared" si="1"/>
        <v>7.6999999999999999E-2</v>
      </c>
      <c r="G23" s="310">
        <f t="shared" si="1"/>
        <v>0</v>
      </c>
      <c r="H23" s="310">
        <f t="shared" si="1"/>
        <v>0</v>
      </c>
      <c r="I23" s="310">
        <f t="shared" si="1"/>
        <v>0</v>
      </c>
      <c r="J23" s="310">
        <f t="shared" si="1"/>
        <v>0</v>
      </c>
      <c r="K23" s="310">
        <f t="shared" si="1"/>
        <v>0</v>
      </c>
      <c r="L23" s="310">
        <f t="shared" si="1"/>
        <v>0</v>
      </c>
      <c r="M23" s="310">
        <f t="shared" si="1"/>
        <v>7.6999999999999999E-2</v>
      </c>
    </row>
    <row r="24" spans="1:13" x14ac:dyDescent="0.2">
      <c r="A24" s="310" t="s">
        <v>449</v>
      </c>
      <c r="B24" s="310">
        <f t="shared" si="1"/>
        <v>0.2</v>
      </c>
      <c r="C24" s="310">
        <f t="shared" si="1"/>
        <v>0</v>
      </c>
      <c r="D24" s="310">
        <f t="shared" si="1"/>
        <v>0.05</v>
      </c>
      <c r="E24" s="310">
        <f t="shared" si="1"/>
        <v>0</v>
      </c>
      <c r="F24" s="310">
        <f t="shared" si="1"/>
        <v>0.155</v>
      </c>
      <c r="G24" s="310">
        <f t="shared" si="1"/>
        <v>0</v>
      </c>
      <c r="H24" s="310">
        <f t="shared" si="1"/>
        <v>0</v>
      </c>
      <c r="I24" s="310">
        <f t="shared" si="1"/>
        <v>0</v>
      </c>
      <c r="J24" s="310">
        <f t="shared" si="1"/>
        <v>0</v>
      </c>
      <c r="K24" s="310">
        <f t="shared" si="1"/>
        <v>0</v>
      </c>
      <c r="L24" s="310">
        <f t="shared" si="1"/>
        <v>0</v>
      </c>
      <c r="M24" s="310">
        <f t="shared" si="1"/>
        <v>0.155</v>
      </c>
    </row>
    <row r="25" spans="1:13" x14ac:dyDescent="0.2">
      <c r="A25" s="310" t="s">
        <v>302</v>
      </c>
      <c r="B25" s="310">
        <f t="shared" si="1"/>
        <v>0</v>
      </c>
      <c r="C25" s="310">
        <f t="shared" si="1"/>
        <v>0</v>
      </c>
      <c r="D25" s="310">
        <f t="shared" si="1"/>
        <v>0</v>
      </c>
      <c r="E25" s="310">
        <f t="shared" si="1"/>
        <v>0</v>
      </c>
      <c r="F25" s="310">
        <f t="shared" si="1"/>
        <v>0.155</v>
      </c>
      <c r="G25" s="310">
        <f t="shared" si="1"/>
        <v>0</v>
      </c>
      <c r="H25" s="310">
        <f t="shared" si="1"/>
        <v>0</v>
      </c>
      <c r="I25" s="310">
        <f t="shared" si="1"/>
        <v>0</v>
      </c>
      <c r="J25" s="310">
        <f t="shared" si="1"/>
        <v>0</v>
      </c>
      <c r="K25" s="310">
        <f t="shared" si="1"/>
        <v>0</v>
      </c>
      <c r="L25" s="310">
        <f t="shared" si="1"/>
        <v>0</v>
      </c>
      <c r="M25" s="310">
        <f t="shared" si="1"/>
        <v>0.155</v>
      </c>
    </row>
    <row r="26" spans="1:13" x14ac:dyDescent="0.2">
      <c r="A26" s="6" t="s">
        <v>450</v>
      </c>
      <c r="B26" s="310">
        <f t="shared" si="1"/>
        <v>0</v>
      </c>
      <c r="C26" s="310">
        <f t="shared" si="1"/>
        <v>0</v>
      </c>
      <c r="D26" s="310">
        <f t="shared" si="1"/>
        <v>0</v>
      </c>
      <c r="E26" s="310">
        <f t="shared" si="1"/>
        <v>0</v>
      </c>
      <c r="F26" s="310">
        <f t="shared" si="1"/>
        <v>0.13100000000000001</v>
      </c>
      <c r="G26" s="310">
        <f t="shared" si="1"/>
        <v>5.4000000000000003E-3</v>
      </c>
      <c r="H26" s="310">
        <f t="shared" si="1"/>
        <v>0</v>
      </c>
      <c r="I26" s="310">
        <f t="shared" si="1"/>
        <v>0</v>
      </c>
      <c r="J26" s="310">
        <f t="shared" si="1"/>
        <v>0</v>
      </c>
      <c r="K26" s="310">
        <f t="shared" si="1"/>
        <v>0</v>
      </c>
      <c r="L26" s="310">
        <f t="shared" si="1"/>
        <v>0</v>
      </c>
      <c r="M26" s="310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5" sqref="F25"/>
    </sheetView>
  </sheetViews>
  <sheetFormatPr defaultColWidth="9.140625" defaultRowHeight="12.75" x14ac:dyDescent="0.2"/>
  <cols>
    <col min="1" max="1" width="22.140625" style="334" bestFit="1" customWidth="1"/>
    <col min="2" max="2" width="8.5703125" style="334" customWidth="1"/>
    <col min="3" max="3" width="9.140625" style="334"/>
    <col min="4" max="5" width="32.85546875" style="334" customWidth="1"/>
    <col min="6" max="16384" width="9.140625" style="334"/>
  </cols>
  <sheetData>
    <row r="1" spans="1:17" x14ac:dyDescent="0.2">
      <c r="A1" s="647" t="s">
        <v>204</v>
      </c>
      <c r="B1" s="647"/>
      <c r="E1" s="334">
        <v>1</v>
      </c>
      <c r="F1" s="334">
        <v>2</v>
      </c>
      <c r="G1" s="334">
        <v>3</v>
      </c>
      <c r="H1" s="334">
        <v>4</v>
      </c>
      <c r="I1" s="334">
        <v>5</v>
      </c>
      <c r="J1" s="334">
        <v>6</v>
      </c>
      <c r="K1" s="334">
        <v>7</v>
      </c>
      <c r="L1" s="334">
        <v>8</v>
      </c>
      <c r="M1" s="334">
        <v>9</v>
      </c>
      <c r="N1" s="334">
        <v>10</v>
      </c>
      <c r="O1" s="334">
        <v>11</v>
      </c>
      <c r="P1" s="334">
        <v>12</v>
      </c>
      <c r="Q1" s="334">
        <v>13</v>
      </c>
    </row>
    <row r="2" spans="1:17" x14ac:dyDescent="0.2">
      <c r="A2" s="150" t="s">
        <v>484</v>
      </c>
      <c r="B2" s="150"/>
      <c r="C2" s="648" t="s">
        <v>4584</v>
      </c>
      <c r="D2" s="648"/>
      <c r="F2" s="334" t="s">
        <v>227</v>
      </c>
      <c r="G2" s="334" t="s">
        <v>189</v>
      </c>
      <c r="H2" s="334" t="s">
        <v>228</v>
      </c>
      <c r="I2" s="334" t="s">
        <v>190</v>
      </c>
      <c r="J2" s="334" t="s">
        <v>222</v>
      </c>
      <c r="K2" s="334" t="s">
        <v>223</v>
      </c>
      <c r="L2" s="334" t="s">
        <v>224</v>
      </c>
      <c r="M2" s="334" t="s">
        <v>229</v>
      </c>
      <c r="N2" s="334" t="s">
        <v>225</v>
      </c>
      <c r="O2" s="334" t="s">
        <v>851</v>
      </c>
      <c r="P2" s="334" t="s">
        <v>852</v>
      </c>
      <c r="Q2" s="334" t="s">
        <v>569</v>
      </c>
    </row>
    <row r="3" spans="1:17" x14ac:dyDescent="0.2">
      <c r="A3" s="150" t="s">
        <v>485</v>
      </c>
      <c r="B3" s="150"/>
      <c r="D3" s="334" t="s">
        <v>4593</v>
      </c>
      <c r="F3" s="334" t="str">
        <f t="shared" ref="F3:Q3" si="0">VLOOKUP(F$2,Tbl_Glob_Conversie,3,FALSE)</f>
        <v>kcal</v>
      </c>
      <c r="G3" s="334" t="str">
        <f t="shared" si="0"/>
        <v>gram</v>
      </c>
      <c r="H3" s="334" t="str">
        <f t="shared" si="0"/>
        <v>gram</v>
      </c>
      <c r="I3" s="334" t="str">
        <f t="shared" si="0"/>
        <v>gram</v>
      </c>
      <c r="J3" s="334" t="str">
        <f t="shared" si="0"/>
        <v>mmol</v>
      </c>
      <c r="K3" s="334" t="str">
        <f t="shared" si="0"/>
        <v>mmol</v>
      </c>
      <c r="L3" s="334" t="str">
        <f t="shared" si="0"/>
        <v>mmol</v>
      </c>
      <c r="M3" s="334" t="str">
        <f t="shared" si="0"/>
        <v>mmol</v>
      </c>
      <c r="N3" s="334" t="str">
        <f t="shared" si="0"/>
        <v>mmol</v>
      </c>
      <c r="O3" s="334" t="str">
        <f t="shared" si="0"/>
        <v>mmol</v>
      </c>
      <c r="P3" s="334" t="str">
        <f t="shared" si="0"/>
        <v>IE</v>
      </c>
      <c r="Q3" s="334" t="str">
        <f t="shared" si="0"/>
        <v>mmol</v>
      </c>
    </row>
    <row r="4" spans="1:17" x14ac:dyDescent="0.2">
      <c r="A4" s="150" t="s">
        <v>486</v>
      </c>
      <c r="B4" s="150"/>
    </row>
    <row r="5" spans="1:17" x14ac:dyDescent="0.2">
      <c r="A5" s="150" t="s">
        <v>487</v>
      </c>
      <c r="B5" s="150"/>
      <c r="C5" s="334" t="s">
        <v>854</v>
      </c>
      <c r="D5" s="334" t="str">
        <f t="shared" ref="D5:D28" si="1">IF(ISBLANK(C5),E5,C5&amp;": "&amp;E5)</f>
        <v>&lt;10 kg: MM</v>
      </c>
      <c r="E5" s="334" t="s">
        <v>162</v>
      </c>
      <c r="F5" s="334">
        <f t="shared" ref="F5:Q14" si="2">VLOOKUP($E5,Tbl_Glob_BerVoeding,F$1,FALSE)</f>
        <v>0.68</v>
      </c>
      <c r="G5" s="334">
        <f t="shared" si="2"/>
        <v>0.01</v>
      </c>
      <c r="H5" s="334">
        <f t="shared" si="2"/>
        <v>7.0000000000000007E-2</v>
      </c>
      <c r="I5" s="334">
        <f t="shared" si="2"/>
        <v>0.04</v>
      </c>
      <c r="J5" s="334">
        <f t="shared" si="2"/>
        <v>8.6956000000000012E-3</v>
      </c>
      <c r="K5" s="334">
        <f t="shared" si="2"/>
        <v>1.2820500000000002E-2</v>
      </c>
      <c r="L5" s="334">
        <f t="shared" si="2"/>
        <v>7.4700000000000001E-3</v>
      </c>
      <c r="M5" s="334">
        <f t="shared" si="2"/>
        <v>4.8433499999999997E-3</v>
      </c>
      <c r="N5" s="334">
        <f t="shared" si="2"/>
        <v>1.23423E-3</v>
      </c>
      <c r="O5" s="334">
        <f t="shared" si="2"/>
        <v>1.7899999999999998E-5</v>
      </c>
      <c r="P5" s="334">
        <f t="shared" si="2"/>
        <v>0</v>
      </c>
      <c r="Q5" s="334">
        <f t="shared" si="2"/>
        <v>1.212858E-2</v>
      </c>
    </row>
    <row r="6" spans="1:17" x14ac:dyDescent="0.2">
      <c r="A6" s="150" t="s">
        <v>983</v>
      </c>
      <c r="B6" s="150"/>
      <c r="C6" s="334" t="s">
        <v>855</v>
      </c>
      <c r="D6" s="334" t="str">
        <f t="shared" si="1"/>
        <v>&lt;3,5 kg: Nutrilon Nenatal Start</v>
      </c>
      <c r="E6" s="334" t="s">
        <v>856</v>
      </c>
      <c r="F6" s="334">
        <f t="shared" si="2"/>
        <v>0.8</v>
      </c>
      <c r="G6" s="334">
        <f t="shared" si="2"/>
        <v>2.6000000000000002E-2</v>
      </c>
      <c r="H6" s="334">
        <f t="shared" si="2"/>
        <v>8.4000000000000005E-2</v>
      </c>
      <c r="I6" s="334">
        <f t="shared" si="2"/>
        <v>3.9E-2</v>
      </c>
      <c r="J6" s="334">
        <f t="shared" si="2"/>
        <v>3.0434599999999999E-2</v>
      </c>
      <c r="K6" s="334">
        <f t="shared" si="2"/>
        <v>2.0512800000000001E-2</v>
      </c>
      <c r="L6" s="334">
        <f t="shared" si="2"/>
        <v>2.4899999999999999E-2</v>
      </c>
      <c r="M6" s="334">
        <f t="shared" si="2"/>
        <v>1.8081839999999998E-2</v>
      </c>
      <c r="N6" s="334">
        <f t="shared" si="2"/>
        <v>3.2912799999999997E-3</v>
      </c>
      <c r="O6" s="334">
        <f t="shared" si="2"/>
        <v>2.8639999999999997E-4</v>
      </c>
      <c r="P6" s="334">
        <f t="shared" si="2"/>
        <v>1.2</v>
      </c>
      <c r="Q6" s="334">
        <f t="shared" si="2"/>
        <v>2.3975099999999999E-2</v>
      </c>
    </row>
    <row r="7" spans="1:17" x14ac:dyDescent="0.2">
      <c r="C7" s="334" t="s">
        <v>855</v>
      </c>
      <c r="D7" s="334" t="str">
        <f t="shared" si="1"/>
        <v>&lt;3,5 kg: Nutrilon Nenatal 1</v>
      </c>
      <c r="E7" s="455" t="s">
        <v>857</v>
      </c>
      <c r="F7" s="334">
        <f t="shared" si="2"/>
        <v>0.75</v>
      </c>
      <c r="G7" s="334">
        <f t="shared" si="2"/>
        <v>0.02</v>
      </c>
      <c r="H7" s="334">
        <f t="shared" si="2"/>
        <v>7.4999999999999997E-2</v>
      </c>
      <c r="I7" s="334">
        <f t="shared" si="2"/>
        <v>0.04</v>
      </c>
      <c r="J7" s="334">
        <f t="shared" si="2"/>
        <v>1.217384E-2</v>
      </c>
      <c r="K7" s="334">
        <f t="shared" si="2"/>
        <v>1.9743570000000002E-2</v>
      </c>
      <c r="L7" s="334">
        <f t="shared" si="2"/>
        <v>2.1662999999999998E-2</v>
      </c>
      <c r="M7" s="334">
        <f t="shared" si="2"/>
        <v>1.517583E-2</v>
      </c>
      <c r="N7" s="334">
        <f t="shared" si="2"/>
        <v>2.8798700000000001E-3</v>
      </c>
      <c r="O7" s="334">
        <f t="shared" si="2"/>
        <v>2.1479999999999999E-4</v>
      </c>
      <c r="P7" s="334">
        <f t="shared" si="2"/>
        <v>0.68</v>
      </c>
      <c r="Q7" s="334">
        <f t="shared" si="2"/>
        <v>1.5513299999999999E-2</v>
      </c>
    </row>
    <row r="8" spans="1:17" x14ac:dyDescent="0.2">
      <c r="D8" s="334" t="str">
        <f t="shared" si="1"/>
        <v>Nutrilon Hypoallergeen 1</v>
      </c>
      <c r="E8" s="649" t="s">
        <v>858</v>
      </c>
      <c r="F8" s="334">
        <f t="shared" si="2"/>
        <v>0.66</v>
      </c>
      <c r="G8" s="334">
        <f t="shared" si="2"/>
        <v>1.4999999999999999E-2</v>
      </c>
      <c r="H8" s="334">
        <f t="shared" si="2"/>
        <v>7.2000000000000008E-2</v>
      </c>
      <c r="I8" s="334">
        <f t="shared" si="2"/>
        <v>3.4000000000000002E-2</v>
      </c>
      <c r="J8" s="334">
        <f t="shared" si="2"/>
        <v>1.0869500000000001E-2</v>
      </c>
      <c r="K8" s="334">
        <f t="shared" si="2"/>
        <v>1.8717930000000001E-2</v>
      </c>
      <c r="L8" s="334">
        <f t="shared" si="2"/>
        <v>1.1453999999999999E-2</v>
      </c>
      <c r="M8" s="334">
        <f t="shared" si="2"/>
        <v>8.3951400000000006E-3</v>
      </c>
      <c r="N8" s="334">
        <f t="shared" si="2"/>
        <v>2.0981909999999997E-3</v>
      </c>
      <c r="O8" s="334">
        <f t="shared" si="2"/>
        <v>9.4870000000000005E-5</v>
      </c>
      <c r="P8" s="334">
        <f t="shared" si="2"/>
        <v>0.48</v>
      </c>
      <c r="Q8" s="334">
        <f t="shared" si="2"/>
        <v>1.1564459999999999E-2</v>
      </c>
    </row>
    <row r="9" spans="1:17" x14ac:dyDescent="0.2">
      <c r="C9" s="334" t="s">
        <v>474</v>
      </c>
      <c r="D9" s="334" t="str">
        <f t="shared" si="1"/>
        <v>3,5-10 kg: Nutrilon Standaard 1</v>
      </c>
      <c r="E9" s="334" t="s">
        <v>572</v>
      </c>
      <c r="F9" s="334">
        <f t="shared" si="2"/>
        <v>0.66</v>
      </c>
      <c r="G9" s="334">
        <f t="shared" si="2"/>
        <v>1.3000000000000001E-2</v>
      </c>
      <c r="H9" s="334">
        <f t="shared" si="2"/>
        <v>7.2999999999999995E-2</v>
      </c>
      <c r="I9" s="334">
        <f t="shared" si="2"/>
        <v>3.4000000000000002E-2</v>
      </c>
      <c r="J9" s="334">
        <f t="shared" si="2"/>
        <v>7.3912600000000002E-3</v>
      </c>
      <c r="K9" s="334">
        <f t="shared" si="2"/>
        <v>1.7435880000000001E-2</v>
      </c>
      <c r="L9" s="334">
        <f t="shared" si="2"/>
        <v>1.4193000000000001E-2</v>
      </c>
      <c r="M9" s="334">
        <f t="shared" si="2"/>
        <v>1.033248E-2</v>
      </c>
      <c r="N9" s="334">
        <f t="shared" si="2"/>
        <v>2.0981909999999997E-3</v>
      </c>
      <c r="O9" s="334">
        <f t="shared" si="2"/>
        <v>6.981E-4</v>
      </c>
      <c r="P9" s="334">
        <f t="shared" si="2"/>
        <v>3.48</v>
      </c>
      <c r="Q9" s="334">
        <f t="shared" si="2"/>
        <v>1.1846520000000001E-2</v>
      </c>
    </row>
    <row r="10" spans="1:17" x14ac:dyDescent="0.2">
      <c r="C10" s="648" t="s">
        <v>474</v>
      </c>
      <c r="D10" s="334" t="str">
        <f t="shared" si="1"/>
        <v>3,5-10 kg: Nutrilon Standaard 2</v>
      </c>
      <c r="E10" s="334" t="s">
        <v>921</v>
      </c>
      <c r="F10" s="334">
        <f t="shared" si="2"/>
        <v>0.68</v>
      </c>
      <c r="G10" s="334">
        <f t="shared" si="2"/>
        <v>1.3999999999999999E-2</v>
      </c>
      <c r="H10" s="334">
        <f t="shared" si="2"/>
        <v>8.5999999999999993E-2</v>
      </c>
      <c r="I10" s="334">
        <f t="shared" si="2"/>
        <v>0.03</v>
      </c>
      <c r="J10" s="334">
        <f t="shared" si="2"/>
        <v>9.9999400000000006E-3</v>
      </c>
      <c r="K10" s="334">
        <f t="shared" si="2"/>
        <v>1.8974339999999999E-2</v>
      </c>
      <c r="L10" s="334">
        <f t="shared" si="2"/>
        <v>1.6184999999999998E-2</v>
      </c>
      <c r="M10" s="334">
        <f t="shared" si="2"/>
        <v>1.162404E-2</v>
      </c>
      <c r="N10" s="334">
        <f t="shared" si="2"/>
        <v>1.974768E-3</v>
      </c>
      <c r="O10" s="334">
        <f t="shared" si="2"/>
        <v>1.253E-3</v>
      </c>
      <c r="P10" s="334">
        <f t="shared" si="2"/>
        <v>0.56000000000000005</v>
      </c>
      <c r="Q10" s="334">
        <f t="shared" si="2"/>
        <v>1.3256820000000001E-2</v>
      </c>
    </row>
    <row r="11" spans="1:17" x14ac:dyDescent="0.2">
      <c r="C11" s="334" t="s">
        <v>854</v>
      </c>
      <c r="D11" s="334" t="str">
        <f t="shared" si="1"/>
        <v>&lt;10 kg: Infatrini</v>
      </c>
      <c r="E11" s="334" t="s">
        <v>17</v>
      </c>
      <c r="F11" s="334">
        <f t="shared" si="2"/>
        <v>1</v>
      </c>
      <c r="G11" s="334">
        <f t="shared" si="2"/>
        <v>2.6000000000000002E-2</v>
      </c>
      <c r="H11" s="334">
        <f t="shared" si="2"/>
        <v>0.10300000000000001</v>
      </c>
      <c r="I11" s="334">
        <f t="shared" si="2"/>
        <v>5.4000000000000006E-2</v>
      </c>
      <c r="J11" s="334">
        <f t="shared" si="2"/>
        <v>1.6086860000000001E-2</v>
      </c>
      <c r="K11" s="334">
        <f t="shared" si="2"/>
        <v>2.4358950000000001E-2</v>
      </c>
      <c r="L11" s="334">
        <f t="shared" si="2"/>
        <v>2.4899999999999999E-2</v>
      </c>
      <c r="M11" s="334">
        <f t="shared" si="2"/>
        <v>1.6144499999999999E-2</v>
      </c>
      <c r="N11" s="334">
        <f t="shared" si="2"/>
        <v>3.7026899999999998E-3</v>
      </c>
      <c r="O11" s="334">
        <f t="shared" si="2"/>
        <v>2.1479999999999999E-4</v>
      </c>
      <c r="P11" s="334">
        <f t="shared" si="2"/>
        <v>0.76</v>
      </c>
      <c r="Q11" s="334">
        <f t="shared" si="2"/>
        <v>1.7487719999999998E-2</v>
      </c>
    </row>
    <row r="12" spans="1:17" x14ac:dyDescent="0.2">
      <c r="C12" s="334" t="s">
        <v>854</v>
      </c>
      <c r="D12" s="334" t="str">
        <f t="shared" si="1"/>
        <v>&lt;10 kg: Infatrini Peptisorb</v>
      </c>
      <c r="E12" s="334" t="s">
        <v>938</v>
      </c>
      <c r="F12" s="334">
        <f t="shared" si="2"/>
        <v>1</v>
      </c>
      <c r="G12" s="334">
        <f t="shared" si="2"/>
        <v>2.6000000000000002E-2</v>
      </c>
      <c r="H12" s="334">
        <f t="shared" si="2"/>
        <v>0.10300000000000001</v>
      </c>
      <c r="I12" s="334">
        <f t="shared" si="2"/>
        <v>5.4000000000000006E-2</v>
      </c>
      <c r="J12" s="334">
        <f t="shared" si="2"/>
        <v>1.391296E-2</v>
      </c>
      <c r="K12" s="334">
        <f t="shared" si="2"/>
        <v>2.769228E-2</v>
      </c>
      <c r="L12" s="334">
        <f t="shared" si="2"/>
        <v>1.992E-2</v>
      </c>
      <c r="M12" s="334">
        <f t="shared" si="2"/>
        <v>1.2915600000000001E-2</v>
      </c>
      <c r="N12" s="334">
        <f t="shared" si="2"/>
        <v>3.2912799999999997E-3</v>
      </c>
      <c r="O12" s="334">
        <f t="shared" si="2"/>
        <v>1.7899999999999999E-4</v>
      </c>
      <c r="P12" s="334">
        <f t="shared" si="2"/>
        <v>0.68</v>
      </c>
      <c r="Q12" s="334">
        <f t="shared" si="2"/>
        <v>1.805184E-2</v>
      </c>
    </row>
    <row r="13" spans="1:17" x14ac:dyDescent="0.2">
      <c r="C13" s="334" t="s">
        <v>854</v>
      </c>
      <c r="D13" s="334" t="str">
        <f t="shared" si="1"/>
        <v>&lt;10 kg: Nutrilon Pepti 1</v>
      </c>
      <c r="E13" s="334" t="s">
        <v>933</v>
      </c>
      <c r="F13" s="334">
        <f t="shared" si="2"/>
        <v>0.67</v>
      </c>
      <c r="G13" s="334">
        <f t="shared" si="2"/>
        <v>1.6E-2</v>
      </c>
      <c r="H13" s="334">
        <f t="shared" si="2"/>
        <v>7.0000000000000007E-2</v>
      </c>
      <c r="I13" s="334">
        <f t="shared" si="2"/>
        <v>3.5000000000000003E-2</v>
      </c>
      <c r="J13" s="334">
        <f t="shared" si="2"/>
        <v>8.6956000000000012E-3</v>
      </c>
      <c r="K13" s="334">
        <f t="shared" si="2"/>
        <v>2.076921E-2</v>
      </c>
      <c r="L13" s="334">
        <f t="shared" si="2"/>
        <v>1.1702999999999998E-2</v>
      </c>
      <c r="M13" s="334">
        <f t="shared" si="2"/>
        <v>8.3951400000000006E-3</v>
      </c>
      <c r="N13" s="334">
        <f t="shared" si="2"/>
        <v>2.1804729999999996E-3</v>
      </c>
      <c r="O13" s="334">
        <f t="shared" si="2"/>
        <v>9.4870000000000005E-5</v>
      </c>
      <c r="P13" s="334">
        <f t="shared" si="2"/>
        <v>0.52</v>
      </c>
      <c r="Q13" s="334">
        <f t="shared" si="2"/>
        <v>1.12824E-2</v>
      </c>
    </row>
    <row r="14" spans="1:17" x14ac:dyDescent="0.2">
      <c r="C14" s="334" t="s">
        <v>475</v>
      </c>
      <c r="D14" s="334" t="str">
        <f t="shared" si="1"/>
        <v>10-20 kg: Nutrini Multi Fibre</v>
      </c>
      <c r="E14" s="334" t="s">
        <v>476</v>
      </c>
      <c r="F14" s="334">
        <f t="shared" si="2"/>
        <v>1.01</v>
      </c>
      <c r="G14" s="334">
        <f t="shared" si="2"/>
        <v>2.7000000000000003E-2</v>
      </c>
      <c r="H14" s="334">
        <f t="shared" si="2"/>
        <v>0.12300000000000001</v>
      </c>
      <c r="I14" s="334">
        <f t="shared" si="2"/>
        <v>4.4000000000000004E-2</v>
      </c>
      <c r="J14" s="334">
        <f t="shared" si="2"/>
        <v>2.60868E-2</v>
      </c>
      <c r="K14" s="334">
        <f t="shared" si="2"/>
        <v>2.82051E-2</v>
      </c>
      <c r="L14" s="334">
        <f t="shared" si="2"/>
        <v>1.494E-2</v>
      </c>
      <c r="M14" s="334">
        <f t="shared" si="2"/>
        <v>1.6144499999999999E-2</v>
      </c>
      <c r="N14" s="334">
        <f t="shared" si="2"/>
        <v>4.5255099999999999E-3</v>
      </c>
      <c r="O14" s="334">
        <f t="shared" si="2"/>
        <v>1.7899999999999999E-4</v>
      </c>
      <c r="P14" s="334">
        <f t="shared" si="2"/>
        <v>0.4</v>
      </c>
      <c r="Q14" s="334">
        <f t="shared" si="2"/>
        <v>2.6795699999999999E-2</v>
      </c>
    </row>
    <row r="15" spans="1:17" x14ac:dyDescent="0.2">
      <c r="C15" s="334" t="s">
        <v>475</v>
      </c>
      <c r="D15" s="334" t="str">
        <f t="shared" si="1"/>
        <v>10-20 kg: Nutrini Energy Multi Fibre</v>
      </c>
      <c r="E15" s="334" t="s">
        <v>477</v>
      </c>
      <c r="F15" s="334">
        <f t="shared" ref="F15:Q27" si="3">VLOOKUP($E15,Tbl_Glob_BerVoeding,F$1,FALSE)</f>
        <v>1.51</v>
      </c>
      <c r="G15" s="334">
        <f t="shared" si="3"/>
        <v>0.04</v>
      </c>
      <c r="H15" s="334">
        <f t="shared" si="3"/>
        <v>0.185</v>
      </c>
      <c r="I15" s="334">
        <f t="shared" si="3"/>
        <v>6.7000000000000004E-2</v>
      </c>
      <c r="J15" s="334">
        <f t="shared" si="3"/>
        <v>3.9130200000000004E-2</v>
      </c>
      <c r="K15" s="334">
        <f t="shared" si="3"/>
        <v>4.2307650000000002E-2</v>
      </c>
      <c r="L15" s="334">
        <f t="shared" si="3"/>
        <v>2.2409999999999996E-2</v>
      </c>
      <c r="M15" s="334">
        <f t="shared" si="3"/>
        <v>2.4216749999999999E-2</v>
      </c>
      <c r="N15" s="334">
        <f t="shared" si="3"/>
        <v>6.9939699999999995E-3</v>
      </c>
      <c r="O15" s="334">
        <f t="shared" si="3"/>
        <v>2.6849999999999997E-4</v>
      </c>
      <c r="P15" s="334">
        <f t="shared" si="3"/>
        <v>0.6</v>
      </c>
      <c r="Q15" s="334">
        <f t="shared" si="3"/>
        <v>4.0334579999999995E-2</v>
      </c>
    </row>
    <row r="16" spans="1:17" x14ac:dyDescent="0.2">
      <c r="C16" s="334" t="s">
        <v>475</v>
      </c>
      <c r="D16" s="334" t="str">
        <f t="shared" si="1"/>
        <v>10-20 kg: Nutrini Peptisorb</v>
      </c>
      <c r="E16" s="334" t="s">
        <v>939</v>
      </c>
      <c r="F16" s="334">
        <f t="shared" si="3"/>
        <v>1</v>
      </c>
      <c r="G16" s="334">
        <f t="shared" si="3"/>
        <v>2.7999999999999997E-2</v>
      </c>
      <c r="H16" s="334">
        <f t="shared" si="3"/>
        <v>0.13699999999999998</v>
      </c>
      <c r="I16" s="334">
        <f t="shared" si="3"/>
        <v>3.9E-2</v>
      </c>
      <c r="J16" s="334">
        <f t="shared" si="3"/>
        <v>2.60868E-2</v>
      </c>
      <c r="K16" s="334">
        <f t="shared" si="3"/>
        <v>2.82051E-2</v>
      </c>
      <c r="L16" s="334">
        <f t="shared" si="3"/>
        <v>1.494E-2</v>
      </c>
      <c r="M16" s="334">
        <f t="shared" si="3"/>
        <v>1.6144499999999999E-2</v>
      </c>
      <c r="N16" s="334">
        <f t="shared" si="3"/>
        <v>4.5255099999999999E-3</v>
      </c>
      <c r="O16" s="334">
        <f t="shared" si="3"/>
        <v>1.7899999999999999E-4</v>
      </c>
      <c r="P16" s="334">
        <f t="shared" si="3"/>
        <v>0.4</v>
      </c>
      <c r="Q16" s="334">
        <f t="shared" si="3"/>
        <v>2.6795699999999999E-2</v>
      </c>
    </row>
    <row r="17" spans="3:17" x14ac:dyDescent="0.2">
      <c r="C17" s="334" t="s">
        <v>475</v>
      </c>
      <c r="D17" s="334" t="str">
        <f t="shared" si="1"/>
        <v>10-20 kg: Nutrilon Pepti 2</v>
      </c>
      <c r="E17" s="334" t="s">
        <v>951</v>
      </c>
      <c r="F17" s="334">
        <f t="shared" si="3"/>
        <v>0.68</v>
      </c>
      <c r="G17" s="334">
        <f t="shared" si="3"/>
        <v>1.6E-2</v>
      </c>
      <c r="H17" s="334">
        <f t="shared" si="3"/>
        <v>8.1000000000000003E-2</v>
      </c>
      <c r="I17" s="334">
        <f t="shared" si="3"/>
        <v>3.1E-2</v>
      </c>
      <c r="J17" s="334">
        <f t="shared" si="3"/>
        <v>1.0869500000000001E-2</v>
      </c>
      <c r="K17" s="334">
        <f t="shared" si="3"/>
        <v>1.9999980000000001E-2</v>
      </c>
      <c r="L17" s="334">
        <f t="shared" si="3"/>
        <v>1.5687E-2</v>
      </c>
      <c r="M17" s="334">
        <f t="shared" si="3"/>
        <v>1.194693E-2</v>
      </c>
      <c r="N17" s="334">
        <f t="shared" si="3"/>
        <v>2.262755E-3</v>
      </c>
      <c r="O17" s="334">
        <f t="shared" si="3"/>
        <v>1.7899999999999999E-4</v>
      </c>
      <c r="P17" s="334">
        <f t="shared" si="3"/>
        <v>0.56000000000000005</v>
      </c>
      <c r="Q17" s="334">
        <f t="shared" si="3"/>
        <v>1.1846520000000001E-2</v>
      </c>
    </row>
    <row r="18" spans="3:17" x14ac:dyDescent="0.2">
      <c r="C18" s="334" t="s">
        <v>478</v>
      </c>
      <c r="D18" s="334" t="str">
        <f t="shared" si="1"/>
        <v>20-45 kg: NutriniMax Multi Fibre</v>
      </c>
      <c r="E18" s="334" t="s">
        <v>479</v>
      </c>
      <c r="F18" s="334">
        <f t="shared" si="3"/>
        <v>1.02</v>
      </c>
      <c r="G18" s="334">
        <f t="shared" si="3"/>
        <v>3.3000000000000002E-2</v>
      </c>
      <c r="H18" s="334">
        <f t="shared" si="3"/>
        <v>0.12300000000000001</v>
      </c>
      <c r="I18" s="334">
        <f t="shared" si="3"/>
        <v>4.2000000000000003E-2</v>
      </c>
      <c r="J18" s="334">
        <f t="shared" si="3"/>
        <v>3.4782400000000005E-2</v>
      </c>
      <c r="K18" s="334">
        <f t="shared" si="3"/>
        <v>3.5384579999999999E-2</v>
      </c>
      <c r="L18" s="334">
        <f t="shared" si="3"/>
        <v>1.7429999999999998E-2</v>
      </c>
      <c r="M18" s="334">
        <f t="shared" si="3"/>
        <v>1.9373399999999999E-2</v>
      </c>
      <c r="N18" s="334">
        <f t="shared" si="3"/>
        <v>6.9939699999999995E-3</v>
      </c>
      <c r="O18" s="334">
        <f t="shared" si="3"/>
        <v>2.3269999999999999E-4</v>
      </c>
      <c r="P18" s="334">
        <f t="shared" si="3"/>
        <v>0.28000000000000003</v>
      </c>
      <c r="Q18" s="334">
        <f t="shared" si="3"/>
        <v>3.5257499999999997E-2</v>
      </c>
    </row>
    <row r="19" spans="3:17" x14ac:dyDescent="0.2">
      <c r="C19" s="334" t="s">
        <v>478</v>
      </c>
      <c r="D19" s="334" t="str">
        <f t="shared" si="1"/>
        <v>20-45 kg: NutriniMax Energy Multi Fibre</v>
      </c>
      <c r="E19" s="334" t="s">
        <v>480</v>
      </c>
      <c r="F19" s="334">
        <f t="shared" si="3"/>
        <v>1.52</v>
      </c>
      <c r="G19" s="334">
        <f t="shared" si="3"/>
        <v>4.8000000000000001E-2</v>
      </c>
      <c r="H19" s="334">
        <f t="shared" si="3"/>
        <v>0.185</v>
      </c>
      <c r="I19" s="334">
        <f t="shared" si="3"/>
        <v>6.3E-2</v>
      </c>
      <c r="J19" s="334">
        <f t="shared" si="3"/>
        <v>4.6521460000000001E-2</v>
      </c>
      <c r="K19" s="334">
        <f t="shared" si="3"/>
        <v>4.769226E-2</v>
      </c>
      <c r="L19" s="334">
        <f t="shared" si="3"/>
        <v>2.3654999999999999E-2</v>
      </c>
      <c r="M19" s="334">
        <f t="shared" si="3"/>
        <v>2.9060099999999998E-2</v>
      </c>
      <c r="N19" s="334">
        <f t="shared" si="3"/>
        <v>1.069666E-2</v>
      </c>
      <c r="O19" s="334">
        <f t="shared" si="3"/>
        <v>3.5799999999999997E-4</v>
      </c>
      <c r="P19" s="334">
        <f t="shared" si="3"/>
        <v>0.44</v>
      </c>
      <c r="Q19" s="334">
        <f t="shared" si="3"/>
        <v>4.1462819999999991E-2</v>
      </c>
    </row>
    <row r="20" spans="3:17" x14ac:dyDescent="0.2">
      <c r="C20" s="334" t="s">
        <v>478</v>
      </c>
      <c r="D20" s="334" t="str">
        <f t="shared" si="1"/>
        <v>20-45 kg: Nutrini Peptisorb</v>
      </c>
      <c r="E20" s="334" t="s">
        <v>939</v>
      </c>
      <c r="F20" s="334">
        <f t="shared" si="3"/>
        <v>1</v>
      </c>
      <c r="G20" s="334">
        <f t="shared" si="3"/>
        <v>2.7999999999999997E-2</v>
      </c>
      <c r="H20" s="334">
        <f t="shared" si="3"/>
        <v>0.13699999999999998</v>
      </c>
      <c r="I20" s="334">
        <f t="shared" si="3"/>
        <v>3.9E-2</v>
      </c>
      <c r="J20" s="334">
        <f t="shared" si="3"/>
        <v>2.60868E-2</v>
      </c>
      <c r="K20" s="334">
        <f t="shared" si="3"/>
        <v>2.82051E-2</v>
      </c>
      <c r="L20" s="334">
        <f t="shared" si="3"/>
        <v>1.494E-2</v>
      </c>
      <c r="M20" s="334">
        <f t="shared" si="3"/>
        <v>1.6144499999999999E-2</v>
      </c>
      <c r="N20" s="334">
        <f t="shared" si="3"/>
        <v>4.5255099999999999E-3</v>
      </c>
      <c r="O20" s="334">
        <f t="shared" si="3"/>
        <v>1.7899999999999999E-4</v>
      </c>
      <c r="P20" s="334">
        <f t="shared" si="3"/>
        <v>0.4</v>
      </c>
      <c r="Q20" s="334">
        <f t="shared" si="3"/>
        <v>2.6795699999999999E-2</v>
      </c>
    </row>
    <row r="21" spans="3:17" x14ac:dyDescent="0.2">
      <c r="C21" s="334" t="s">
        <v>478</v>
      </c>
      <c r="D21" s="334" t="str">
        <f t="shared" si="1"/>
        <v>20-45 kg: Nutrilon Pepti 2</v>
      </c>
      <c r="E21" s="334" t="s">
        <v>951</v>
      </c>
      <c r="F21" s="334">
        <f t="shared" si="3"/>
        <v>0.68</v>
      </c>
      <c r="G21" s="334">
        <f t="shared" si="3"/>
        <v>1.6E-2</v>
      </c>
      <c r="H21" s="334">
        <f t="shared" si="3"/>
        <v>8.1000000000000003E-2</v>
      </c>
      <c r="I21" s="334">
        <f t="shared" si="3"/>
        <v>3.1E-2</v>
      </c>
      <c r="J21" s="334">
        <f t="shared" si="3"/>
        <v>1.0869500000000001E-2</v>
      </c>
      <c r="K21" s="334">
        <f t="shared" si="3"/>
        <v>1.9999980000000001E-2</v>
      </c>
      <c r="L21" s="334">
        <f t="shared" si="3"/>
        <v>1.5687E-2</v>
      </c>
      <c r="M21" s="334">
        <f t="shared" si="3"/>
        <v>1.194693E-2</v>
      </c>
      <c r="N21" s="334">
        <f t="shared" si="3"/>
        <v>2.262755E-3</v>
      </c>
      <c r="O21" s="334">
        <f t="shared" si="3"/>
        <v>1.7899999999999999E-4</v>
      </c>
      <c r="P21" s="334">
        <f t="shared" si="3"/>
        <v>0.56000000000000005</v>
      </c>
      <c r="Q21" s="334">
        <f t="shared" si="3"/>
        <v>1.1846520000000001E-2</v>
      </c>
    </row>
    <row r="22" spans="3:17" x14ac:dyDescent="0.2">
      <c r="C22" s="334" t="s">
        <v>481</v>
      </c>
      <c r="D22" s="334" t="str">
        <f t="shared" si="1"/>
        <v>&gt; 45 kg: Nutrison Multi Fibre</v>
      </c>
      <c r="E22" s="334" t="s">
        <v>482</v>
      </c>
      <c r="F22" s="334">
        <f t="shared" si="3"/>
        <v>1.03</v>
      </c>
      <c r="G22" s="334">
        <f t="shared" si="3"/>
        <v>0.04</v>
      </c>
      <c r="H22" s="334">
        <f t="shared" si="3"/>
        <v>0.12300000000000001</v>
      </c>
      <c r="I22" s="334">
        <f t="shared" si="3"/>
        <v>3.9E-2</v>
      </c>
      <c r="J22" s="334">
        <f t="shared" si="3"/>
        <v>4.3478000000000003E-2</v>
      </c>
      <c r="K22" s="334">
        <f t="shared" si="3"/>
        <v>3.8461500000000003E-2</v>
      </c>
      <c r="L22" s="334">
        <f t="shared" si="3"/>
        <v>1.992E-2</v>
      </c>
      <c r="M22" s="334">
        <f t="shared" si="3"/>
        <v>2.3248080000000001E-2</v>
      </c>
      <c r="N22" s="334">
        <f t="shared" si="3"/>
        <v>9.4624299999999991E-3</v>
      </c>
      <c r="O22" s="334">
        <f t="shared" si="3"/>
        <v>2.8639999999999997E-4</v>
      </c>
      <c r="P22" s="334">
        <f t="shared" si="3"/>
        <v>0.4</v>
      </c>
      <c r="Q22" s="334">
        <f t="shared" si="3"/>
        <v>3.5257499999999997E-2</v>
      </c>
    </row>
    <row r="23" spans="3:17" x14ac:dyDescent="0.2">
      <c r="C23" s="334" t="s">
        <v>481</v>
      </c>
      <c r="D23" s="334" t="str">
        <f t="shared" si="1"/>
        <v>&gt; 45 kg: Nutrison Energy Multi Fibre</v>
      </c>
      <c r="E23" s="334" t="s">
        <v>483</v>
      </c>
      <c r="F23" s="334">
        <f t="shared" si="3"/>
        <v>1.53</v>
      </c>
      <c r="G23" s="334">
        <f t="shared" si="3"/>
        <v>0.06</v>
      </c>
      <c r="H23" s="334">
        <f t="shared" si="3"/>
        <v>0.184</v>
      </c>
      <c r="I23" s="334">
        <f t="shared" si="3"/>
        <v>5.7999999999999996E-2</v>
      </c>
      <c r="J23" s="334">
        <f t="shared" si="3"/>
        <v>5.826052000000001E-2</v>
      </c>
      <c r="K23" s="334">
        <f t="shared" si="3"/>
        <v>5.153841E-2</v>
      </c>
      <c r="L23" s="334">
        <f t="shared" si="3"/>
        <v>2.0915999999999997E-2</v>
      </c>
      <c r="M23" s="334">
        <f t="shared" si="3"/>
        <v>2.7122759999999996E-2</v>
      </c>
      <c r="N23" s="334">
        <f t="shared" si="3"/>
        <v>1.2342299999999999E-2</v>
      </c>
      <c r="O23" s="334">
        <f t="shared" si="3"/>
        <v>4.2959999999999998E-4</v>
      </c>
      <c r="P23" s="334">
        <f t="shared" si="3"/>
        <v>0.6</v>
      </c>
      <c r="Q23" s="334">
        <f t="shared" si="3"/>
        <v>2.8205999999999998E-2</v>
      </c>
    </row>
    <row r="24" spans="3:17" x14ac:dyDescent="0.2">
      <c r="C24" s="334" t="s">
        <v>481</v>
      </c>
      <c r="D24" s="334" t="str">
        <f t="shared" si="1"/>
        <v>&gt; 45 kg: Nutrison Adv Peptisorb</v>
      </c>
      <c r="E24" s="334" t="s">
        <v>940</v>
      </c>
      <c r="F24" s="334">
        <f t="shared" si="3"/>
        <v>1</v>
      </c>
      <c r="G24" s="334">
        <f t="shared" si="3"/>
        <v>0.04</v>
      </c>
      <c r="H24" s="334">
        <f t="shared" si="3"/>
        <v>0.17600000000000002</v>
      </c>
      <c r="I24" s="334">
        <f t="shared" si="3"/>
        <v>1.7000000000000001E-2</v>
      </c>
      <c r="J24" s="334">
        <f t="shared" si="3"/>
        <v>4.3478000000000003E-2</v>
      </c>
      <c r="K24" s="334">
        <f t="shared" si="3"/>
        <v>3.8461500000000003E-2</v>
      </c>
      <c r="L24" s="334">
        <f t="shared" si="3"/>
        <v>1.992E-2</v>
      </c>
      <c r="M24" s="334">
        <f t="shared" si="3"/>
        <v>2.3248080000000001E-2</v>
      </c>
      <c r="N24" s="334">
        <f t="shared" si="3"/>
        <v>9.4624299999999991E-3</v>
      </c>
      <c r="O24" s="334">
        <f t="shared" si="3"/>
        <v>2.8639999999999997E-4</v>
      </c>
      <c r="P24" s="334">
        <f t="shared" si="3"/>
        <v>0.28000000000000003</v>
      </c>
      <c r="Q24" s="334">
        <f t="shared" si="3"/>
        <v>3.5257499999999997E-2</v>
      </c>
    </row>
    <row r="25" spans="3:17" x14ac:dyDescent="0.2">
      <c r="C25" s="334" t="s">
        <v>481</v>
      </c>
      <c r="D25" s="334" t="str">
        <f t="shared" si="1"/>
        <v>&gt; 45 kg: Nutrilon Pepti 2</v>
      </c>
      <c r="E25" s="334" t="s">
        <v>951</v>
      </c>
      <c r="F25" s="334">
        <f t="shared" si="3"/>
        <v>0.68</v>
      </c>
      <c r="G25" s="334">
        <f t="shared" si="3"/>
        <v>1.6E-2</v>
      </c>
      <c r="H25" s="334">
        <f t="shared" si="3"/>
        <v>8.1000000000000003E-2</v>
      </c>
      <c r="I25" s="334">
        <f t="shared" si="3"/>
        <v>3.1E-2</v>
      </c>
      <c r="J25" s="334">
        <f t="shared" si="3"/>
        <v>1.0869500000000001E-2</v>
      </c>
      <c r="K25" s="334">
        <f t="shared" si="3"/>
        <v>1.9999980000000001E-2</v>
      </c>
      <c r="L25" s="334">
        <f t="shared" si="3"/>
        <v>1.5687E-2</v>
      </c>
      <c r="M25" s="334">
        <f t="shared" si="3"/>
        <v>1.194693E-2</v>
      </c>
      <c r="N25" s="334">
        <f t="shared" si="3"/>
        <v>2.262755E-3</v>
      </c>
      <c r="O25" s="334">
        <f t="shared" si="3"/>
        <v>1.7899999999999999E-4</v>
      </c>
      <c r="P25" s="334">
        <f t="shared" si="3"/>
        <v>0.56000000000000005</v>
      </c>
      <c r="Q25" s="334">
        <f t="shared" si="3"/>
        <v>1.1846520000000001E-2</v>
      </c>
    </row>
    <row r="26" spans="3:17" x14ac:dyDescent="0.2">
      <c r="D26" s="334" t="str">
        <f t="shared" si="1"/>
        <v>Nutrilon Neocate</v>
      </c>
      <c r="E26" s="334" t="s">
        <v>859</v>
      </c>
      <c r="F26" s="334">
        <f t="shared" si="3"/>
        <v>0.67</v>
      </c>
      <c r="G26" s="334">
        <f t="shared" si="3"/>
        <v>1.8000000000000002E-2</v>
      </c>
      <c r="H26" s="334">
        <f t="shared" si="3"/>
        <v>7.2000000000000008E-2</v>
      </c>
      <c r="I26" s="334">
        <f t="shared" si="3"/>
        <v>3.4000000000000002E-2</v>
      </c>
      <c r="J26" s="334">
        <f t="shared" si="3"/>
        <v>1.1347758000000001E-2</v>
      </c>
      <c r="K26" s="334">
        <f t="shared" si="3"/>
        <v>1.8589725000000001E-2</v>
      </c>
      <c r="L26" s="334">
        <f t="shared" si="3"/>
        <v>1.6334399999999999E-2</v>
      </c>
      <c r="M26" s="334">
        <f t="shared" si="3"/>
        <v>1.5208118999999999E-2</v>
      </c>
      <c r="N26" s="334">
        <f t="shared" si="3"/>
        <v>2.8798700000000001E-3</v>
      </c>
      <c r="O26" s="334">
        <f t="shared" si="3"/>
        <v>1.7899999999999999E-4</v>
      </c>
      <c r="P26" s="334">
        <f t="shared" si="3"/>
        <v>0.48</v>
      </c>
      <c r="Q26" s="334">
        <f t="shared" si="3"/>
        <v>1.5033797999999998E-2</v>
      </c>
    </row>
    <row r="27" spans="3:17" x14ac:dyDescent="0.2">
      <c r="D27" s="334" t="str">
        <f t="shared" si="1"/>
        <v>Nutrilon Pepti Junior</v>
      </c>
      <c r="E27" s="455" t="s">
        <v>860</v>
      </c>
      <c r="F27" s="334">
        <f t="shared" si="3"/>
        <v>0.66</v>
      </c>
      <c r="G27" s="334">
        <f t="shared" si="3"/>
        <v>1.8000000000000002E-2</v>
      </c>
      <c r="H27" s="334">
        <f t="shared" si="3"/>
        <v>6.8000000000000005E-2</v>
      </c>
      <c r="I27" s="334">
        <f t="shared" si="3"/>
        <v>3.5000000000000003E-2</v>
      </c>
      <c r="J27" s="334">
        <f t="shared" si="3"/>
        <v>7.8260400000000011E-3</v>
      </c>
      <c r="K27" s="334">
        <f t="shared" si="3"/>
        <v>1.6666650000000002E-2</v>
      </c>
      <c r="L27" s="334">
        <f t="shared" si="3"/>
        <v>1.2449999999999999E-2</v>
      </c>
      <c r="M27" s="334">
        <f t="shared" si="3"/>
        <v>9.0409199999999992E-3</v>
      </c>
      <c r="N27" s="334">
        <f t="shared" si="3"/>
        <v>2.0981909999999997E-3</v>
      </c>
      <c r="O27" s="334">
        <f t="shared" si="3"/>
        <v>1.3783E-4</v>
      </c>
      <c r="P27" s="334">
        <f t="shared" si="3"/>
        <v>0.52</v>
      </c>
      <c r="Q27" s="334">
        <f t="shared" si="3"/>
        <v>1.12824E-2</v>
      </c>
    </row>
    <row r="28" spans="3:17" x14ac:dyDescent="0.2">
      <c r="D28" s="334" t="str">
        <f t="shared" si="1"/>
        <v>Speciale voeding</v>
      </c>
      <c r="E28" s="334" t="s">
        <v>163</v>
      </c>
    </row>
    <row r="30" spans="3:17" x14ac:dyDescent="0.2">
      <c r="F30" s="334">
        <v>2</v>
      </c>
      <c r="G30" s="334">
        <v>3</v>
      </c>
      <c r="H30" s="334">
        <v>4</v>
      </c>
      <c r="I30" s="334">
        <v>5</v>
      </c>
      <c r="J30" s="334">
        <v>6</v>
      </c>
      <c r="K30" s="334">
        <v>7</v>
      </c>
      <c r="L30" s="334">
        <v>8</v>
      </c>
      <c r="M30" s="334">
        <v>9</v>
      </c>
      <c r="N30" s="334">
        <v>10</v>
      </c>
      <c r="O30" s="334">
        <v>11</v>
      </c>
      <c r="P30" s="334">
        <v>12</v>
      </c>
      <c r="Q30" s="334">
        <v>13</v>
      </c>
    </row>
    <row r="31" spans="3:17" x14ac:dyDescent="0.2">
      <c r="C31" s="334" t="s">
        <v>4810</v>
      </c>
      <c r="F31" s="334" t="s">
        <v>227</v>
      </c>
      <c r="G31" s="334" t="s">
        <v>189</v>
      </c>
      <c r="H31" s="334" t="s">
        <v>228</v>
      </c>
      <c r="I31" s="334" t="s">
        <v>190</v>
      </c>
      <c r="J31" s="334" t="s">
        <v>222</v>
      </c>
      <c r="K31" s="334" t="s">
        <v>223</v>
      </c>
      <c r="L31" s="334" t="s">
        <v>224</v>
      </c>
      <c r="M31" s="334" t="s">
        <v>229</v>
      </c>
      <c r="N31" s="334" t="s">
        <v>225</v>
      </c>
      <c r="O31" s="334" t="s">
        <v>851</v>
      </c>
      <c r="P31" s="334" t="s">
        <v>852</v>
      </c>
      <c r="Q31" s="334" t="s">
        <v>569</v>
      </c>
    </row>
    <row r="32" spans="3:17" x14ac:dyDescent="0.2">
      <c r="D32" s="334" t="s">
        <v>4594</v>
      </c>
      <c r="F32" s="334" t="str">
        <f t="shared" ref="F32:Q32" si="4">VLOOKUP(F$2,Tbl_Glob_Conversie,3,FALSE)</f>
        <v>kcal</v>
      </c>
      <c r="G32" s="334" t="str">
        <f t="shared" si="4"/>
        <v>gram</v>
      </c>
      <c r="H32" s="334" t="str">
        <f t="shared" si="4"/>
        <v>gram</v>
      </c>
      <c r="I32" s="334" t="str">
        <f t="shared" si="4"/>
        <v>gram</v>
      </c>
      <c r="J32" s="334" t="str">
        <f t="shared" si="4"/>
        <v>mmol</v>
      </c>
      <c r="K32" s="334" t="str">
        <f t="shared" si="4"/>
        <v>mmol</v>
      </c>
      <c r="L32" s="334" t="str">
        <f t="shared" si="4"/>
        <v>mmol</v>
      </c>
      <c r="M32" s="334" t="str">
        <f t="shared" si="4"/>
        <v>mmol</v>
      </c>
      <c r="N32" s="334" t="str">
        <f t="shared" si="4"/>
        <v>mmol</v>
      </c>
      <c r="O32" s="334" t="str">
        <f t="shared" si="4"/>
        <v>mmol</v>
      </c>
      <c r="P32" s="334" t="str">
        <f t="shared" si="4"/>
        <v>IE</v>
      </c>
      <c r="Q32" s="334" t="str">
        <f t="shared" si="4"/>
        <v>mmol</v>
      </c>
    </row>
    <row r="34" spans="4:17" x14ac:dyDescent="0.2">
      <c r="D34" s="334" t="str">
        <f t="shared" ref="D34:D54" si="5">IF(C34&lt;&gt;"",C34&amp;": "&amp;E34,E34)</f>
        <v>Nutrilon Nenatal BMF</v>
      </c>
      <c r="E34" s="334" t="s">
        <v>575</v>
      </c>
      <c r="F34" s="334">
        <f t="shared" ref="F34:Q43" si="6">VLOOKUP($E34,Tbl_Glob_BerPoeder,F$1,FALSE)</f>
        <v>3.47</v>
      </c>
      <c r="G34" s="334">
        <f t="shared" si="6"/>
        <v>0.252</v>
      </c>
      <c r="H34" s="334">
        <f t="shared" si="6"/>
        <v>0.622</v>
      </c>
      <c r="I34" s="334">
        <f t="shared" si="6"/>
        <v>0</v>
      </c>
      <c r="J34" s="334">
        <f t="shared" si="6"/>
        <v>0.34912834000000004</v>
      </c>
      <c r="K34" s="334">
        <f t="shared" si="6"/>
        <v>0.13538448</v>
      </c>
      <c r="L34" s="334">
        <f t="shared" si="6"/>
        <v>0.37125899999999995</v>
      </c>
      <c r="M34" s="334">
        <f t="shared" si="6"/>
        <v>0.28156007999999999</v>
      </c>
      <c r="N34" s="334">
        <f t="shared" si="6"/>
        <v>4.7312149999999997E-2</v>
      </c>
      <c r="O34" s="334">
        <f t="shared" si="6"/>
        <v>0</v>
      </c>
      <c r="P34" s="334">
        <f t="shared" si="6"/>
        <v>46</v>
      </c>
      <c r="Q34" s="334">
        <f t="shared" si="6"/>
        <v>0.16162037999999998</v>
      </c>
    </row>
    <row r="35" spans="4:17" x14ac:dyDescent="0.2">
      <c r="D35" s="334" t="str">
        <f t="shared" si="5"/>
        <v>Hero Baby 1 NS Standaard</v>
      </c>
      <c r="E35" s="455" t="s">
        <v>861</v>
      </c>
      <c r="F35" s="334">
        <f t="shared" si="6"/>
        <v>5.09</v>
      </c>
      <c r="G35" s="334">
        <f t="shared" si="6"/>
        <v>0.1</v>
      </c>
      <c r="H35" s="334">
        <f t="shared" si="6"/>
        <v>0.56000000000000005</v>
      </c>
      <c r="I35" s="334">
        <f t="shared" si="6"/>
        <v>0.27</v>
      </c>
      <c r="J35" s="334">
        <f t="shared" si="6"/>
        <v>5.2173600000000001E-2</v>
      </c>
      <c r="K35" s="334">
        <f t="shared" si="6"/>
        <v>0.11846142</v>
      </c>
      <c r="L35" s="334">
        <f t="shared" si="6"/>
        <v>8.4162000000000001E-2</v>
      </c>
      <c r="M35" s="334">
        <f t="shared" si="6"/>
        <v>6.4577999999999997E-2</v>
      </c>
      <c r="N35" s="334">
        <f t="shared" si="6"/>
        <v>1.2671428E-2</v>
      </c>
      <c r="O35" s="334">
        <f t="shared" si="6"/>
        <v>5.5489999999999999E-4</v>
      </c>
      <c r="P35" s="334">
        <f t="shared" si="6"/>
        <v>3.68</v>
      </c>
      <c r="Q35" s="334">
        <f t="shared" si="6"/>
        <v>8.6874480000000004E-2</v>
      </c>
    </row>
    <row r="36" spans="4:17" x14ac:dyDescent="0.2">
      <c r="D36" s="334" t="str">
        <f t="shared" si="5"/>
        <v>Hero Baby 2 NS Standaard</v>
      </c>
      <c r="E36" s="455" t="s">
        <v>862</v>
      </c>
      <c r="F36" s="334">
        <f t="shared" si="6"/>
        <v>4.7</v>
      </c>
      <c r="G36" s="334">
        <f t="shared" si="6"/>
        <v>9.5000000000000001E-2</v>
      </c>
      <c r="H36" s="334">
        <f t="shared" si="6"/>
        <v>0.64</v>
      </c>
      <c r="I36" s="334">
        <f t="shared" si="6"/>
        <v>0.19</v>
      </c>
      <c r="J36" s="334">
        <f t="shared" si="6"/>
        <v>6.956480000000001E-2</v>
      </c>
      <c r="K36" s="334">
        <f t="shared" si="6"/>
        <v>0.14205113999999999</v>
      </c>
      <c r="L36" s="334">
        <f t="shared" si="6"/>
        <v>0.100845</v>
      </c>
      <c r="M36" s="334">
        <f t="shared" si="6"/>
        <v>7.8462270000000001E-2</v>
      </c>
      <c r="N36" s="334">
        <f t="shared" si="6"/>
        <v>2.139332E-2</v>
      </c>
      <c r="O36" s="334">
        <f t="shared" si="6"/>
        <v>1.4678E-3</v>
      </c>
      <c r="P36" s="334">
        <f t="shared" si="6"/>
        <v>3.44</v>
      </c>
      <c r="Q36" s="334">
        <f t="shared" si="6"/>
        <v>8.3771819999999997E-2</v>
      </c>
    </row>
    <row r="37" spans="4:17" x14ac:dyDescent="0.2">
      <c r="D37" s="334" t="str">
        <f t="shared" si="5"/>
        <v>Hero Baby 1 NS Comfort</v>
      </c>
      <c r="E37" s="455" t="s">
        <v>863</v>
      </c>
      <c r="F37" s="334">
        <f t="shared" si="6"/>
        <v>5.03</v>
      </c>
      <c r="G37" s="334">
        <f t="shared" si="6"/>
        <v>0.11</v>
      </c>
      <c r="H37" s="334">
        <f t="shared" si="6"/>
        <v>0.52</v>
      </c>
      <c r="I37" s="334">
        <f t="shared" si="6"/>
        <v>0.27</v>
      </c>
      <c r="J37" s="334">
        <f t="shared" si="6"/>
        <v>5.2173600000000001E-2</v>
      </c>
      <c r="K37" s="334">
        <f t="shared" si="6"/>
        <v>0.11846142</v>
      </c>
      <c r="L37" s="334">
        <f t="shared" si="6"/>
        <v>8.4162000000000001E-2</v>
      </c>
      <c r="M37" s="334">
        <f t="shared" si="6"/>
        <v>6.4577999999999997E-2</v>
      </c>
      <c r="N37" s="334">
        <f t="shared" si="6"/>
        <v>1.2671428E-2</v>
      </c>
      <c r="O37" s="334">
        <f t="shared" si="6"/>
        <v>5.5489999999999999E-4</v>
      </c>
      <c r="P37" s="334">
        <f t="shared" si="6"/>
        <v>3.68</v>
      </c>
      <c r="Q37" s="334">
        <f t="shared" si="6"/>
        <v>8.6874480000000004E-2</v>
      </c>
    </row>
    <row r="38" spans="4:17" x14ac:dyDescent="0.2">
      <c r="D38" s="334" t="str">
        <f t="shared" si="5"/>
        <v>Hero Baby 2 NS Comfort</v>
      </c>
      <c r="E38" s="455" t="s">
        <v>864</v>
      </c>
      <c r="F38" s="334">
        <f t="shared" si="6"/>
        <v>5.03</v>
      </c>
      <c r="G38" s="334">
        <f t="shared" si="6"/>
        <v>0.11</v>
      </c>
      <c r="H38" s="334">
        <f t="shared" si="6"/>
        <v>0.52</v>
      </c>
      <c r="I38" s="334">
        <f t="shared" si="6"/>
        <v>0.27</v>
      </c>
      <c r="J38" s="334">
        <f t="shared" si="6"/>
        <v>5.2173600000000001E-2</v>
      </c>
      <c r="K38" s="334">
        <f t="shared" si="6"/>
        <v>0.11846142</v>
      </c>
      <c r="L38" s="334">
        <f t="shared" si="6"/>
        <v>8.4162000000000001E-2</v>
      </c>
      <c r="M38" s="334">
        <f t="shared" si="6"/>
        <v>6.4577999999999997E-2</v>
      </c>
      <c r="N38" s="334">
        <f t="shared" si="6"/>
        <v>1.2671428E-2</v>
      </c>
      <c r="O38" s="334">
        <f t="shared" si="6"/>
        <v>1.5215000000000001E-3</v>
      </c>
      <c r="P38" s="334">
        <f t="shared" si="6"/>
        <v>3.68</v>
      </c>
      <c r="Q38" s="334">
        <f t="shared" si="6"/>
        <v>8.6874480000000004E-2</v>
      </c>
    </row>
    <row r="39" spans="4:17" x14ac:dyDescent="0.2">
      <c r="D39" s="334" t="str">
        <f t="shared" si="5"/>
        <v>Hero Baby 1 NS Pep</v>
      </c>
      <c r="E39" s="455" t="s">
        <v>865</v>
      </c>
      <c r="F39" s="334">
        <f t="shared" si="6"/>
        <v>4.93</v>
      </c>
      <c r="G39" s="334">
        <f t="shared" si="6"/>
        <v>0.13</v>
      </c>
      <c r="H39" s="334">
        <f t="shared" si="6"/>
        <v>0.53</v>
      </c>
      <c r="I39" s="334">
        <f t="shared" si="6"/>
        <v>0.26</v>
      </c>
      <c r="J39" s="334">
        <f t="shared" si="6"/>
        <v>8.8695120000000002E-2</v>
      </c>
      <c r="K39" s="334">
        <f t="shared" si="6"/>
        <v>0.1410255</v>
      </c>
      <c r="L39" s="334">
        <f t="shared" si="6"/>
        <v>9.9599999999999994E-2</v>
      </c>
      <c r="M39" s="334">
        <f t="shared" si="6"/>
        <v>7.4264699999999989E-2</v>
      </c>
      <c r="N39" s="334">
        <f t="shared" si="6"/>
        <v>2.0570499999999999E-2</v>
      </c>
      <c r="O39" s="334">
        <f t="shared" si="6"/>
        <v>6.265E-4</v>
      </c>
      <c r="P39" s="334">
        <f t="shared" si="6"/>
        <v>3.12</v>
      </c>
      <c r="Q39" s="334">
        <f t="shared" si="6"/>
        <v>8.8848899999999981E-2</v>
      </c>
    </row>
    <row r="40" spans="4:17" x14ac:dyDescent="0.2">
      <c r="D40" s="334" t="str">
        <f t="shared" si="5"/>
        <v>Hero Baby 2 NS Pep</v>
      </c>
      <c r="E40" s="455" t="s">
        <v>866</v>
      </c>
      <c r="F40" s="334">
        <f t="shared" si="6"/>
        <v>4.93</v>
      </c>
      <c r="G40" s="334">
        <f t="shared" si="6"/>
        <v>0.13</v>
      </c>
      <c r="H40" s="334">
        <f t="shared" si="6"/>
        <v>0.53</v>
      </c>
      <c r="I40" s="334">
        <f t="shared" si="6"/>
        <v>0.26</v>
      </c>
      <c r="J40" s="334">
        <f t="shared" si="6"/>
        <v>8.8695120000000002E-2</v>
      </c>
      <c r="K40" s="334">
        <f t="shared" si="6"/>
        <v>0.1410255</v>
      </c>
      <c r="L40" s="334">
        <f t="shared" si="6"/>
        <v>9.9599999999999994E-2</v>
      </c>
      <c r="M40" s="334">
        <f t="shared" si="6"/>
        <v>7.4264699999999989E-2</v>
      </c>
      <c r="N40" s="334">
        <f t="shared" si="6"/>
        <v>2.0570499999999999E-2</v>
      </c>
      <c r="O40" s="334">
        <f t="shared" si="6"/>
        <v>1.2708999999999997E-3</v>
      </c>
      <c r="P40" s="334">
        <f t="shared" si="6"/>
        <v>3.12</v>
      </c>
      <c r="Q40" s="334">
        <f t="shared" si="6"/>
        <v>8.8848899999999981E-2</v>
      </c>
    </row>
    <row r="41" spans="4:17" x14ac:dyDescent="0.2">
      <c r="D41" s="334" t="str">
        <f t="shared" si="5"/>
        <v>Nutramigen 1 LGG pdr</v>
      </c>
      <c r="E41" s="455" t="s">
        <v>867</v>
      </c>
      <c r="F41" s="334">
        <f t="shared" si="6"/>
        <v>5</v>
      </c>
      <c r="G41" s="334">
        <f t="shared" si="6"/>
        <v>0.14000000000000001</v>
      </c>
      <c r="H41" s="334">
        <f t="shared" si="6"/>
        <v>0.55000000000000004</v>
      </c>
      <c r="I41" s="334">
        <f t="shared" si="6"/>
        <v>0.25</v>
      </c>
      <c r="J41" s="334">
        <f t="shared" si="6"/>
        <v>0.1043472</v>
      </c>
      <c r="K41" s="334">
        <f t="shared" si="6"/>
        <v>0.1564101</v>
      </c>
      <c r="L41" s="334">
        <f t="shared" si="6"/>
        <v>0.14068499999999998</v>
      </c>
      <c r="M41" s="334">
        <f t="shared" si="6"/>
        <v>0.12592709999999999</v>
      </c>
      <c r="N41" s="334">
        <f t="shared" si="6"/>
        <v>2.0570499999999999E-2</v>
      </c>
      <c r="O41" s="334">
        <f t="shared" si="6"/>
        <v>1.611E-3</v>
      </c>
      <c r="P41" s="334">
        <f t="shared" si="6"/>
        <v>3</v>
      </c>
      <c r="Q41" s="334">
        <f t="shared" si="6"/>
        <v>0.13538879999999998</v>
      </c>
    </row>
    <row r="42" spans="4:17" x14ac:dyDescent="0.2">
      <c r="D42" s="334" t="str">
        <f t="shared" si="5"/>
        <v>Nutramigen 2 LGG pdr</v>
      </c>
      <c r="E42" s="455" t="s">
        <v>37</v>
      </c>
      <c r="F42" s="334">
        <f t="shared" si="6"/>
        <v>4.66</v>
      </c>
      <c r="G42" s="334">
        <f t="shared" si="6"/>
        <v>0.11599999999999999</v>
      </c>
      <c r="H42" s="334">
        <f t="shared" si="6"/>
        <v>0.59</v>
      </c>
      <c r="I42" s="334">
        <f t="shared" si="6"/>
        <v>0.2</v>
      </c>
      <c r="J42" s="334">
        <f t="shared" si="6"/>
        <v>7.478216E-2</v>
      </c>
      <c r="K42" s="334">
        <f t="shared" si="6"/>
        <v>0.14564088</v>
      </c>
      <c r="L42" s="334">
        <f t="shared" si="6"/>
        <v>0.15886199999999998</v>
      </c>
      <c r="M42" s="334">
        <f t="shared" si="6"/>
        <v>0.10849103999999998</v>
      </c>
      <c r="N42" s="334">
        <f t="shared" si="6"/>
        <v>1.9336269999999999E-2</v>
      </c>
      <c r="O42" s="334">
        <f t="shared" si="6"/>
        <v>1.4678E-3</v>
      </c>
      <c r="P42" s="334">
        <f t="shared" si="6"/>
        <v>2.92</v>
      </c>
      <c r="Q42" s="334">
        <f t="shared" si="6"/>
        <v>0.10520837999999999</v>
      </c>
    </row>
    <row r="43" spans="4:17" x14ac:dyDescent="0.2">
      <c r="D43" s="334" t="str">
        <f t="shared" si="5"/>
        <v>Nutrison Advanced Peptisorb Powder</v>
      </c>
      <c r="E43" s="455" t="s">
        <v>868</v>
      </c>
      <c r="F43" s="334">
        <f t="shared" si="6"/>
        <v>4.0199999999999996</v>
      </c>
      <c r="G43" s="334">
        <f t="shared" si="6"/>
        <v>0.14699999999999999</v>
      </c>
      <c r="H43" s="334">
        <f t="shared" si="6"/>
        <v>0.71</v>
      </c>
      <c r="I43" s="334">
        <f t="shared" si="6"/>
        <v>6.7000000000000004E-2</v>
      </c>
      <c r="J43" s="334">
        <f t="shared" si="6"/>
        <v>0.17478156000000003</v>
      </c>
      <c r="K43" s="334">
        <f t="shared" si="6"/>
        <v>0.15461522999999999</v>
      </c>
      <c r="L43" s="334">
        <f t="shared" si="6"/>
        <v>8.0177999999999999E-2</v>
      </c>
      <c r="M43" s="334">
        <f t="shared" si="6"/>
        <v>8.6211629999999997E-2</v>
      </c>
      <c r="N43" s="334">
        <f t="shared" si="6"/>
        <v>3.4558439999999996E-2</v>
      </c>
      <c r="O43" s="334">
        <f t="shared" si="6"/>
        <v>1.1455999999999999E-3</v>
      </c>
      <c r="P43" s="334">
        <f t="shared" si="6"/>
        <v>1.1200000000000001</v>
      </c>
      <c r="Q43" s="334">
        <f t="shared" si="6"/>
        <v>0.14187617999999999</v>
      </c>
    </row>
    <row r="44" spans="4:17" x14ac:dyDescent="0.2">
      <c r="D44" s="334" t="str">
        <f t="shared" si="5"/>
        <v>Nutrilon Pepti Junior pdr</v>
      </c>
      <c r="E44" s="455" t="s">
        <v>869</v>
      </c>
      <c r="F44" s="334">
        <f t="shared" ref="F44:Q56" si="7">VLOOKUP($E44,Tbl_Glob_BerPoeder,F$1,FALSE)</f>
        <v>5.15</v>
      </c>
      <c r="G44" s="334">
        <f t="shared" si="7"/>
        <v>0.14000000000000001</v>
      </c>
      <c r="H44" s="334">
        <f t="shared" si="7"/>
        <v>0.53400000000000003</v>
      </c>
      <c r="I44" s="334">
        <f t="shared" si="7"/>
        <v>0.27300000000000002</v>
      </c>
      <c r="J44" s="334">
        <f t="shared" si="7"/>
        <v>6.0869199999999998E-2</v>
      </c>
      <c r="K44" s="334">
        <f t="shared" si="7"/>
        <v>0.12999987000000002</v>
      </c>
      <c r="L44" s="334">
        <f t="shared" si="7"/>
        <v>9.7110000000000002E-2</v>
      </c>
      <c r="M44" s="334">
        <f t="shared" si="7"/>
        <v>7.0390019999999998E-2</v>
      </c>
      <c r="N44" s="334">
        <f t="shared" si="7"/>
        <v>1.6456399999999996E-2</v>
      </c>
      <c r="O44" s="334">
        <f t="shared" si="7"/>
        <v>1.0739999999999999E-3</v>
      </c>
      <c r="P44" s="334">
        <f t="shared" si="7"/>
        <v>3.92</v>
      </c>
      <c r="Q44" s="334">
        <f t="shared" si="7"/>
        <v>8.7438599999999991E-2</v>
      </c>
    </row>
    <row r="45" spans="4:17" x14ac:dyDescent="0.2">
      <c r="D45" s="334" t="str">
        <f t="shared" si="5"/>
        <v>Nutrilon Nenatal Start pdr</v>
      </c>
      <c r="E45" s="455" t="s">
        <v>870</v>
      </c>
      <c r="F45" s="334">
        <f t="shared" si="7"/>
        <v>4.74</v>
      </c>
      <c r="G45" s="334">
        <f t="shared" si="7"/>
        <v>0.156</v>
      </c>
      <c r="H45" s="334">
        <f t="shared" si="7"/>
        <v>0.22899999999999998</v>
      </c>
      <c r="I45" s="334">
        <f t="shared" si="7"/>
        <v>0.498</v>
      </c>
      <c r="J45" s="334">
        <f t="shared" si="7"/>
        <v>0.1804337</v>
      </c>
      <c r="K45" s="334">
        <f t="shared" si="7"/>
        <v>0.12153833999999999</v>
      </c>
      <c r="L45" s="334">
        <f t="shared" si="7"/>
        <v>0.14765699999999998</v>
      </c>
      <c r="M45" s="334">
        <f t="shared" si="7"/>
        <v>0.10719947999999999</v>
      </c>
      <c r="N45" s="334">
        <f t="shared" si="7"/>
        <v>1.9336269999999999E-2</v>
      </c>
      <c r="O45" s="334">
        <f t="shared" si="7"/>
        <v>1.7004999999999998E-3</v>
      </c>
      <c r="P45" s="334">
        <f t="shared" si="7"/>
        <v>7.2</v>
      </c>
      <c r="Q45" s="334">
        <f t="shared" si="7"/>
        <v>0.14215823999999999</v>
      </c>
    </row>
    <row r="46" spans="4:17" x14ac:dyDescent="0.2">
      <c r="D46" s="334" t="str">
        <f t="shared" si="5"/>
        <v>Nutrilon Nenatal 1</v>
      </c>
      <c r="E46" s="455" t="s">
        <v>857</v>
      </c>
      <c r="F46" s="334">
        <f t="shared" si="7"/>
        <v>4.91</v>
      </c>
      <c r="G46" s="334">
        <f t="shared" si="7"/>
        <v>0.13400000000000001</v>
      </c>
      <c r="H46" s="334">
        <f t="shared" si="7"/>
        <v>0.49099999999999999</v>
      </c>
      <c r="I46" s="334">
        <f t="shared" si="7"/>
        <v>0.26</v>
      </c>
      <c r="J46" s="334">
        <f t="shared" si="7"/>
        <v>7.9564740000000009E-2</v>
      </c>
      <c r="K46" s="334">
        <f t="shared" si="7"/>
        <v>0.12923064000000001</v>
      </c>
      <c r="L46" s="334">
        <f t="shared" si="7"/>
        <v>0.141681</v>
      </c>
      <c r="M46" s="334">
        <f t="shared" si="7"/>
        <v>9.9450120000000003E-2</v>
      </c>
      <c r="N46" s="334">
        <f t="shared" si="7"/>
        <v>1.8924859999999998E-2</v>
      </c>
      <c r="O46" s="334">
        <f t="shared" si="7"/>
        <v>1.4141000000000002E-3</v>
      </c>
      <c r="P46" s="334">
        <f t="shared" si="7"/>
        <v>4.4000000000000004</v>
      </c>
      <c r="Q46" s="334">
        <f t="shared" si="7"/>
        <v>0.1015416</v>
      </c>
    </row>
    <row r="47" spans="4:17" x14ac:dyDescent="0.2">
      <c r="D47" s="334" t="str">
        <f t="shared" si="5"/>
        <v>Nutrilon Nenatal Protein Fortifier</v>
      </c>
      <c r="E47" s="650" t="s">
        <v>871</v>
      </c>
      <c r="F47" s="334">
        <f t="shared" si="7"/>
        <v>3.38</v>
      </c>
      <c r="G47" s="334">
        <f t="shared" si="7"/>
        <v>0.82099999999999995</v>
      </c>
      <c r="H47" s="334">
        <f t="shared" si="7"/>
        <v>2.2000000000000002E-2</v>
      </c>
      <c r="I47" s="334">
        <f t="shared" si="7"/>
        <v>1E-3</v>
      </c>
      <c r="J47" s="334">
        <f t="shared" si="7"/>
        <v>0.33738928000000001</v>
      </c>
      <c r="K47" s="334">
        <f t="shared" si="7"/>
        <v>0.31435866000000001</v>
      </c>
      <c r="L47" s="334">
        <f t="shared" si="7"/>
        <v>0.13047599999999998</v>
      </c>
      <c r="M47" s="334">
        <f t="shared" si="7"/>
        <v>0.16661123999999997</v>
      </c>
      <c r="N47" s="334">
        <f t="shared" si="7"/>
        <v>1.8924859999999998E-2</v>
      </c>
      <c r="O47" s="334">
        <f t="shared" si="7"/>
        <v>0</v>
      </c>
      <c r="P47" s="334">
        <f t="shared" si="7"/>
        <v>0</v>
      </c>
      <c r="Q47" s="334">
        <f t="shared" si="7"/>
        <v>1.8615959999999997E-2</v>
      </c>
    </row>
    <row r="48" spans="4:17" x14ac:dyDescent="0.2">
      <c r="D48" s="334" t="str">
        <f t="shared" si="5"/>
        <v>Calogen neutraal</v>
      </c>
      <c r="E48" s="650" t="s">
        <v>872</v>
      </c>
      <c r="F48" s="334">
        <f t="shared" si="7"/>
        <v>4.5</v>
      </c>
      <c r="G48" s="334">
        <f t="shared" si="7"/>
        <v>0</v>
      </c>
      <c r="H48" s="334">
        <f t="shared" si="7"/>
        <v>0</v>
      </c>
      <c r="I48" s="334">
        <f t="shared" si="7"/>
        <v>0.5</v>
      </c>
      <c r="J48" s="334">
        <f t="shared" si="7"/>
        <v>3.04346E-3</v>
      </c>
      <c r="K48" s="334">
        <f t="shared" si="7"/>
        <v>0</v>
      </c>
      <c r="L48" s="334">
        <f t="shared" si="7"/>
        <v>0</v>
      </c>
      <c r="M48" s="334">
        <f t="shared" si="7"/>
        <v>0</v>
      </c>
      <c r="N48" s="334">
        <f t="shared" si="7"/>
        <v>0</v>
      </c>
      <c r="O48" s="334">
        <f t="shared" si="7"/>
        <v>0</v>
      </c>
      <c r="P48" s="334">
        <f t="shared" si="7"/>
        <v>0</v>
      </c>
      <c r="Q48" s="334">
        <f t="shared" si="7"/>
        <v>2.8206000000000001E-5</v>
      </c>
    </row>
    <row r="49" spans="4:17" x14ac:dyDescent="0.2">
      <c r="D49" s="334" t="str">
        <f t="shared" si="5"/>
        <v>Liquigen</v>
      </c>
      <c r="E49" s="650" t="s">
        <v>873</v>
      </c>
      <c r="F49" s="334">
        <f t="shared" si="7"/>
        <v>4.5</v>
      </c>
      <c r="G49" s="334">
        <f t="shared" si="7"/>
        <v>0</v>
      </c>
      <c r="H49" s="334">
        <f t="shared" si="7"/>
        <v>0</v>
      </c>
      <c r="I49" s="334">
        <f t="shared" si="7"/>
        <v>0.5</v>
      </c>
      <c r="J49" s="334">
        <f t="shared" si="7"/>
        <v>2.1739000000000003E-3</v>
      </c>
      <c r="K49" s="334">
        <f t="shared" si="7"/>
        <v>2.5641000000000001E-5</v>
      </c>
      <c r="L49" s="334">
        <f t="shared" si="7"/>
        <v>7.4699999999999986E-5</v>
      </c>
      <c r="M49" s="334">
        <f t="shared" si="7"/>
        <v>0</v>
      </c>
      <c r="N49" s="334">
        <f t="shared" si="7"/>
        <v>0</v>
      </c>
      <c r="O49" s="334">
        <f t="shared" si="7"/>
        <v>0</v>
      </c>
      <c r="P49" s="334">
        <f t="shared" si="7"/>
        <v>0</v>
      </c>
      <c r="Q49" s="334">
        <f t="shared" si="7"/>
        <v>2.8205999999999997E-6</v>
      </c>
    </row>
    <row r="50" spans="4:17" x14ac:dyDescent="0.2">
      <c r="D50" s="334" t="str">
        <f t="shared" si="5"/>
        <v>Fantomalt</v>
      </c>
      <c r="E50" s="650" t="s">
        <v>524</v>
      </c>
      <c r="F50" s="334">
        <f t="shared" si="7"/>
        <v>3.84</v>
      </c>
      <c r="G50" s="334">
        <f t="shared" si="7"/>
        <v>0</v>
      </c>
      <c r="H50" s="334">
        <f t="shared" si="7"/>
        <v>0.96</v>
      </c>
      <c r="I50" s="334">
        <f t="shared" si="7"/>
        <v>0</v>
      </c>
      <c r="J50" s="334">
        <f t="shared" si="7"/>
        <v>8.6956000000000002E-4</v>
      </c>
      <c r="K50" s="334">
        <f t="shared" si="7"/>
        <v>0</v>
      </c>
      <c r="L50" s="334">
        <f t="shared" si="7"/>
        <v>0</v>
      </c>
      <c r="M50" s="334">
        <f t="shared" si="7"/>
        <v>0</v>
      </c>
      <c r="N50" s="334">
        <f t="shared" si="7"/>
        <v>0</v>
      </c>
      <c r="O50" s="334">
        <f t="shared" si="7"/>
        <v>0</v>
      </c>
      <c r="P50" s="334">
        <f t="shared" si="7"/>
        <v>0</v>
      </c>
      <c r="Q50" s="334">
        <f t="shared" si="7"/>
        <v>0</v>
      </c>
    </row>
    <row r="51" spans="4:17" x14ac:dyDescent="0.2">
      <c r="D51" s="334" t="str">
        <f t="shared" si="5"/>
        <v>Nutrilon Pepti 1 pdr</v>
      </c>
      <c r="E51" s="650" t="s">
        <v>874</v>
      </c>
      <c r="F51" s="334">
        <f t="shared" si="7"/>
        <v>4.93</v>
      </c>
      <c r="G51" s="334">
        <f t="shared" si="7"/>
        <v>0.11599999999999999</v>
      </c>
      <c r="H51" s="334">
        <f t="shared" si="7"/>
        <v>0.51800000000000002</v>
      </c>
      <c r="I51" s="334">
        <f t="shared" si="7"/>
        <v>0.25700000000000001</v>
      </c>
      <c r="J51" s="334">
        <f t="shared" si="7"/>
        <v>6.5216999999999997E-2</v>
      </c>
      <c r="K51" s="334">
        <f t="shared" si="7"/>
        <v>0.15333318000000001</v>
      </c>
      <c r="L51" s="334">
        <f t="shared" si="7"/>
        <v>8.6153999999999994E-2</v>
      </c>
      <c r="M51" s="334">
        <f t="shared" si="7"/>
        <v>6.1671990000000003E-2</v>
      </c>
      <c r="N51" s="334">
        <f t="shared" si="7"/>
        <v>1.6044989999999999E-2</v>
      </c>
      <c r="O51" s="334">
        <f t="shared" si="7"/>
        <v>6.981E-4</v>
      </c>
      <c r="P51" s="334">
        <f t="shared" si="7"/>
        <v>3.76</v>
      </c>
      <c r="Q51" s="334">
        <f t="shared" si="7"/>
        <v>8.1797399999999992E-2</v>
      </c>
    </row>
    <row r="52" spans="4:17" x14ac:dyDescent="0.2">
      <c r="D52" s="334" t="str">
        <f t="shared" si="5"/>
        <v>Nutrilon Hypoallergeen 1 pdr</v>
      </c>
      <c r="E52" s="650" t="s">
        <v>875</v>
      </c>
      <c r="F52" s="334">
        <f t="shared" si="7"/>
        <v>4.83</v>
      </c>
      <c r="G52" s="334">
        <f t="shared" si="7"/>
        <v>0.11</v>
      </c>
      <c r="H52" s="334">
        <f t="shared" si="7"/>
        <v>0.52500000000000002</v>
      </c>
      <c r="I52" s="334">
        <f t="shared" si="7"/>
        <v>0.24600000000000002</v>
      </c>
      <c r="J52" s="334">
        <f t="shared" si="7"/>
        <v>7.8695180000000003E-2</v>
      </c>
      <c r="K52" s="334">
        <f t="shared" si="7"/>
        <v>0.1358973</v>
      </c>
      <c r="L52" s="334">
        <f t="shared" si="7"/>
        <v>8.4410999999999986E-2</v>
      </c>
      <c r="M52" s="334">
        <f t="shared" si="7"/>
        <v>6.1349099999999997E-2</v>
      </c>
      <c r="N52" s="334">
        <f t="shared" si="7"/>
        <v>1.522217E-2</v>
      </c>
      <c r="O52" s="334">
        <f t="shared" si="7"/>
        <v>6.981E-4</v>
      </c>
      <c r="P52" s="334">
        <f t="shared" si="7"/>
        <v>3.52</v>
      </c>
      <c r="Q52" s="334">
        <f t="shared" si="7"/>
        <v>8.518212E-2</v>
      </c>
    </row>
    <row r="53" spans="4:17" x14ac:dyDescent="0.2">
      <c r="D53" s="334" t="str">
        <f t="shared" si="5"/>
        <v>Neocate LCP</v>
      </c>
      <c r="E53" s="650" t="s">
        <v>876</v>
      </c>
      <c r="F53" s="334">
        <f t="shared" si="7"/>
        <v>4.83</v>
      </c>
      <c r="G53" s="334">
        <f t="shared" si="7"/>
        <v>0.13</v>
      </c>
      <c r="H53" s="334">
        <f t="shared" si="7"/>
        <v>0.52500000000000002</v>
      </c>
      <c r="I53" s="334">
        <f t="shared" si="7"/>
        <v>0.245</v>
      </c>
      <c r="J53" s="334">
        <f t="shared" si="7"/>
        <v>8.2173419999999997E-2</v>
      </c>
      <c r="K53" s="334">
        <f t="shared" si="7"/>
        <v>0.13461524999999999</v>
      </c>
      <c r="L53" s="334">
        <f t="shared" si="7"/>
        <v>0.11827499999999999</v>
      </c>
      <c r="M53" s="334">
        <f t="shared" si="7"/>
        <v>0.11010548999999999</v>
      </c>
      <c r="N53" s="334">
        <f t="shared" si="7"/>
        <v>2.0981909999999999E-2</v>
      </c>
      <c r="O53" s="334">
        <f t="shared" si="7"/>
        <v>1.2977500000000001E-3</v>
      </c>
      <c r="P53" s="334">
        <f t="shared" si="7"/>
        <v>3.52</v>
      </c>
      <c r="Q53" s="334">
        <f t="shared" si="7"/>
        <v>0.10887516</v>
      </c>
    </row>
    <row r="54" spans="4:17" x14ac:dyDescent="0.2">
      <c r="D54" s="334" t="str">
        <f t="shared" si="5"/>
        <v>Neocate Junior</v>
      </c>
      <c r="E54" s="650" t="s">
        <v>877</v>
      </c>
      <c r="F54" s="334">
        <f t="shared" si="7"/>
        <v>4.75</v>
      </c>
      <c r="G54" s="334">
        <f t="shared" si="7"/>
        <v>0.13300000000000001</v>
      </c>
      <c r="H54" s="334">
        <f t="shared" si="7"/>
        <v>0.56000000000000005</v>
      </c>
      <c r="I54" s="334">
        <f t="shared" si="7"/>
        <v>0.22</v>
      </c>
      <c r="J54" s="334">
        <f t="shared" si="7"/>
        <v>0.1239123</v>
      </c>
      <c r="K54" s="334">
        <f t="shared" si="7"/>
        <v>0.13999986</v>
      </c>
      <c r="L54" s="334">
        <f t="shared" si="7"/>
        <v>0.106572</v>
      </c>
      <c r="M54" s="334">
        <f t="shared" si="7"/>
        <v>9.9773009999999995E-2</v>
      </c>
      <c r="N54" s="334">
        <f t="shared" si="7"/>
        <v>2.7358764999999997E-2</v>
      </c>
      <c r="O54" s="334">
        <f t="shared" si="7"/>
        <v>1.0203E-3</v>
      </c>
      <c r="P54" s="334">
        <f t="shared" si="7"/>
        <v>2.48</v>
      </c>
      <c r="Q54" s="334">
        <f t="shared" si="7"/>
        <v>0.12326022</v>
      </c>
    </row>
    <row r="55" spans="4:17" x14ac:dyDescent="0.2">
      <c r="D55" s="383" t="s">
        <v>928</v>
      </c>
      <c r="E55" s="383" t="s">
        <v>952</v>
      </c>
      <c r="F55" s="334">
        <f t="shared" si="7"/>
        <v>4.84</v>
      </c>
      <c r="G55" s="334">
        <f t="shared" si="7"/>
        <v>9.6999999999999989E-2</v>
      </c>
      <c r="H55" s="334">
        <f t="shared" si="7"/>
        <v>0.53799999999999992</v>
      </c>
      <c r="I55" s="334">
        <f t="shared" si="7"/>
        <v>0.247</v>
      </c>
      <c r="J55" s="334">
        <f t="shared" si="7"/>
        <v>5.43475E-2</v>
      </c>
      <c r="K55" s="334">
        <f t="shared" si="7"/>
        <v>0.12846141</v>
      </c>
      <c r="L55" s="334">
        <f t="shared" si="7"/>
        <v>0.10408199999999999</v>
      </c>
      <c r="M55" s="334">
        <f t="shared" si="7"/>
        <v>7.6524929999999991E-2</v>
      </c>
      <c r="N55" s="334">
        <f t="shared" si="7"/>
        <v>1.522217E-2</v>
      </c>
      <c r="O55" s="334">
        <f t="shared" si="7"/>
        <v>6.981E-4</v>
      </c>
      <c r="P55" s="334">
        <f t="shared" si="7"/>
        <v>3.48</v>
      </c>
      <c r="Q55" s="334">
        <f t="shared" si="7"/>
        <v>8.5746240000000001E-2</v>
      </c>
    </row>
    <row r="56" spans="4:17" x14ac:dyDescent="0.2">
      <c r="D56" s="383" t="s">
        <v>929</v>
      </c>
      <c r="E56" s="383" t="s">
        <v>929</v>
      </c>
      <c r="F56" s="334">
        <f t="shared" si="7"/>
        <v>3.18</v>
      </c>
      <c r="G56" s="334">
        <f t="shared" si="7"/>
        <v>0</v>
      </c>
      <c r="H56" s="334">
        <f t="shared" si="7"/>
        <v>0.66200000000000003</v>
      </c>
      <c r="I56" s="334">
        <f t="shared" si="7"/>
        <v>3.0000000000000001E-3</v>
      </c>
      <c r="J56" s="334">
        <f t="shared" si="7"/>
        <v>2.6086799999999999E-3</v>
      </c>
      <c r="K56" s="334">
        <f t="shared" si="7"/>
        <v>2.3333310000000003E-2</v>
      </c>
      <c r="L56" s="334">
        <f t="shared" si="7"/>
        <v>8.3415000000000003E-2</v>
      </c>
      <c r="M56" s="334">
        <f t="shared" si="7"/>
        <v>3.8746799999999997E-3</v>
      </c>
      <c r="N56" s="334">
        <f t="shared" si="7"/>
        <v>3.7438309999999995E-3</v>
      </c>
      <c r="O56" s="334">
        <f t="shared" si="7"/>
        <v>1.5751999999999999E-3</v>
      </c>
      <c r="P56" s="334">
        <f t="shared" si="7"/>
        <v>0</v>
      </c>
      <c r="Q56" s="334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574" customWidth="1"/>
    <col min="2" max="9" width="10.7109375" style="574" customWidth="1"/>
    <col min="10" max="10" width="3.7109375" style="574" customWidth="1"/>
    <col min="11" max="12" width="10.7109375" style="574" customWidth="1"/>
    <col min="13" max="16384" width="9.140625" style="574"/>
  </cols>
  <sheetData>
    <row r="1" spans="1:81" s="509" customFormat="1" ht="17.25" customHeight="1" x14ac:dyDescent="0.2">
      <c r="A1" s="572"/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R1" s="518"/>
      <c r="S1" s="518"/>
      <c r="T1" s="518"/>
      <c r="U1" s="518"/>
      <c r="V1" s="518"/>
      <c r="W1" s="518"/>
      <c r="X1" s="518"/>
    </row>
    <row r="2" spans="1:81" s="509" customFormat="1" ht="17.25" customHeight="1" x14ac:dyDescent="0.2">
      <c r="A2" s="518"/>
      <c r="B2" s="748"/>
      <c r="C2" s="497" t="s">
        <v>297</v>
      </c>
      <c r="D2" s="498">
        <f ca="1">Var_AfspraakDatum</f>
        <v>42755</v>
      </c>
      <c r="E2" s="499"/>
      <c r="F2" s="497" t="s">
        <v>3989</v>
      </c>
      <c r="G2" s="626"/>
      <c r="H2" s="500" t="str">
        <f>PatDetails!B15</f>
        <v/>
      </c>
      <c r="I2" s="497"/>
      <c r="J2" s="748" t="str">
        <f>PatDetails!B23</f>
        <v>Gewicht: 1 kg</v>
      </c>
      <c r="K2" s="748"/>
      <c r="L2" s="748"/>
      <c r="M2" s="748" t="s">
        <v>490</v>
      </c>
      <c r="N2" s="748">
        <v>0</v>
      </c>
      <c r="R2" s="518"/>
      <c r="S2" s="518"/>
      <c r="T2" s="518"/>
      <c r="U2" s="518"/>
      <c r="V2" s="518"/>
      <c r="W2" s="518"/>
      <c r="X2" s="518"/>
    </row>
    <row r="3" spans="1:81" s="509" customFormat="1" ht="17.25" customHeight="1" x14ac:dyDescent="0.2">
      <c r="A3" s="518"/>
      <c r="B3" s="487"/>
      <c r="C3" s="497" t="s">
        <v>28</v>
      </c>
      <c r="D3" s="501" t="str">
        <f>PatDetails!B21</f>
        <v/>
      </c>
      <c r="E3" s="501"/>
      <c r="F3" s="497" t="s">
        <v>3990</v>
      </c>
      <c r="G3" s="626"/>
      <c r="H3" s="500" t="str">
        <f ca="1">PatDetails!B16</f>
        <v/>
      </c>
      <c r="I3" s="748"/>
      <c r="J3" s="497" t="str">
        <f>PatDetails!B24</f>
        <v>Lengte:</v>
      </c>
      <c r="K3" s="748"/>
      <c r="L3" s="748"/>
      <c r="M3" s="748"/>
      <c r="N3" s="748"/>
      <c r="R3" s="518"/>
      <c r="S3" s="518"/>
      <c r="T3" s="518"/>
      <c r="U3" s="518"/>
      <c r="V3" s="518"/>
      <c r="W3" s="518"/>
      <c r="X3" s="518"/>
    </row>
    <row r="4" spans="1:81" s="509" customFormat="1" ht="17.25" customHeight="1" x14ac:dyDescent="0.2">
      <c r="A4" s="511"/>
      <c r="B4" s="800"/>
      <c r="C4" s="497" t="s">
        <v>3984</v>
      </c>
      <c r="D4" s="497" t="str">
        <f>PatDetails!B17</f>
        <v/>
      </c>
      <c r="E4" s="499"/>
      <c r="F4" s="497" t="s">
        <v>268</v>
      </c>
      <c r="G4" s="627"/>
      <c r="H4" s="504" t="str">
        <f ca="1">PatDetails!B20</f>
        <v/>
      </c>
      <c r="I4" s="497"/>
      <c r="J4" s="497" t="str">
        <f>PatDetails!B25</f>
        <v>Lichamelijk oppervlak:</v>
      </c>
      <c r="K4" s="800"/>
      <c r="L4" s="748"/>
      <c r="M4" s="800"/>
      <c r="N4" s="748"/>
      <c r="R4" s="511"/>
      <c r="S4" s="511"/>
      <c r="T4" s="511"/>
      <c r="U4" s="511"/>
      <c r="V4" s="511"/>
      <c r="W4" s="511"/>
      <c r="X4" s="511"/>
      <c r="Y4" s="515"/>
      <c r="Z4" s="515"/>
      <c r="AA4" s="515"/>
      <c r="AB4" s="515"/>
      <c r="AC4" s="515"/>
      <c r="AD4" s="515"/>
      <c r="AE4" s="515"/>
      <c r="AF4" s="515"/>
      <c r="AG4" s="515"/>
      <c r="AH4" s="515"/>
      <c r="AI4" s="515"/>
      <c r="AJ4" s="515"/>
      <c r="AK4" s="515"/>
      <c r="AL4" s="515"/>
      <c r="AM4" s="515"/>
      <c r="AN4" s="515"/>
      <c r="AO4" s="515"/>
      <c r="AP4" s="515"/>
      <c r="AQ4" s="515"/>
      <c r="AR4" s="515"/>
      <c r="AS4" s="515"/>
      <c r="AT4" s="515"/>
      <c r="AU4" s="515"/>
      <c r="AV4" s="515"/>
      <c r="AW4" s="515"/>
      <c r="AX4" s="515"/>
      <c r="AY4" s="515"/>
      <c r="AZ4" s="515"/>
      <c r="BA4" s="515"/>
      <c r="BB4" s="515"/>
      <c r="BC4" s="515"/>
      <c r="BD4" s="515"/>
      <c r="BE4" s="515"/>
      <c r="BF4" s="515"/>
      <c r="BG4" s="515"/>
      <c r="BH4" s="515"/>
      <c r="BI4" s="515"/>
      <c r="BJ4" s="515"/>
      <c r="BK4" s="515"/>
      <c r="BL4" s="515"/>
      <c r="BM4" s="515"/>
      <c r="BN4" s="515"/>
      <c r="BO4" s="515"/>
      <c r="BP4" s="515"/>
      <c r="BQ4" s="515"/>
      <c r="BR4" s="515"/>
      <c r="BS4" s="515"/>
      <c r="BT4" s="515"/>
      <c r="BU4" s="515"/>
      <c r="BV4" s="515"/>
      <c r="BW4" s="515"/>
      <c r="BX4" s="515"/>
      <c r="BY4" s="515"/>
      <c r="BZ4" s="515"/>
      <c r="CA4" s="515"/>
      <c r="CB4" s="515"/>
      <c r="CC4" s="515"/>
    </row>
    <row r="5" spans="1:81" s="509" customFormat="1" ht="8.1" customHeight="1" x14ac:dyDescent="0.2">
      <c r="A5" s="511"/>
      <c r="B5" s="800"/>
      <c r="C5" s="497"/>
      <c r="D5" s="497"/>
      <c r="E5" s="499"/>
      <c r="F5" s="497"/>
      <c r="G5" s="800"/>
      <c r="H5" s="504"/>
      <c r="I5" s="497"/>
      <c r="J5" s="497"/>
      <c r="K5" s="800"/>
      <c r="L5" s="748"/>
      <c r="M5" s="800"/>
      <c r="N5" s="748"/>
      <c r="R5" s="511"/>
      <c r="S5" s="511"/>
      <c r="T5" s="511"/>
      <c r="U5" s="511"/>
      <c r="V5" s="511"/>
      <c r="W5" s="511"/>
      <c r="X5" s="511"/>
      <c r="Y5" s="515"/>
      <c r="Z5" s="515"/>
      <c r="AA5" s="515"/>
      <c r="AB5" s="515"/>
      <c r="AC5" s="515"/>
      <c r="AD5" s="515"/>
      <c r="AE5" s="515"/>
      <c r="AF5" s="515"/>
      <c r="AG5" s="515"/>
      <c r="AH5" s="515"/>
      <c r="AI5" s="515"/>
      <c r="AJ5" s="515"/>
      <c r="AK5" s="515"/>
      <c r="AL5" s="515"/>
      <c r="AM5" s="515"/>
      <c r="AN5" s="515"/>
      <c r="AO5" s="515"/>
      <c r="AP5" s="515"/>
      <c r="AQ5" s="515"/>
      <c r="AR5" s="515"/>
      <c r="AS5" s="515"/>
      <c r="AT5" s="515"/>
      <c r="AU5" s="515"/>
      <c r="AV5" s="515"/>
      <c r="AW5" s="515"/>
      <c r="AX5" s="515"/>
      <c r="AY5" s="515"/>
      <c r="AZ5" s="515"/>
      <c r="BA5" s="515"/>
      <c r="BB5" s="515"/>
      <c r="BC5" s="515"/>
      <c r="BD5" s="515"/>
      <c r="BE5" s="515"/>
      <c r="BF5" s="515"/>
      <c r="BG5" s="515"/>
      <c r="BH5" s="515"/>
      <c r="BI5" s="515"/>
      <c r="BJ5" s="515"/>
      <c r="BK5" s="515"/>
      <c r="BL5" s="515"/>
      <c r="BM5" s="515"/>
      <c r="BN5" s="515"/>
      <c r="BO5" s="515"/>
      <c r="BP5" s="515"/>
      <c r="BQ5" s="515"/>
      <c r="BR5" s="515"/>
      <c r="BS5" s="515"/>
      <c r="BT5" s="515"/>
      <c r="BU5" s="515"/>
      <c r="BV5" s="515"/>
      <c r="BW5" s="515"/>
      <c r="BX5" s="515"/>
      <c r="BY5" s="515"/>
      <c r="BZ5" s="515"/>
      <c r="CA5" s="515"/>
      <c r="CB5" s="515"/>
      <c r="CC5" s="515"/>
    </row>
    <row r="7" spans="1:81" ht="20.100000000000001" customHeight="1" x14ac:dyDescent="0.2">
      <c r="A7" s="573"/>
      <c r="B7" s="818" t="s">
        <v>145</v>
      </c>
      <c r="C7" s="819"/>
      <c r="D7" s="819" t="s">
        <v>678</v>
      </c>
      <c r="E7" s="819"/>
      <c r="F7" s="819"/>
      <c r="G7" s="818"/>
      <c r="H7" s="820"/>
      <c r="I7" s="818"/>
      <c r="J7" s="821"/>
      <c r="K7" s="821"/>
      <c r="L7" s="821"/>
      <c r="M7" s="821"/>
      <c r="N7" s="821"/>
    </row>
    <row r="8" spans="1:81" x14ac:dyDescent="0.2">
      <c r="A8" s="575"/>
      <c r="B8" s="576"/>
    </row>
    <row r="9" spans="1:81" ht="18.75" customHeight="1" x14ac:dyDescent="0.2">
      <c r="A9" s="575"/>
      <c r="B9" s="611" t="s">
        <v>676</v>
      </c>
      <c r="C9" s="611"/>
      <c r="D9" s="611" t="s">
        <v>442</v>
      </c>
      <c r="E9" s="611"/>
      <c r="F9" s="611" t="s">
        <v>443</v>
      </c>
      <c r="G9" s="611"/>
      <c r="H9" s="611" t="s">
        <v>146</v>
      </c>
      <c r="I9" s="611"/>
      <c r="J9" s="611"/>
      <c r="K9" s="611" t="s">
        <v>18</v>
      </c>
      <c r="L9" s="611"/>
    </row>
    <row r="10" spans="1:81" ht="26.25" customHeight="1" x14ac:dyDescent="0.2">
      <c r="B10" s="639"/>
      <c r="C10" s="640"/>
      <c r="D10" s="639"/>
      <c r="E10" s="639"/>
      <c r="F10" s="639"/>
      <c r="G10" s="639"/>
      <c r="H10" s="639"/>
      <c r="I10" s="639"/>
      <c r="J10" s="577"/>
      <c r="K10" s="639"/>
      <c r="L10" s="639"/>
    </row>
    <row r="11" spans="1:81" ht="26.25" customHeight="1" x14ac:dyDescent="0.2">
      <c r="B11" s="639"/>
      <c r="C11" s="640"/>
      <c r="D11" s="639"/>
      <c r="E11" s="639"/>
      <c r="F11" s="639"/>
      <c r="G11" s="639"/>
      <c r="H11" s="639"/>
      <c r="I11" s="639"/>
      <c r="J11" s="577"/>
      <c r="K11" s="639"/>
      <c r="L11" s="639"/>
    </row>
    <row r="12" spans="1:81" ht="26.25" customHeight="1" x14ac:dyDescent="0.2">
      <c r="A12" s="579"/>
      <c r="B12" s="639"/>
      <c r="C12" s="640"/>
      <c r="D12" s="639"/>
      <c r="E12" s="639"/>
      <c r="F12" s="639"/>
      <c r="G12" s="639"/>
      <c r="H12" s="639"/>
      <c r="I12" s="639"/>
      <c r="J12" s="577"/>
      <c r="K12" s="639"/>
      <c r="L12" s="639"/>
    </row>
    <row r="13" spans="1:81" ht="26.25" customHeight="1" x14ac:dyDescent="0.2">
      <c r="B13" s="639"/>
      <c r="C13" s="640"/>
      <c r="D13" s="639"/>
      <c r="E13" s="639"/>
      <c r="F13" s="639"/>
      <c r="G13" s="639"/>
      <c r="H13" s="639"/>
      <c r="I13" s="639"/>
      <c r="J13" s="577"/>
      <c r="K13" s="639"/>
      <c r="L13" s="639"/>
    </row>
    <row r="14" spans="1:81" ht="26.25" customHeight="1" x14ac:dyDescent="0.2">
      <c r="B14" s="639"/>
      <c r="C14" s="640"/>
      <c r="D14" s="639"/>
      <c r="E14" s="639"/>
      <c r="F14" s="639"/>
      <c r="G14" s="639"/>
      <c r="H14" s="639"/>
      <c r="I14" s="639"/>
      <c r="J14" s="577"/>
      <c r="K14" s="639"/>
      <c r="L14" s="639"/>
    </row>
    <row r="15" spans="1:81" ht="26.25" customHeight="1" x14ac:dyDescent="0.2">
      <c r="B15" s="639"/>
      <c r="C15" s="640"/>
      <c r="D15" s="639"/>
      <c r="E15" s="639"/>
      <c r="F15" s="639"/>
      <c r="G15" s="639"/>
      <c r="H15" s="639"/>
      <c r="I15" s="639"/>
      <c r="J15" s="577"/>
      <c r="K15" s="639"/>
      <c r="L15" s="639"/>
    </row>
    <row r="16" spans="1:81" ht="26.25" customHeight="1" x14ac:dyDescent="0.2">
      <c r="B16" s="639"/>
      <c r="C16" s="640"/>
      <c r="D16" s="639"/>
      <c r="E16" s="639"/>
      <c r="F16" s="639"/>
      <c r="G16" s="639"/>
      <c r="H16" s="639"/>
      <c r="I16" s="639"/>
      <c r="J16" s="577"/>
      <c r="K16" s="639"/>
      <c r="L16" s="639"/>
    </row>
    <row r="17" spans="2:12" ht="26.25" customHeight="1" x14ac:dyDescent="0.2">
      <c r="B17" s="639"/>
      <c r="C17" s="640"/>
      <c r="D17" s="639"/>
      <c r="E17" s="639"/>
      <c r="F17" s="639"/>
      <c r="G17" s="639"/>
      <c r="H17" s="639"/>
      <c r="I17" s="639"/>
      <c r="J17" s="577"/>
      <c r="K17" s="639"/>
      <c r="L17" s="639"/>
    </row>
    <row r="18" spans="2:12" ht="26.25" customHeight="1" x14ac:dyDescent="0.2">
      <c r="B18" s="639"/>
      <c r="C18" s="640"/>
      <c r="D18" s="639"/>
      <c r="E18" s="639"/>
      <c r="F18" s="639"/>
      <c r="G18" s="639"/>
      <c r="H18" s="639"/>
      <c r="I18" s="639"/>
      <c r="J18" s="577"/>
      <c r="K18" s="639"/>
      <c r="L18" s="639"/>
    </row>
    <row r="19" spans="2:12" ht="26.25" customHeight="1" x14ac:dyDescent="0.2">
      <c r="B19" s="639"/>
      <c r="C19" s="640"/>
      <c r="D19" s="639"/>
      <c r="E19" s="639"/>
      <c r="F19" s="639"/>
      <c r="G19" s="639"/>
      <c r="H19" s="639"/>
      <c r="I19" s="639"/>
      <c r="J19" s="577"/>
      <c r="K19" s="639"/>
      <c r="L19" s="639"/>
    </row>
    <row r="20" spans="2:12" ht="26.25" customHeight="1" x14ac:dyDescent="0.2">
      <c r="B20" s="639"/>
      <c r="C20" s="640"/>
      <c r="D20" s="639"/>
      <c r="E20" s="639"/>
      <c r="F20" s="639"/>
      <c r="G20" s="639"/>
      <c r="H20" s="639"/>
      <c r="I20" s="639"/>
      <c r="J20" s="577"/>
      <c r="K20" s="639"/>
      <c r="L20" s="639"/>
    </row>
    <row r="21" spans="2:12" ht="26.25" customHeight="1" x14ac:dyDescent="0.2">
      <c r="B21" s="639"/>
      <c r="C21" s="640"/>
      <c r="D21" s="639"/>
      <c r="E21" s="639"/>
      <c r="F21" s="639"/>
      <c r="G21" s="639"/>
      <c r="H21" s="639"/>
      <c r="I21" s="639"/>
      <c r="J21" s="577"/>
      <c r="K21" s="639"/>
      <c r="L21" s="639"/>
    </row>
    <row r="22" spans="2:12" ht="26.25" customHeight="1" x14ac:dyDescent="0.2">
      <c r="B22" s="639"/>
      <c r="C22" s="640"/>
      <c r="D22" s="639"/>
      <c r="E22" s="639"/>
      <c r="F22" s="639"/>
      <c r="G22" s="639"/>
      <c r="H22" s="639"/>
      <c r="I22" s="639"/>
      <c r="J22" s="577"/>
      <c r="K22" s="639"/>
      <c r="L22" s="639"/>
    </row>
    <row r="23" spans="2:12" ht="26.25" customHeight="1" x14ac:dyDescent="0.2">
      <c r="B23" s="639"/>
      <c r="C23" s="640"/>
      <c r="D23" s="639"/>
      <c r="E23" s="639"/>
      <c r="F23" s="639"/>
      <c r="G23" s="639"/>
      <c r="H23" s="639"/>
      <c r="I23" s="639"/>
      <c r="J23" s="577"/>
      <c r="K23" s="639"/>
      <c r="L23" s="639"/>
    </row>
    <row r="24" spans="2:12" ht="26.25" customHeight="1" x14ac:dyDescent="0.2">
      <c r="B24" s="639"/>
      <c r="C24" s="640"/>
      <c r="D24" s="639"/>
      <c r="E24" s="639"/>
      <c r="F24" s="639"/>
      <c r="G24" s="639"/>
      <c r="H24" s="639"/>
      <c r="I24" s="639"/>
      <c r="J24" s="577"/>
      <c r="K24" s="639"/>
      <c r="L24" s="639"/>
    </row>
    <row r="25" spans="2:12" ht="26.25" customHeight="1" x14ac:dyDescent="0.2">
      <c r="B25" s="639"/>
      <c r="C25" s="640"/>
      <c r="D25" s="639"/>
      <c r="E25" s="639"/>
      <c r="F25" s="639"/>
      <c r="G25" s="639"/>
      <c r="H25" s="639"/>
      <c r="I25" s="639"/>
      <c r="J25" s="577"/>
      <c r="K25" s="639"/>
      <c r="L25" s="639"/>
    </row>
    <row r="26" spans="2:12" ht="26.25" customHeight="1" x14ac:dyDescent="0.2">
      <c r="B26" s="639"/>
      <c r="C26" s="640"/>
      <c r="D26" s="639"/>
      <c r="E26" s="639"/>
      <c r="F26" s="639"/>
      <c r="G26" s="639"/>
      <c r="H26" s="639"/>
      <c r="I26" s="639"/>
      <c r="J26" s="577"/>
      <c r="K26" s="639"/>
      <c r="L26" s="639"/>
    </row>
    <row r="27" spans="2:12" ht="26.25" customHeight="1" x14ac:dyDescent="0.2">
      <c r="B27" s="639"/>
      <c r="C27" s="640"/>
      <c r="D27" s="639"/>
      <c r="E27" s="639"/>
      <c r="F27" s="639"/>
      <c r="G27" s="639"/>
      <c r="H27" s="639"/>
      <c r="I27" s="639"/>
      <c r="J27" s="577"/>
      <c r="K27" s="639"/>
      <c r="L27" s="639"/>
    </row>
    <row r="28" spans="2:12" ht="26.25" customHeight="1" x14ac:dyDescent="0.2">
      <c r="B28" s="639"/>
      <c r="C28" s="640"/>
      <c r="D28" s="639"/>
      <c r="E28" s="639"/>
      <c r="F28" s="639"/>
      <c r="G28" s="639"/>
      <c r="H28" s="639"/>
      <c r="I28" s="639"/>
      <c r="J28" s="577"/>
      <c r="K28" s="639"/>
      <c r="L28" s="639"/>
    </row>
    <row r="29" spans="2:12" ht="26.25" customHeight="1" x14ac:dyDescent="0.2">
      <c r="B29" s="639"/>
      <c r="C29" s="640"/>
      <c r="D29" s="639"/>
      <c r="E29" s="639"/>
      <c r="F29" s="639"/>
      <c r="G29" s="639"/>
      <c r="H29" s="639"/>
      <c r="I29" s="639"/>
      <c r="J29" s="577"/>
      <c r="K29" s="639"/>
      <c r="L29" s="639"/>
    </row>
    <row r="30" spans="2:12" ht="26.25" customHeight="1" x14ac:dyDescent="0.2">
      <c r="B30" s="639"/>
      <c r="C30" s="640"/>
      <c r="D30" s="639"/>
      <c r="E30" s="639"/>
      <c r="F30" s="639"/>
      <c r="G30" s="639"/>
      <c r="H30" s="639"/>
      <c r="I30" s="639"/>
      <c r="J30" s="577"/>
      <c r="K30" s="639"/>
      <c r="L30" s="639"/>
    </row>
    <row r="31" spans="2:12" ht="26.25" customHeight="1" x14ac:dyDescent="0.2">
      <c r="B31" s="639"/>
      <c r="C31" s="640"/>
      <c r="D31" s="639"/>
      <c r="E31" s="639"/>
      <c r="F31" s="639"/>
      <c r="G31" s="639"/>
      <c r="H31" s="639"/>
      <c r="I31" s="639"/>
      <c r="J31" s="577"/>
      <c r="K31" s="639"/>
      <c r="L31" s="639"/>
    </row>
    <row r="32" spans="2:12" ht="26.25" customHeight="1" x14ac:dyDescent="0.2">
      <c r="B32" s="639"/>
      <c r="C32" s="640"/>
      <c r="D32" s="639"/>
      <c r="E32" s="639"/>
      <c r="F32" s="639"/>
      <c r="G32" s="639"/>
      <c r="H32" s="639"/>
      <c r="I32" s="639"/>
      <c r="J32" s="577"/>
      <c r="K32" s="639"/>
      <c r="L32" s="639"/>
    </row>
    <row r="33" spans="2:12" ht="26.25" customHeight="1" x14ac:dyDescent="0.2">
      <c r="B33" s="639"/>
      <c r="C33" s="640"/>
      <c r="D33" s="639"/>
      <c r="E33" s="639"/>
      <c r="F33" s="639"/>
      <c r="G33" s="639"/>
      <c r="H33" s="639"/>
      <c r="I33" s="639"/>
      <c r="J33" s="577"/>
      <c r="K33" s="639"/>
      <c r="L33" s="639"/>
    </row>
    <row r="34" spans="2:12" ht="26.25" customHeight="1" x14ac:dyDescent="0.2">
      <c r="B34" s="639"/>
      <c r="C34" s="640"/>
      <c r="D34" s="639"/>
      <c r="E34" s="639"/>
      <c r="F34" s="639"/>
      <c r="G34" s="639"/>
      <c r="H34" s="639"/>
      <c r="I34" s="639"/>
      <c r="J34" s="577"/>
      <c r="K34" s="639"/>
      <c r="L34" s="639"/>
    </row>
    <row r="35" spans="2:12" ht="26.25" customHeight="1" x14ac:dyDescent="0.2">
      <c r="B35" s="639"/>
      <c r="C35" s="640"/>
      <c r="D35" s="639"/>
      <c r="E35" s="639"/>
      <c r="F35" s="639"/>
      <c r="G35" s="639"/>
      <c r="H35" s="639"/>
      <c r="I35" s="639"/>
      <c r="J35" s="577"/>
      <c r="K35" s="639"/>
      <c r="L35" s="639"/>
    </row>
    <row r="36" spans="2:12" ht="26.25" customHeight="1" x14ac:dyDescent="0.2">
      <c r="B36" s="639"/>
      <c r="C36" s="640"/>
      <c r="D36" s="639"/>
      <c r="E36" s="639"/>
      <c r="F36" s="639"/>
      <c r="G36" s="639"/>
      <c r="H36" s="639"/>
      <c r="I36" s="639"/>
      <c r="J36" s="577"/>
      <c r="K36" s="639"/>
      <c r="L36" s="639"/>
    </row>
    <row r="37" spans="2:12" ht="26.25" customHeight="1" x14ac:dyDescent="0.2">
      <c r="B37" s="639"/>
      <c r="C37" s="640"/>
      <c r="D37" s="639"/>
      <c r="E37" s="639"/>
      <c r="F37" s="639"/>
      <c r="G37" s="639"/>
      <c r="H37" s="639"/>
      <c r="I37" s="639"/>
      <c r="J37" s="577"/>
      <c r="K37" s="639"/>
      <c r="L37" s="639"/>
    </row>
    <row r="38" spans="2:12" ht="26.25" customHeight="1" x14ac:dyDescent="0.2">
      <c r="B38" s="639"/>
      <c r="C38" s="640"/>
      <c r="D38" s="639"/>
      <c r="E38" s="639"/>
      <c r="F38" s="639"/>
      <c r="G38" s="639"/>
      <c r="H38" s="639"/>
      <c r="I38" s="639"/>
      <c r="J38" s="577"/>
      <c r="K38" s="639"/>
      <c r="L38" s="639"/>
    </row>
    <row r="39" spans="2:12" ht="26.25" customHeight="1" x14ac:dyDescent="0.2">
      <c r="B39" s="639"/>
      <c r="C39" s="640"/>
      <c r="D39" s="639"/>
      <c r="E39" s="639"/>
      <c r="F39" s="639"/>
      <c r="G39" s="639"/>
      <c r="H39" s="639"/>
      <c r="I39" s="639"/>
      <c r="J39" s="577"/>
      <c r="K39" s="639"/>
      <c r="L39" s="639"/>
    </row>
    <row r="40" spans="2:12" ht="26.25" customHeight="1" x14ac:dyDescent="0.2">
      <c r="B40" s="639"/>
      <c r="C40" s="640"/>
      <c r="D40" s="639"/>
      <c r="E40" s="639"/>
      <c r="F40" s="639"/>
      <c r="G40" s="639"/>
      <c r="H40" s="639"/>
      <c r="I40" s="639"/>
      <c r="J40" s="577"/>
      <c r="K40" s="639"/>
      <c r="L40" s="639"/>
    </row>
    <row r="41" spans="2:12" ht="26.25" customHeight="1" x14ac:dyDescent="0.2">
      <c r="B41" s="639"/>
      <c r="C41" s="640"/>
      <c r="D41" s="639"/>
      <c r="E41" s="639"/>
      <c r="F41" s="639"/>
      <c r="G41" s="639"/>
      <c r="H41" s="639"/>
      <c r="I41" s="639"/>
      <c r="J41" s="577"/>
      <c r="K41" s="639"/>
      <c r="L41" s="639"/>
    </row>
    <row r="42" spans="2:12" ht="15.95" customHeight="1" thickBot="1" x14ac:dyDescent="0.25">
      <c r="B42" s="577"/>
      <c r="C42" s="578"/>
      <c r="D42" s="577"/>
      <c r="E42" s="577"/>
      <c r="F42" s="577"/>
      <c r="G42" s="577"/>
      <c r="H42" s="577"/>
      <c r="I42" s="577"/>
      <c r="J42" s="577"/>
      <c r="K42" s="577"/>
      <c r="L42" s="577"/>
    </row>
    <row r="43" spans="2:12" ht="20.100000000000001" customHeight="1" thickTop="1" thickBot="1" x14ac:dyDescent="0.25">
      <c r="B43" s="612" t="s">
        <v>285</v>
      </c>
      <c r="C43" s="612"/>
      <c r="D43" s="837" t="str">
        <f>IF(_Ped_Lab_Opm=0,"",_Ped_Lab_Opm)</f>
        <v/>
      </c>
      <c r="E43" s="838"/>
      <c r="F43" s="838"/>
      <c r="G43" s="838"/>
      <c r="H43" s="838"/>
      <c r="I43" s="838"/>
      <c r="J43" s="838"/>
      <c r="K43" s="838"/>
      <c r="L43" s="838"/>
    </row>
    <row r="44" spans="2:12" ht="20.100000000000001" customHeight="1" thickTop="1" x14ac:dyDescent="0.2">
      <c r="B44" s="612"/>
      <c r="C44" s="612"/>
      <c r="D44" s="838"/>
      <c r="E44" s="838"/>
      <c r="F44" s="838"/>
      <c r="G44" s="838"/>
      <c r="H44" s="838"/>
      <c r="I44" s="838"/>
      <c r="J44" s="838"/>
      <c r="K44" s="838"/>
      <c r="L44" s="83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M43" sqref="M43"/>
    </sheetView>
  </sheetViews>
  <sheetFormatPr defaultColWidth="9.140625" defaultRowHeight="12.75" x14ac:dyDescent="0.2"/>
  <cols>
    <col min="1" max="16384" width="9.140625" style="154"/>
  </cols>
  <sheetData>
    <row r="1" spans="1:16" x14ac:dyDescent="0.2">
      <c r="A1" s="350"/>
    </row>
    <row r="3" spans="1:16" x14ac:dyDescent="0.2">
      <c r="A3" s="170" t="s">
        <v>675</v>
      </c>
      <c r="B3" s="154" t="s">
        <v>676</v>
      </c>
      <c r="D3" s="170" t="s">
        <v>442</v>
      </c>
      <c r="E3" s="154" t="b">
        <v>1</v>
      </c>
      <c r="F3" s="170" t="s">
        <v>443</v>
      </c>
      <c r="G3" s="154" t="b">
        <v>1</v>
      </c>
      <c r="H3" s="170" t="s">
        <v>146</v>
      </c>
      <c r="I3" s="154" t="b">
        <v>1</v>
      </c>
      <c r="K3" s="170" t="s">
        <v>677</v>
      </c>
      <c r="M3" s="170"/>
      <c r="O3" s="170"/>
    </row>
    <row r="4" spans="1:16" x14ac:dyDescent="0.2">
      <c r="B4" s="154" t="str">
        <f>IF(C4,"A","")</f>
        <v/>
      </c>
      <c r="C4" s="476" t="b">
        <v>0</v>
      </c>
      <c r="D4" s="154" t="str">
        <f>IF(E4,"A","")</f>
        <v/>
      </c>
      <c r="E4" s="476" t="b">
        <v>0</v>
      </c>
      <c r="F4" s="154" t="str">
        <f>IF(G4,"A","")</f>
        <v/>
      </c>
      <c r="G4" s="476" t="b">
        <v>0</v>
      </c>
      <c r="H4" s="154" t="str">
        <f>IF(I4,"A","")</f>
        <v/>
      </c>
      <c r="I4" s="476" t="b">
        <v>0</v>
      </c>
      <c r="K4" s="154" t="str">
        <f>IF(L4,"A","")</f>
        <v/>
      </c>
      <c r="L4" s="476" t="b">
        <v>0</v>
      </c>
      <c r="N4" s="350"/>
      <c r="P4" s="350"/>
    </row>
    <row r="5" spans="1:16" x14ac:dyDescent="0.2">
      <c r="B5" s="154" t="str">
        <f>IF(C5,"Na K","")</f>
        <v/>
      </c>
      <c r="C5" s="476" t="b">
        <v>0</v>
      </c>
      <c r="D5" s="154" t="str">
        <f>IF(E5,"Na K","")</f>
        <v/>
      </c>
      <c r="E5" s="476" t="b">
        <v>0</v>
      </c>
      <c r="F5" s="154" t="str">
        <f>IF(G5,"Na K","")</f>
        <v/>
      </c>
      <c r="G5" s="476" t="b">
        <v>0</v>
      </c>
      <c r="H5" s="154" t="str">
        <f>IF(I5,"Na K","")</f>
        <v/>
      </c>
      <c r="I5" s="476" t="b">
        <v>0</v>
      </c>
      <c r="K5" s="154" t="str">
        <f>IF(L5,"Na K","")</f>
        <v/>
      </c>
      <c r="L5" s="476" t="b">
        <v>0</v>
      </c>
      <c r="N5" s="350"/>
      <c r="P5" s="350"/>
    </row>
    <row r="6" spans="1:16" x14ac:dyDescent="0.2">
      <c r="A6" s="350"/>
      <c r="B6" s="154" t="str">
        <f>IF(C6,"Cl","")</f>
        <v/>
      </c>
      <c r="C6" s="476" t="b">
        <v>0</v>
      </c>
      <c r="D6" s="154" t="str">
        <f>IF(E6,"Cl","")</f>
        <v/>
      </c>
      <c r="E6" s="476" t="b">
        <v>0</v>
      </c>
      <c r="F6" s="154" t="str">
        <f>IF(G6,"Cl","")</f>
        <v/>
      </c>
      <c r="G6" s="476" t="b">
        <v>0</v>
      </c>
      <c r="H6" s="154" t="str">
        <f>IF(I6,"Cl","")</f>
        <v/>
      </c>
      <c r="I6" s="476" t="b">
        <v>0</v>
      </c>
      <c r="K6" s="154" t="str">
        <f>IF(L6,"Cl","")</f>
        <v/>
      </c>
      <c r="L6" s="476" t="b">
        <v>0</v>
      </c>
      <c r="N6" s="350"/>
      <c r="P6" s="350"/>
    </row>
    <row r="7" spans="1:16" x14ac:dyDescent="0.2">
      <c r="B7" s="154" t="str">
        <f>IF(C7,"Gluc","")</f>
        <v/>
      </c>
      <c r="C7" s="476" t="b">
        <v>0</v>
      </c>
      <c r="D7" s="154" t="str">
        <f>IF(E7,"Gluc","")</f>
        <v/>
      </c>
      <c r="E7" s="476" t="b">
        <v>0</v>
      </c>
      <c r="F7" s="154" t="str">
        <f>IF(G7,"Gluc","")</f>
        <v/>
      </c>
      <c r="G7" s="476" t="b">
        <v>0</v>
      </c>
      <c r="H7" s="154" t="str">
        <f>IF(I7,"Gluc","")</f>
        <v/>
      </c>
      <c r="I7" s="476" t="b">
        <v>0</v>
      </c>
      <c r="K7" s="154" t="str">
        <f>IF(L7,"Gluc","")</f>
        <v/>
      </c>
      <c r="L7" s="476" t="b">
        <v>0</v>
      </c>
      <c r="N7" s="350"/>
      <c r="P7" s="350"/>
    </row>
    <row r="8" spans="1:16" x14ac:dyDescent="0.2">
      <c r="B8" s="154" t="str">
        <f>IF(C8,"Hb Ht","")</f>
        <v/>
      </c>
      <c r="C8" s="476" t="b">
        <v>0</v>
      </c>
      <c r="D8" s="154" t="str">
        <f>IF(E8,"Hb Ht","")</f>
        <v/>
      </c>
      <c r="E8" s="476" t="b">
        <v>0</v>
      </c>
      <c r="F8" s="154" t="str">
        <f>IF(G8,"Hb Ht","")</f>
        <v/>
      </c>
      <c r="G8" s="476" t="b">
        <v>0</v>
      </c>
      <c r="H8" s="154" t="str">
        <f>IF(I8,"Hb Ht","")</f>
        <v/>
      </c>
      <c r="I8" s="476" t="b">
        <v>0</v>
      </c>
      <c r="K8" s="154" t="str">
        <f>IF(L8,"Hb Ht","")</f>
        <v/>
      </c>
      <c r="L8" s="476" t="b">
        <v>0</v>
      </c>
      <c r="N8" s="350"/>
      <c r="P8" s="350"/>
    </row>
    <row r="9" spans="1:16" x14ac:dyDescent="0.2">
      <c r="B9" s="154" t="str">
        <f>IF(C9,"L","")</f>
        <v/>
      </c>
      <c r="C9" s="476" t="b">
        <v>0</v>
      </c>
      <c r="D9" s="154" t="str">
        <f>IF(E9,"L","")</f>
        <v/>
      </c>
      <c r="E9" s="476" t="b">
        <v>0</v>
      </c>
      <c r="F9" s="154" t="str">
        <f>IF(G9,"L","")</f>
        <v/>
      </c>
      <c r="G9" s="476" t="b">
        <v>0</v>
      </c>
      <c r="H9" s="154" t="str">
        <f>IF(I9,"L","")</f>
        <v/>
      </c>
      <c r="I9" s="476" t="b">
        <v>0</v>
      </c>
      <c r="K9" s="154" t="str">
        <f>IF(L9,"L","")</f>
        <v/>
      </c>
      <c r="L9" s="476" t="b">
        <v>0</v>
      </c>
      <c r="N9" s="350"/>
      <c r="P9" s="350"/>
    </row>
    <row r="10" spans="1:16" x14ac:dyDescent="0.2">
      <c r="B10" s="154" t="str">
        <f>IF(C10,"T","")</f>
        <v/>
      </c>
      <c r="C10" s="476" t="b">
        <v>0</v>
      </c>
      <c r="D10" s="154" t="str">
        <f>IF(E10,"T","")</f>
        <v/>
      </c>
      <c r="E10" s="476" t="b">
        <v>0</v>
      </c>
      <c r="F10" s="154" t="str">
        <f>IF(G10,"T","")</f>
        <v/>
      </c>
      <c r="G10" s="476" t="b">
        <v>0</v>
      </c>
      <c r="H10" s="154" t="str">
        <f>IF(I10,"T","")</f>
        <v/>
      </c>
      <c r="I10" s="476" t="b">
        <v>0</v>
      </c>
      <c r="K10" s="154" t="str">
        <f>IF(L10,"T","")</f>
        <v/>
      </c>
      <c r="L10" s="476" t="b">
        <v>0</v>
      </c>
      <c r="N10" s="350"/>
      <c r="P10" s="350"/>
    </row>
    <row r="11" spans="1:16" x14ac:dyDescent="0.2">
      <c r="B11" s="154" t="str">
        <f>IF(C11,"CRP","")</f>
        <v/>
      </c>
      <c r="C11" s="476" t="b">
        <v>0</v>
      </c>
      <c r="D11" s="154" t="str">
        <f>IF(E11,"CRP","")</f>
        <v/>
      </c>
      <c r="E11" s="476" t="b">
        <v>0</v>
      </c>
      <c r="F11" s="154" t="str">
        <f>IF(G11,"CRP","")</f>
        <v/>
      </c>
      <c r="G11" s="476" t="b">
        <v>0</v>
      </c>
      <c r="H11" s="154" t="str">
        <f>IF(I11,"CRP","")</f>
        <v/>
      </c>
      <c r="I11" s="476" t="b">
        <v>0</v>
      </c>
      <c r="K11" s="154" t="str">
        <f>IF(L11,"CRP","")</f>
        <v/>
      </c>
      <c r="L11" s="476" t="b">
        <v>0</v>
      </c>
      <c r="N11" s="350"/>
      <c r="P11" s="350"/>
    </row>
    <row r="12" spans="1:16" x14ac:dyDescent="0.2">
      <c r="B12" s="154" t="str">
        <f>IF(C12,"Lac","")</f>
        <v/>
      </c>
      <c r="C12" s="476" t="b">
        <v>0</v>
      </c>
      <c r="D12" s="154" t="str">
        <f>IF(E12,"Lac","")</f>
        <v/>
      </c>
      <c r="E12" s="476" t="b">
        <v>0</v>
      </c>
      <c r="F12" s="154" t="str">
        <f>IF(G12,"Lac","")</f>
        <v/>
      </c>
      <c r="G12" s="476" t="b">
        <v>0</v>
      </c>
      <c r="H12" s="154" t="str">
        <f>IF(I12,"Lac","")</f>
        <v/>
      </c>
      <c r="I12" s="476" t="b">
        <v>0</v>
      </c>
      <c r="K12" s="154" t="str">
        <f>IF(L12,"Lac","")</f>
        <v/>
      </c>
      <c r="L12" s="476" t="b">
        <v>0</v>
      </c>
      <c r="N12" s="350"/>
      <c r="P12" s="350"/>
    </row>
    <row r="13" spans="1:16" x14ac:dyDescent="0.2">
      <c r="B13" s="154" t="str">
        <f>IF(C13,"Ur","")</f>
        <v/>
      </c>
      <c r="C13" s="476" t="b">
        <v>0</v>
      </c>
      <c r="D13" s="154" t="str">
        <f>IF(E13,"Ur","")</f>
        <v/>
      </c>
      <c r="E13" s="476" t="b">
        <v>0</v>
      </c>
      <c r="F13" s="154" t="str">
        <f>IF(G13,"Ur","")</f>
        <v/>
      </c>
      <c r="G13" s="476" t="b">
        <v>0</v>
      </c>
      <c r="H13" s="154" t="str">
        <f>IF(I13,"Ur","")</f>
        <v/>
      </c>
      <c r="I13" s="476" t="b">
        <v>0</v>
      </c>
      <c r="K13" s="154" t="str">
        <f>IF(L13,"Ur","")</f>
        <v/>
      </c>
      <c r="L13" s="476" t="b">
        <v>0</v>
      </c>
      <c r="N13" s="350"/>
      <c r="P13" s="350"/>
    </row>
    <row r="14" spans="1:16" x14ac:dyDescent="0.2">
      <c r="B14" s="154" t="str">
        <f>IF(C14,"Kr","")</f>
        <v/>
      </c>
      <c r="C14" s="476" t="b">
        <v>0</v>
      </c>
      <c r="D14" s="154" t="str">
        <f>IF(E14,"Kr","")</f>
        <v/>
      </c>
      <c r="E14" s="476" t="b">
        <v>0</v>
      </c>
      <c r="F14" s="154" t="str">
        <f>IF(G14,"Kr","")</f>
        <v/>
      </c>
      <c r="G14" s="476" t="b">
        <v>0</v>
      </c>
      <c r="H14" s="154" t="str">
        <f>IF(I14,"Kr","")</f>
        <v/>
      </c>
      <c r="I14" s="476" t="b">
        <v>0</v>
      </c>
      <c r="K14" s="154" t="str">
        <f>IF(L14,"Kr","")</f>
        <v/>
      </c>
      <c r="L14" s="476" t="b">
        <v>0</v>
      </c>
      <c r="N14" s="350"/>
      <c r="P14" s="350"/>
    </row>
    <row r="15" spans="1:16" x14ac:dyDescent="0.2">
      <c r="B15" s="154" t="str">
        <f>IF(C15,"Ca++","")</f>
        <v/>
      </c>
      <c r="C15" s="476" t="b">
        <v>0</v>
      </c>
      <c r="D15" s="154" t="str">
        <f>IF(E15,"Ca++","")</f>
        <v/>
      </c>
      <c r="E15" s="476" t="b">
        <v>0</v>
      </c>
      <c r="F15" s="154" t="str">
        <f>IF(G15,"Ca++","")</f>
        <v/>
      </c>
      <c r="G15" s="476" t="b">
        <v>0</v>
      </c>
      <c r="H15" s="154" t="str">
        <f>IF(I15,"Ca++","")</f>
        <v/>
      </c>
      <c r="I15" s="476" t="b">
        <v>0</v>
      </c>
      <c r="K15" s="154" t="str">
        <f>IF(L15,"Ca++","")</f>
        <v/>
      </c>
      <c r="L15" s="476" t="b">
        <v>0</v>
      </c>
      <c r="N15" s="350"/>
      <c r="P15" s="350"/>
    </row>
    <row r="16" spans="1:16" x14ac:dyDescent="0.2">
      <c r="B16" s="154" t="str">
        <f>IF(C16,"Mg++","")</f>
        <v/>
      </c>
      <c r="C16" s="476" t="b">
        <v>0</v>
      </c>
      <c r="D16" s="154" t="str">
        <f>IF(E16,"Mg++","")</f>
        <v/>
      </c>
      <c r="E16" s="476" t="b">
        <v>0</v>
      </c>
      <c r="F16" s="154" t="str">
        <f>IF(G16,"Mg++","")</f>
        <v/>
      </c>
      <c r="G16" s="476" t="b">
        <v>0</v>
      </c>
      <c r="H16" s="154" t="str">
        <f>IF(I16,"Mg++","")</f>
        <v/>
      </c>
      <c r="I16" s="476" t="b">
        <v>0</v>
      </c>
      <c r="K16" s="154" t="str">
        <f>IF(L16,"Mg++","")</f>
        <v/>
      </c>
      <c r="L16" s="476" t="b">
        <v>0</v>
      </c>
      <c r="N16" s="350"/>
      <c r="P16" s="350"/>
    </row>
    <row r="17" spans="2:16" x14ac:dyDescent="0.2">
      <c r="B17" s="154" t="str">
        <f>IF(C17,"Fosfaat","")</f>
        <v/>
      </c>
      <c r="C17" s="476" t="b">
        <v>0</v>
      </c>
      <c r="D17" s="154" t="str">
        <f>IF(E17,"Fosfaat","")</f>
        <v/>
      </c>
      <c r="E17" s="476" t="b">
        <v>0</v>
      </c>
      <c r="F17" s="154" t="str">
        <f>IF(G17,"Fosfaat","")</f>
        <v/>
      </c>
      <c r="G17" s="476" t="b">
        <v>0</v>
      </c>
      <c r="H17" s="154" t="str">
        <f>IF(I17,"Fosfaat","")</f>
        <v/>
      </c>
      <c r="I17" s="476" t="b">
        <v>0</v>
      </c>
      <c r="K17" s="154" t="str">
        <f>IF(L17,"Fosfaat","")</f>
        <v/>
      </c>
      <c r="L17" s="476" t="b">
        <v>0</v>
      </c>
      <c r="N17" s="350"/>
      <c r="P17" s="350"/>
    </row>
    <row r="18" spans="2:16" x14ac:dyDescent="0.2">
      <c r="B18" s="154" t="str">
        <f>IF(C18,"Alb","")</f>
        <v/>
      </c>
      <c r="C18" s="476" t="b">
        <v>0</v>
      </c>
      <c r="D18" s="154" t="str">
        <f>IF(E18,"Alb","")</f>
        <v/>
      </c>
      <c r="E18" s="476" t="b">
        <v>0</v>
      </c>
      <c r="F18" s="154" t="str">
        <f>IF(G18,"Alb","")</f>
        <v/>
      </c>
      <c r="G18" s="476" t="b">
        <v>0</v>
      </c>
      <c r="H18" s="154" t="str">
        <f>IF(I18,"Alb","")</f>
        <v/>
      </c>
      <c r="I18" s="476" t="b">
        <v>0</v>
      </c>
      <c r="K18" s="154" t="str">
        <f>IF(L18,"Alb","")</f>
        <v/>
      </c>
      <c r="L18" s="476" t="b">
        <v>0</v>
      </c>
      <c r="N18" s="350"/>
      <c r="P18" s="350"/>
    </row>
    <row r="19" spans="2:16" x14ac:dyDescent="0.2">
      <c r="B19" s="154" t="str">
        <f>IF(C19,"Ca","")</f>
        <v/>
      </c>
      <c r="C19" s="476" t="b">
        <v>0</v>
      </c>
      <c r="D19" s="154" t="str">
        <f>IF(E19,"Ca","")</f>
        <v/>
      </c>
      <c r="E19" s="476" t="b">
        <v>0</v>
      </c>
      <c r="F19" s="154" t="str">
        <f>IF(G19,"Ca","")</f>
        <v/>
      </c>
      <c r="G19" s="476" t="b">
        <v>0</v>
      </c>
      <c r="H19" s="154" t="str">
        <f>IF(I19,"Ca","")</f>
        <v/>
      </c>
      <c r="I19" s="476" t="b">
        <v>0</v>
      </c>
      <c r="K19" s="154" t="str">
        <f>IF(L19,"Ca","")</f>
        <v/>
      </c>
      <c r="L19" s="476" t="b">
        <v>0</v>
      </c>
      <c r="N19" s="350"/>
      <c r="P19" s="350"/>
    </row>
    <row r="20" spans="2:16" x14ac:dyDescent="0.2">
      <c r="B20" s="154" t="str">
        <f>IF(C20,"ASAT","")</f>
        <v/>
      </c>
      <c r="C20" s="476" t="b">
        <v>0</v>
      </c>
      <c r="D20" s="154" t="str">
        <f>IF(E20,"ASAT","")</f>
        <v/>
      </c>
      <c r="E20" s="476" t="b">
        <v>0</v>
      </c>
      <c r="F20" s="154" t="str">
        <f>IF(G20,"ASAT","")</f>
        <v/>
      </c>
      <c r="G20" s="476" t="b">
        <v>0</v>
      </c>
      <c r="H20" s="154" t="str">
        <f>IF(I20,"ASAT","")</f>
        <v/>
      </c>
      <c r="I20" s="476" t="b">
        <v>0</v>
      </c>
      <c r="K20" s="154" t="str">
        <f>IF(L20,"ASAT","")</f>
        <v/>
      </c>
      <c r="L20" s="476" t="b">
        <v>0</v>
      </c>
      <c r="N20" s="350"/>
      <c r="P20" s="350"/>
    </row>
    <row r="21" spans="2:16" x14ac:dyDescent="0.2">
      <c r="B21" s="154" t="str">
        <f>IF(C21,"ALAT","")</f>
        <v/>
      </c>
      <c r="C21" s="476" t="b">
        <v>0</v>
      </c>
      <c r="D21" s="154" t="str">
        <f>IF(E21,"ALAT","")</f>
        <v/>
      </c>
      <c r="E21" s="476" t="b">
        <v>0</v>
      </c>
      <c r="F21" s="154" t="str">
        <f>IF(G21,"ALAT","")</f>
        <v/>
      </c>
      <c r="G21" s="476" t="b">
        <v>0</v>
      </c>
      <c r="H21" s="154" t="str">
        <f>IF(I21,"ALAT","")</f>
        <v/>
      </c>
      <c r="I21" s="476" t="b">
        <v>0</v>
      </c>
      <c r="K21" s="154" t="str">
        <f>IF(L21,"Alat","")</f>
        <v/>
      </c>
      <c r="L21" s="476" t="b">
        <v>0</v>
      </c>
      <c r="N21" s="350"/>
      <c r="P21" s="350"/>
    </row>
    <row r="22" spans="2:16" x14ac:dyDescent="0.2">
      <c r="B22" s="154" t="str">
        <f>IF(C22,"GGT","")</f>
        <v/>
      </c>
      <c r="C22" s="476" t="b">
        <v>0</v>
      </c>
      <c r="D22" s="154" t="str">
        <f>IF(E22,"GGT","")</f>
        <v/>
      </c>
      <c r="E22" s="476" t="b">
        <v>0</v>
      </c>
      <c r="F22" s="154" t="str">
        <f>IF(G22,"GGT","")</f>
        <v/>
      </c>
      <c r="G22" s="476" t="b">
        <v>0</v>
      </c>
      <c r="H22" s="154" t="str">
        <f>IF(I22,"GGT","")</f>
        <v/>
      </c>
      <c r="I22" s="476" t="b">
        <v>0</v>
      </c>
      <c r="K22" s="154" t="str">
        <f>IF(L22,"GGT","")</f>
        <v/>
      </c>
      <c r="L22" s="476" t="b">
        <v>0</v>
      </c>
      <c r="N22" s="350"/>
      <c r="P22" s="350"/>
    </row>
    <row r="23" spans="2:16" x14ac:dyDescent="0.2">
      <c r="B23" s="154" t="str">
        <f>IF(C23,"AF","")</f>
        <v/>
      </c>
      <c r="C23" s="476" t="b">
        <v>0</v>
      </c>
      <c r="D23" s="154" t="str">
        <f>IF(E23,"AF","")</f>
        <v/>
      </c>
      <c r="E23" s="476" t="b">
        <v>0</v>
      </c>
      <c r="F23" s="154" t="str">
        <f>IF(G23,"AF","")</f>
        <v/>
      </c>
      <c r="G23" s="476" t="b">
        <v>0</v>
      </c>
      <c r="H23" s="154" t="str">
        <f>IF(I23,"AF","")</f>
        <v/>
      </c>
      <c r="I23" s="476" t="b">
        <v>0</v>
      </c>
      <c r="K23" s="154" t="str">
        <f>IF(L23,"AF","")</f>
        <v/>
      </c>
      <c r="L23" s="476" t="b">
        <v>0</v>
      </c>
      <c r="N23" s="350"/>
      <c r="P23" s="350"/>
    </row>
    <row r="24" spans="2:16" x14ac:dyDescent="0.2">
      <c r="B24" s="154" t="str">
        <f>IF(C24,"LDH","")</f>
        <v/>
      </c>
      <c r="C24" s="476" t="b">
        <v>0</v>
      </c>
      <c r="D24" s="154" t="str">
        <f>IF(E24,"LDH","")</f>
        <v/>
      </c>
      <c r="E24" s="476" t="b">
        <v>0</v>
      </c>
      <c r="F24" s="154" t="str">
        <f>IF(G24,"LDH","")</f>
        <v/>
      </c>
      <c r="G24" s="476" t="b">
        <v>0</v>
      </c>
      <c r="H24" s="154" t="str">
        <f>IF(I24,"LDH","")</f>
        <v/>
      </c>
      <c r="I24" s="476" t="b">
        <v>0</v>
      </c>
      <c r="K24" s="154" t="str">
        <f>IF(L24,"LDH","")</f>
        <v/>
      </c>
      <c r="L24" s="476" t="b">
        <v>0</v>
      </c>
      <c r="N24" s="350"/>
      <c r="P24" s="350"/>
    </row>
    <row r="25" spans="2:16" x14ac:dyDescent="0.2">
      <c r="B25" s="154" t="str">
        <f>IF(C25,"Bili","")</f>
        <v/>
      </c>
      <c r="C25" s="476" t="b">
        <v>0</v>
      </c>
      <c r="D25" s="154" t="str">
        <f>IF(E25,"Bili","")</f>
        <v/>
      </c>
      <c r="E25" s="476" t="b">
        <v>0</v>
      </c>
      <c r="F25" s="154" t="str">
        <f>IF(G25,"Bili","")</f>
        <v/>
      </c>
      <c r="G25" s="476" t="b">
        <v>0</v>
      </c>
      <c r="H25" s="154" t="str">
        <f>IF(I25,"Bili","")</f>
        <v/>
      </c>
      <c r="I25" s="476" t="b">
        <v>0</v>
      </c>
      <c r="K25" s="154" t="str">
        <f>IF(L25,"Blil","")</f>
        <v/>
      </c>
      <c r="L25" s="476" t="b">
        <v>0</v>
      </c>
      <c r="N25" s="350"/>
      <c r="P25" s="350"/>
    </row>
    <row r="26" spans="2:16" x14ac:dyDescent="0.2">
      <c r="B26" s="154" t="str">
        <f>IF(C26,"CK","")</f>
        <v/>
      </c>
      <c r="C26" s="476" t="b">
        <v>0</v>
      </c>
      <c r="D26" s="154" t="str">
        <f>IF(E26,"CK","")</f>
        <v/>
      </c>
      <c r="E26" s="476" t="b">
        <v>0</v>
      </c>
      <c r="F26" s="154" t="str">
        <f>IF(G26,"CK","")</f>
        <v/>
      </c>
      <c r="G26" s="476" t="b">
        <v>0</v>
      </c>
      <c r="H26" s="154" t="str">
        <f>IF(I26,"CK","")</f>
        <v/>
      </c>
      <c r="I26" s="476" t="b">
        <v>0</v>
      </c>
      <c r="K26" s="154" t="str">
        <f>IF(L26,"CK","")</f>
        <v/>
      </c>
      <c r="L26" s="476" t="b">
        <v>0</v>
      </c>
      <c r="N26" s="350"/>
      <c r="P26" s="350"/>
    </row>
    <row r="27" spans="2:16" x14ac:dyDescent="0.2">
      <c r="B27" s="154" t="str">
        <f>IF(C27,"TG","")</f>
        <v/>
      </c>
      <c r="C27" s="476" t="b">
        <v>0</v>
      </c>
      <c r="D27" s="154" t="str">
        <f>IF(E27,"TG","")</f>
        <v/>
      </c>
      <c r="E27" s="476" t="b">
        <v>0</v>
      </c>
      <c r="F27" s="154" t="str">
        <f>IF(G27,"TG","")</f>
        <v/>
      </c>
      <c r="G27" s="476" t="b">
        <v>0</v>
      </c>
      <c r="H27" s="154" t="str">
        <f>IF(I27,"TG","")</f>
        <v/>
      </c>
      <c r="I27" s="476" t="b">
        <v>0</v>
      </c>
      <c r="K27" s="154" t="str">
        <f>IF(L27,"TG","")</f>
        <v/>
      </c>
      <c r="L27" s="476" t="b">
        <v>0</v>
      </c>
      <c r="N27" s="350"/>
      <c r="P27" s="350"/>
    </row>
    <row r="28" spans="2:16" x14ac:dyDescent="0.2">
      <c r="B28" s="154" t="str">
        <f>IF(C28,"BG","")</f>
        <v/>
      </c>
      <c r="C28" s="476" t="b">
        <v>0</v>
      </c>
      <c r="D28" s="154" t="str">
        <f>IF(E28,"BG","")</f>
        <v/>
      </c>
      <c r="E28" s="476" t="b">
        <v>0</v>
      </c>
      <c r="F28" s="154" t="str">
        <f>IF(G28,"BG","")</f>
        <v/>
      </c>
      <c r="G28" s="476" t="b">
        <v>0</v>
      </c>
      <c r="H28" s="154" t="str">
        <f>IF(I28,"BG","")</f>
        <v/>
      </c>
      <c r="I28" s="476" t="b">
        <v>0</v>
      </c>
      <c r="K28" s="154" t="str">
        <f>IF(L28,"BG","")</f>
        <v/>
      </c>
      <c r="L28" s="476" t="b">
        <v>0</v>
      </c>
      <c r="N28" s="350"/>
      <c r="P28" s="350"/>
    </row>
    <row r="29" spans="2:16" x14ac:dyDescent="0.2">
      <c r="B29" s="154" t="str">
        <f>IF(C29,"PT","")</f>
        <v/>
      </c>
      <c r="C29" s="476" t="b">
        <v>0</v>
      </c>
      <c r="D29" s="154" t="str">
        <f>IF(E29,"PT","")</f>
        <v/>
      </c>
      <c r="E29" s="476" t="b">
        <v>0</v>
      </c>
      <c r="F29" s="154" t="str">
        <f>IF(G29,"PT","")</f>
        <v/>
      </c>
      <c r="G29" s="476" t="b">
        <v>0</v>
      </c>
      <c r="H29" s="154" t="str">
        <f>IF(I29,"PT","")</f>
        <v/>
      </c>
      <c r="I29" s="476" t="b">
        <v>0</v>
      </c>
      <c r="K29" s="154" t="str">
        <f>IF(L29,"PT","")</f>
        <v/>
      </c>
      <c r="L29" s="476" t="b">
        <v>0</v>
      </c>
      <c r="N29" s="350"/>
      <c r="P29" s="350"/>
    </row>
    <row r="30" spans="2:16" x14ac:dyDescent="0.2">
      <c r="B30" s="154" t="str">
        <f>IF(C30,"APTT","")</f>
        <v/>
      </c>
      <c r="C30" s="476" t="b">
        <v>0</v>
      </c>
      <c r="D30" s="154" t="str">
        <f>IF(E30,"APTT","")</f>
        <v/>
      </c>
      <c r="E30" s="476" t="b">
        <v>0</v>
      </c>
      <c r="F30" s="154" t="str">
        <f>IF(G30,"APTT","")</f>
        <v/>
      </c>
      <c r="G30" s="476" t="b">
        <v>0</v>
      </c>
      <c r="H30" s="154" t="str">
        <f>IF(I30,"APTT","")</f>
        <v/>
      </c>
      <c r="I30" s="476" t="b">
        <v>0</v>
      </c>
      <c r="K30" s="154" t="str">
        <f>IF(L30,"APTT","")</f>
        <v/>
      </c>
      <c r="L30" s="476" t="b">
        <v>0</v>
      </c>
      <c r="N30" s="350"/>
      <c r="P30" s="350"/>
    </row>
    <row r="31" spans="2:16" x14ac:dyDescent="0.2">
      <c r="B31" s="154" t="str">
        <f>IF(C31,"d-dimeren","")</f>
        <v/>
      </c>
      <c r="C31" s="476" t="b">
        <v>0</v>
      </c>
      <c r="D31" s="154" t="str">
        <f>IF(E31,"d-dimeren","")</f>
        <v/>
      </c>
      <c r="E31" s="476" t="b">
        <v>0</v>
      </c>
      <c r="F31" s="154" t="str">
        <f>IF(G31,"d-dimeren","")</f>
        <v/>
      </c>
      <c r="G31" s="476" t="b">
        <v>0</v>
      </c>
      <c r="H31" s="154" t="str">
        <f>IF(I31,"d-dimeren","")</f>
        <v/>
      </c>
      <c r="I31" s="476" t="b">
        <v>0</v>
      </c>
      <c r="K31" s="154" t="str">
        <f>IF(L31,"d-dimeren","")</f>
        <v/>
      </c>
      <c r="L31" s="476" t="b">
        <v>0</v>
      </c>
      <c r="N31" s="350"/>
      <c r="P31" s="350"/>
    </row>
    <row r="32" spans="2:16" x14ac:dyDescent="0.2">
      <c r="B32" s="154" t="str">
        <f>IF(C32,"INR","")</f>
        <v/>
      </c>
      <c r="C32" s="476" t="b">
        <v>0</v>
      </c>
      <c r="D32" s="154" t="str">
        <f>IF(E32,"INR","")</f>
        <v/>
      </c>
      <c r="E32" s="476" t="b">
        <v>0</v>
      </c>
      <c r="F32" s="154" t="str">
        <f t="shared" ref="F32" si="0">IF(G32,"INR","")</f>
        <v/>
      </c>
      <c r="G32" s="476" t="b">
        <v>0</v>
      </c>
      <c r="H32" s="154" t="str">
        <f t="shared" ref="H32" si="1">IF(I32,"INR","")</f>
        <v/>
      </c>
      <c r="I32" s="476" t="b">
        <v>0</v>
      </c>
      <c r="K32" s="154" t="str">
        <f t="shared" ref="K32:K35" si="2">IF(L32,"INR","")</f>
        <v/>
      </c>
      <c r="L32" s="476" t="b">
        <v>0</v>
      </c>
      <c r="N32" s="350"/>
      <c r="P32" s="350"/>
    </row>
    <row r="33" spans="2:16" x14ac:dyDescent="0.2">
      <c r="B33" s="154" t="str">
        <f>IF(C33,"Hep-ratio","")</f>
        <v/>
      </c>
      <c r="C33" s="476" t="b">
        <v>0</v>
      </c>
      <c r="D33" s="154" t="str">
        <f>IF(E33,"Hep-ratio","")</f>
        <v/>
      </c>
      <c r="E33" s="476" t="b">
        <v>0</v>
      </c>
      <c r="F33" s="154" t="str">
        <f>IF(G33,"Hep-ratio","")</f>
        <v/>
      </c>
      <c r="G33" s="476" t="b">
        <v>0</v>
      </c>
      <c r="H33" s="154" t="str">
        <f>IF(I33,"Hep-ratio","")</f>
        <v/>
      </c>
      <c r="I33" s="476" t="b">
        <v>0</v>
      </c>
      <c r="K33" s="154" t="str">
        <f>IF(L33,"Hep-ratio","")</f>
        <v/>
      </c>
      <c r="L33" s="476" t="b">
        <v>0</v>
      </c>
      <c r="N33" s="350"/>
      <c r="P33" s="350"/>
    </row>
    <row r="34" spans="2:16" x14ac:dyDescent="0.2">
      <c r="B34" s="154" t="str">
        <f>IF(C34,"BNP","")</f>
        <v/>
      </c>
      <c r="C34" s="476" t="b">
        <v>0</v>
      </c>
      <c r="D34" s="154" t="str">
        <f>IF(E34,"BNP","")</f>
        <v/>
      </c>
      <c r="E34" s="476" t="b">
        <v>0</v>
      </c>
      <c r="F34" s="154" t="str">
        <f>IF(G34,"BNP","")</f>
        <v/>
      </c>
      <c r="G34" s="476" t="b">
        <v>0</v>
      </c>
      <c r="H34" s="154" t="str">
        <f>IF(I34,"BNP","")</f>
        <v/>
      </c>
      <c r="I34" s="476" t="b">
        <v>0</v>
      </c>
      <c r="K34" s="154" t="str">
        <f>IF(L34,"BNP","")</f>
        <v/>
      </c>
      <c r="L34" s="476" t="b">
        <v>0</v>
      </c>
      <c r="N34" s="350"/>
      <c r="P34" s="350"/>
    </row>
    <row r="35" spans="2:16" x14ac:dyDescent="0.2">
      <c r="B35" s="154" t="str">
        <f>IF(C35,"ACT","")</f>
        <v/>
      </c>
      <c r="C35" s="476" t="b">
        <v>0</v>
      </c>
      <c r="G35" s="477" t="b">
        <v>0</v>
      </c>
      <c r="K35" s="154" t="str">
        <f t="shared" si="2"/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595" customWidth="1"/>
    <col min="2" max="2" width="25" style="595" customWidth="1"/>
    <col min="3" max="3" width="16.28515625" style="595" customWidth="1"/>
    <col min="4" max="4" width="16.7109375" style="595" customWidth="1"/>
    <col min="5" max="5" width="15" style="595" bestFit="1" customWidth="1"/>
    <col min="6" max="6" width="21.85546875" style="595" bestFit="1" customWidth="1"/>
    <col min="7" max="7" width="21.5703125" style="595" customWidth="1"/>
    <col min="8" max="8" width="11.5703125" style="595" customWidth="1"/>
    <col min="9" max="9" width="27" style="595" customWidth="1"/>
    <col min="10" max="10" width="15.5703125" style="595" customWidth="1"/>
    <col min="11" max="11" width="13" style="595" customWidth="1"/>
    <col min="12" max="45" width="9.140625" style="595" customWidth="1"/>
    <col min="46" max="16384" width="9.140625" style="595"/>
  </cols>
  <sheetData>
    <row r="1" spans="1:17" s="592" customFormat="1" ht="17.25" customHeight="1" x14ac:dyDescent="0.2">
      <c r="A1" s="591"/>
      <c r="B1" s="631"/>
      <c r="C1" s="631"/>
      <c r="D1" s="631"/>
      <c r="E1" s="631"/>
      <c r="F1" s="631"/>
      <c r="G1" s="631"/>
      <c r="H1" s="631"/>
      <c r="I1" s="631"/>
    </row>
    <row r="2" spans="1:17" s="592" customFormat="1" ht="17.25" customHeight="1" x14ac:dyDescent="0.2">
      <c r="B2" s="632" t="s">
        <v>297</v>
      </c>
      <c r="C2" s="633">
        <f ca="1">Var_AfspraakDatum</f>
        <v>42755</v>
      </c>
      <c r="D2" s="632" t="s">
        <v>298</v>
      </c>
      <c r="E2" s="634" t="str">
        <f>PatDetails!B15</f>
        <v/>
      </c>
      <c r="F2" s="632" t="str">
        <f>PatDetails!B23</f>
        <v>Gewicht: 1 kg</v>
      </c>
      <c r="G2" s="632"/>
      <c r="H2" s="632" t="s">
        <v>490</v>
      </c>
      <c r="I2" s="635">
        <f>__1_Bed</f>
        <v>0</v>
      </c>
    </row>
    <row r="3" spans="1:17" s="592" customFormat="1" ht="17.25" customHeight="1" x14ac:dyDescent="0.2">
      <c r="B3" s="632" t="s">
        <v>28</v>
      </c>
      <c r="C3" s="636" t="str">
        <f>PatDetails!B21</f>
        <v/>
      </c>
      <c r="D3" s="632" t="s">
        <v>305</v>
      </c>
      <c r="E3" s="634" t="str">
        <f ca="1">PatDetails!B16</f>
        <v/>
      </c>
      <c r="F3" s="632" t="str">
        <f>PatDetails!B24</f>
        <v>Lengte:</v>
      </c>
      <c r="G3" s="632"/>
      <c r="H3" s="632"/>
      <c r="I3" s="631"/>
    </row>
    <row r="4" spans="1:17" s="592" customFormat="1" ht="17.25" customHeight="1" x14ac:dyDescent="0.2">
      <c r="A4" s="593"/>
      <c r="B4" s="632" t="s">
        <v>3984</v>
      </c>
      <c r="C4" s="632" t="str">
        <f>PatDetails!B17</f>
        <v/>
      </c>
      <c r="D4" s="632" t="s">
        <v>268</v>
      </c>
      <c r="E4" s="637" t="str">
        <f ca="1">PatDetails!B20</f>
        <v/>
      </c>
      <c r="F4" s="632" t="str">
        <f>PatDetails!B25</f>
        <v>Lichamelijk oppervlak:</v>
      </c>
      <c r="G4" s="632"/>
      <c r="H4" s="632"/>
      <c r="I4" s="631"/>
    </row>
    <row r="6" spans="1:17" x14ac:dyDescent="0.2">
      <c r="A6" s="594"/>
      <c r="B6" s="822" t="s">
        <v>688</v>
      </c>
      <c r="C6" s="822"/>
      <c r="D6" s="822"/>
      <c r="E6" s="822"/>
      <c r="F6" s="822" t="s">
        <v>695</v>
      </c>
      <c r="G6" s="822"/>
      <c r="H6" s="822"/>
      <c r="I6" s="822"/>
      <c r="Q6" s="592"/>
    </row>
    <row r="7" spans="1:17" ht="18" customHeight="1" thickBot="1" x14ac:dyDescent="0.25">
      <c r="Q7" s="592"/>
    </row>
    <row r="8" spans="1:17" ht="18" customHeight="1" thickTop="1" thickBot="1" x14ac:dyDescent="0.25">
      <c r="C8" s="786" t="str">
        <f>IF(PedBerAfspr!C7=0,"",PedBerAfspr!C7)</f>
        <v/>
      </c>
      <c r="Q8" s="592"/>
    </row>
    <row r="9" spans="1:17" ht="18" customHeight="1" thickTop="1" thickBot="1" x14ac:dyDescent="0.25">
      <c r="C9" s="786" t="str">
        <f>IF(PedBerAfspr!C8=0,"",PedBerAfspr!C8)</f>
        <v/>
      </c>
      <c r="G9" s="766" t="str">
        <f>CONCATENATE("à ",PedBerAfspr!G16," uur")</f>
        <v>à 0 uur</v>
      </c>
      <c r="H9" s="596"/>
    </row>
    <row r="10" spans="1:17" ht="18" customHeight="1" thickTop="1" thickBot="1" x14ac:dyDescent="0.25">
      <c r="C10" s="786" t="str">
        <f>IF(PedBerAfspr!C9=0,"",PedBerAfspr!C9)</f>
        <v/>
      </c>
      <c r="G10" s="605" t="str">
        <f>CONCATENATE("à ",PedBerAfspr!G18," uur")</f>
        <v>à 0 uur</v>
      </c>
      <c r="H10" s="616" t="s">
        <v>916</v>
      </c>
      <c r="I10" s="789" t="str">
        <f>IF(_Ped_AfsprD_Verliezen=0,"",_Ped_AfsprD_Verliezen)</f>
        <v/>
      </c>
      <c r="J10" s="597"/>
      <c r="K10" s="597"/>
    </row>
    <row r="11" spans="1:17" ht="18" customHeight="1" thickTop="1" thickBot="1" x14ac:dyDescent="0.25">
      <c r="C11" s="787" t="str">
        <f>CONCATENATE(PedBerAfspr!$B$12," dd")</f>
        <v>0 dd</v>
      </c>
      <c r="F11" s="598"/>
      <c r="I11" s="597"/>
      <c r="J11" s="597"/>
      <c r="K11" s="597"/>
    </row>
    <row r="12" spans="1:17" ht="18" customHeight="1" thickTop="1" x14ac:dyDescent="0.2">
      <c r="F12" s="598"/>
      <c r="I12" s="597"/>
      <c r="J12" s="597"/>
      <c r="K12" s="597"/>
    </row>
    <row r="13" spans="1:17" ht="18" customHeight="1" x14ac:dyDescent="0.2">
      <c r="F13" s="598"/>
      <c r="I13" s="599"/>
      <c r="M13" s="592"/>
    </row>
    <row r="14" spans="1:17" ht="18" customHeight="1" x14ac:dyDescent="0.2">
      <c r="F14" s="598"/>
      <c r="M14" s="592"/>
    </row>
    <row r="15" spans="1:17" ht="18" customHeight="1" x14ac:dyDescent="0.2">
      <c r="F15" s="598"/>
    </row>
    <row r="16" spans="1:17" ht="18" customHeight="1" x14ac:dyDescent="0.2">
      <c r="F16" s="598"/>
      <c r="M16" s="592"/>
    </row>
    <row r="17" spans="1:14" ht="18" customHeight="1" thickBot="1" x14ac:dyDescent="0.25">
      <c r="F17" s="617" t="s">
        <v>835</v>
      </c>
      <c r="G17" s="618"/>
      <c r="H17" s="618"/>
      <c r="I17" s="618"/>
      <c r="M17" s="592"/>
    </row>
    <row r="18" spans="1:14" ht="18" customHeight="1" thickTop="1" thickBot="1" x14ac:dyDescent="0.25">
      <c r="C18" s="788" t="str">
        <f>CONCATENATE(PedBerAfspr!$C$42," dd")</f>
        <v>0 dd</v>
      </c>
      <c r="F18" s="839" t="str">
        <f>IF(_Ped_AfsprOverig=0,"",_Ped_AfsprOverig)</f>
        <v/>
      </c>
      <c r="G18" s="840"/>
      <c r="H18" s="840"/>
      <c r="I18" s="840"/>
      <c r="K18" s="592"/>
      <c r="M18" s="592"/>
      <c r="N18" s="592"/>
    </row>
    <row r="19" spans="1:14" ht="18" customHeight="1" thickTop="1" thickBot="1" x14ac:dyDescent="0.25">
      <c r="C19" s="787" t="str">
        <f>CONCATENATE(PedBerAfspr!$C$43," dd")</f>
        <v>3 dd</v>
      </c>
      <c r="F19" s="840"/>
      <c r="G19" s="840"/>
      <c r="H19" s="840"/>
      <c r="I19" s="840"/>
      <c r="N19" s="592"/>
    </row>
    <row r="20" spans="1:14" ht="18" customHeight="1" thickTop="1" x14ac:dyDescent="0.2">
      <c r="F20" s="840"/>
      <c r="G20" s="840"/>
      <c r="H20" s="840"/>
      <c r="I20" s="840"/>
      <c r="K20" s="592"/>
      <c r="M20" s="592"/>
      <c r="N20" s="592"/>
    </row>
    <row r="21" spans="1:14" ht="18" customHeight="1" x14ac:dyDescent="0.2">
      <c r="F21" s="598"/>
      <c r="G21" s="600"/>
      <c r="H21" s="601"/>
      <c r="M21" s="592"/>
      <c r="N21" s="592"/>
    </row>
    <row r="22" spans="1:14" ht="18" customHeight="1" x14ac:dyDescent="0.2">
      <c r="B22" s="822" t="s">
        <v>694</v>
      </c>
      <c r="C22" s="822"/>
      <c r="D22" s="822"/>
      <c r="E22" s="822"/>
      <c r="F22" s="823"/>
      <c r="G22" s="824"/>
      <c r="H22" s="825"/>
      <c r="I22" s="822"/>
      <c r="M22" s="592"/>
    </row>
    <row r="23" spans="1:14" ht="18" customHeight="1" x14ac:dyDescent="0.2">
      <c r="F23" s="598"/>
      <c r="G23" s="600"/>
      <c r="H23" s="601"/>
      <c r="M23" s="592"/>
    </row>
    <row r="24" spans="1:14" ht="18" customHeight="1" x14ac:dyDescent="0.2">
      <c r="F24" s="598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822" t="s">
        <v>892</v>
      </c>
      <c r="C28" s="822"/>
      <c r="D28" s="822"/>
      <c r="E28" s="822"/>
      <c r="F28" s="822"/>
      <c r="G28" s="822"/>
      <c r="H28" s="822"/>
      <c r="I28" s="822"/>
    </row>
    <row r="29" spans="1:14" ht="18" customHeight="1" x14ac:dyDescent="0.2">
      <c r="A29" s="596"/>
    </row>
    <row r="30" spans="1:14" ht="18" customHeight="1" x14ac:dyDescent="0.2">
      <c r="A30" s="596"/>
      <c r="E30" s="598"/>
    </row>
    <row r="31" spans="1:14" ht="18" customHeight="1" x14ac:dyDescent="0.2">
      <c r="A31" s="596"/>
      <c r="E31" s="598"/>
      <c r="M31" s="592"/>
    </row>
    <row r="32" spans="1:14" ht="18" customHeight="1" x14ac:dyDescent="0.2">
      <c r="A32" s="596"/>
      <c r="B32" s="602"/>
      <c r="C32" s="602"/>
      <c r="D32" s="596"/>
      <c r="E32" s="596"/>
      <c r="M32" s="592"/>
    </row>
    <row r="33" spans="2:13" ht="18" customHeight="1" x14ac:dyDescent="0.2">
      <c r="B33" s="602"/>
      <c r="C33" s="602"/>
      <c r="D33" s="596"/>
      <c r="E33" s="596"/>
      <c r="M33" s="592"/>
    </row>
    <row r="34" spans="2:13" ht="18" customHeight="1" thickBot="1" x14ac:dyDescent="0.25">
      <c r="B34" s="602"/>
      <c r="C34" s="602"/>
      <c r="D34" s="596"/>
      <c r="E34" s="596"/>
      <c r="M34" s="592"/>
    </row>
    <row r="35" spans="2:13" ht="18" customHeight="1" thickTop="1" thickBot="1" x14ac:dyDescent="0.25">
      <c r="B35" s="602"/>
      <c r="C35" s="602"/>
      <c r="D35" s="801">
        <f>PedBerAfspr!D40</f>
        <v>0</v>
      </c>
      <c r="E35" s="602" t="s">
        <v>894</v>
      </c>
      <c r="F35" s="592"/>
      <c r="M35" s="592"/>
    </row>
    <row r="36" spans="2:13" ht="18" customHeight="1" thickTop="1" x14ac:dyDescent="0.2">
      <c r="E36" s="598"/>
      <c r="M36" s="592"/>
    </row>
    <row r="37" spans="2:13" ht="18" customHeight="1" x14ac:dyDescent="0.2">
      <c r="B37" s="638" t="s">
        <v>660</v>
      </c>
      <c r="C37" s="638"/>
      <c r="D37" s="638"/>
      <c r="E37" s="638"/>
      <c r="F37" s="638"/>
      <c r="G37" s="638"/>
      <c r="H37" s="638"/>
      <c r="I37" s="638"/>
      <c r="M37" s="592"/>
    </row>
    <row r="38" spans="2:13" ht="18" customHeight="1" x14ac:dyDescent="0.2">
      <c r="B38" s="638" t="s">
        <v>688</v>
      </c>
      <c r="C38" s="638" t="str">
        <f>IFERROR(LEFT(Var_Ped_AfsprControles,LEN(Var_Ped_AfsprControles)-3),"")</f>
        <v/>
      </c>
      <c r="D38" s="638"/>
      <c r="E38" s="638"/>
      <c r="F38" s="638"/>
      <c r="G38" s="638"/>
      <c r="H38" s="638"/>
      <c r="I38" s="638"/>
      <c r="M38" s="592"/>
    </row>
    <row r="39" spans="2:13" ht="18" customHeight="1" x14ac:dyDescent="0.2">
      <c r="B39" s="638" t="s">
        <v>694</v>
      </c>
      <c r="C39" s="638" t="str">
        <f>IFERROR(LEFT(Var_Ped_AfsprOnderzoeken,LEN(Var_Ped_AfsprOnderzoeken)-3),"")</f>
        <v/>
      </c>
      <c r="D39" s="638"/>
      <c r="E39" s="638"/>
      <c r="F39" s="638"/>
      <c r="G39" s="638"/>
      <c r="H39" s="638"/>
      <c r="I39" s="638"/>
    </row>
    <row r="40" spans="2:13" ht="18" customHeight="1" x14ac:dyDescent="0.2">
      <c r="B40" s="638" t="s">
        <v>892</v>
      </c>
      <c r="C40" s="638" t="str">
        <f>IFERROR(LEFT(Var_Ped_AfsprInstellingen,LEN(Var_Ped_AfsprInstellingen)-3),"")</f>
        <v/>
      </c>
      <c r="D40" s="638"/>
      <c r="E40" s="638"/>
      <c r="F40" s="638"/>
      <c r="G40" s="638"/>
      <c r="H40" s="638"/>
      <c r="I40" s="638"/>
      <c r="M40" s="592"/>
    </row>
    <row r="41" spans="2:13" ht="18" customHeight="1" x14ac:dyDescent="0.2">
      <c r="B41" s="638" t="s">
        <v>673</v>
      </c>
      <c r="C41" s="638" t="str">
        <f>IFERROR(LEFT(Var_Ped_AfsprOverig,LEN(Var_Ped_AfsprOverig)-3),"")</f>
        <v/>
      </c>
      <c r="D41" s="638"/>
      <c r="E41" s="638"/>
      <c r="F41" s="638"/>
      <c r="G41" s="638"/>
      <c r="H41" s="638"/>
      <c r="I41" s="638"/>
      <c r="M41" s="592"/>
    </row>
    <row r="42" spans="2:13" ht="18" customHeight="1" x14ac:dyDescent="0.2">
      <c r="M42" s="592"/>
    </row>
    <row r="43" spans="2:13" ht="18" customHeight="1" x14ac:dyDescent="0.2">
      <c r="M43" s="592"/>
    </row>
    <row r="44" spans="2:13" ht="18" customHeight="1" x14ac:dyDescent="0.2">
      <c r="M44" s="592"/>
    </row>
    <row r="45" spans="2:13" ht="18" customHeight="1" x14ac:dyDescent="0.2"/>
    <row r="46" spans="2:13" ht="18" customHeight="1" x14ac:dyDescent="0.2"/>
    <row r="47" spans="2:13" ht="18" customHeight="1" x14ac:dyDescent="0.2">
      <c r="M47" s="603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43" bestFit="1" customWidth="1"/>
    <col min="2" max="2" width="9.140625" style="343"/>
    <col min="3" max="3" width="14" style="343" customWidth="1"/>
    <col min="4" max="4" width="9.140625" style="344"/>
    <col min="5" max="5" width="28" style="349" bestFit="1" customWidth="1"/>
    <col min="6" max="6" width="9.140625" style="343"/>
    <col min="7" max="7" width="13.5703125" style="343" customWidth="1"/>
    <col min="8" max="16384" width="9.140625" style="343"/>
  </cols>
  <sheetData>
    <row r="1" spans="1:8" x14ac:dyDescent="0.2">
      <c r="A1" s="353"/>
    </row>
    <row r="6" spans="1:8" x14ac:dyDescent="0.2">
      <c r="A6" s="367" t="s">
        <v>688</v>
      </c>
      <c r="E6" s="345" t="s">
        <v>673</v>
      </c>
    </row>
    <row r="7" spans="1:8" x14ac:dyDescent="0.2">
      <c r="A7" s="346" t="s">
        <v>267</v>
      </c>
      <c r="B7" s="353" t="b">
        <v>0</v>
      </c>
      <c r="C7" s="353">
        <v>0</v>
      </c>
      <c r="D7" s="354">
        <v>0</v>
      </c>
      <c r="E7" s="347" t="s">
        <v>659</v>
      </c>
      <c r="F7" s="353" t="b">
        <v>0</v>
      </c>
    </row>
    <row r="8" spans="1:8" x14ac:dyDescent="0.2">
      <c r="A8" s="346" t="s">
        <v>128</v>
      </c>
      <c r="B8" s="353" t="b">
        <v>0</v>
      </c>
      <c r="C8" s="353">
        <v>0</v>
      </c>
      <c r="D8" s="354">
        <v>0</v>
      </c>
      <c r="E8" s="347" t="s">
        <v>669</v>
      </c>
      <c r="F8" s="353" t="b">
        <v>0</v>
      </c>
    </row>
    <row r="9" spans="1:8" x14ac:dyDescent="0.2">
      <c r="A9" s="343" t="s">
        <v>832</v>
      </c>
      <c r="B9" s="353" t="b">
        <v>0</v>
      </c>
      <c r="C9" s="353">
        <v>0</v>
      </c>
      <c r="D9" s="354">
        <v>1</v>
      </c>
      <c r="E9" s="347" t="s">
        <v>901</v>
      </c>
      <c r="F9" s="353" t="b">
        <v>0</v>
      </c>
    </row>
    <row r="10" spans="1:8" x14ac:dyDescent="0.2">
      <c r="A10" s="343" t="s">
        <v>880</v>
      </c>
      <c r="B10" s="353" t="b">
        <v>0</v>
      </c>
      <c r="C10" s="353"/>
      <c r="D10" s="354"/>
      <c r="E10" s="347" t="s">
        <v>902</v>
      </c>
      <c r="F10" s="353" t="b">
        <v>0</v>
      </c>
    </row>
    <row r="11" spans="1:8" x14ac:dyDescent="0.2">
      <c r="A11" s="346" t="s">
        <v>722</v>
      </c>
      <c r="B11" s="353" t="b">
        <v>0</v>
      </c>
      <c r="C11" s="346" t="s">
        <v>690</v>
      </c>
      <c r="D11" s="354" t="b">
        <v>0</v>
      </c>
      <c r="E11" s="347" t="s">
        <v>903</v>
      </c>
      <c r="F11" s="353" t="b">
        <v>0</v>
      </c>
    </row>
    <row r="12" spans="1:8" x14ac:dyDescent="0.2">
      <c r="A12" s="346" t="s">
        <v>724</v>
      </c>
      <c r="B12" s="377">
        <v>0</v>
      </c>
      <c r="C12" s="348" t="s">
        <v>691</v>
      </c>
      <c r="D12" s="354" t="b">
        <v>0</v>
      </c>
      <c r="E12" s="347" t="s">
        <v>667</v>
      </c>
      <c r="F12" s="353" t="b">
        <v>0</v>
      </c>
    </row>
    <row r="13" spans="1:8" x14ac:dyDescent="0.2">
      <c r="B13" s="353"/>
      <c r="C13" s="346" t="s">
        <v>692</v>
      </c>
      <c r="D13" s="354" t="b">
        <v>0</v>
      </c>
      <c r="E13" s="349" t="s">
        <v>904</v>
      </c>
      <c r="F13" s="353" t="b">
        <v>0</v>
      </c>
    </row>
    <row r="14" spans="1:8" x14ac:dyDescent="0.2">
      <c r="B14" s="353"/>
      <c r="C14" s="346" t="s">
        <v>693</v>
      </c>
      <c r="D14" s="354" t="b">
        <v>0</v>
      </c>
      <c r="E14" s="349" t="s">
        <v>905</v>
      </c>
      <c r="F14" s="353" t="b">
        <v>0</v>
      </c>
    </row>
    <row r="15" spans="1:8" x14ac:dyDescent="0.2">
      <c r="A15" s="346" t="s">
        <v>723</v>
      </c>
      <c r="B15" s="353" t="b">
        <v>0</v>
      </c>
      <c r="D15" s="354"/>
      <c r="E15" s="349" t="s">
        <v>906</v>
      </c>
      <c r="F15" s="353" t="b">
        <v>0</v>
      </c>
    </row>
    <row r="16" spans="1:8" x14ac:dyDescent="0.2">
      <c r="A16" s="343" t="s">
        <v>615</v>
      </c>
      <c r="B16" s="353" t="b">
        <v>0</v>
      </c>
      <c r="D16" s="354"/>
      <c r="E16" s="347" t="s">
        <v>915</v>
      </c>
      <c r="F16" s="353" t="b">
        <v>0</v>
      </c>
      <c r="G16" s="353">
        <v>0</v>
      </c>
      <c r="H16" s="346"/>
    </row>
    <row r="17" spans="1:8" x14ac:dyDescent="0.2">
      <c r="A17" s="346" t="s">
        <v>614</v>
      </c>
      <c r="B17" s="353" t="b">
        <v>0</v>
      </c>
      <c r="D17" s="354"/>
      <c r="E17" s="347" t="s">
        <v>673</v>
      </c>
      <c r="F17" s="353"/>
    </row>
    <row r="18" spans="1:8" x14ac:dyDescent="0.2">
      <c r="E18" s="347" t="s">
        <v>828</v>
      </c>
      <c r="F18" s="353" t="b">
        <v>0</v>
      </c>
      <c r="G18" s="353">
        <v>0</v>
      </c>
      <c r="H18" s="353"/>
    </row>
    <row r="19" spans="1:8" x14ac:dyDescent="0.2">
      <c r="A19" s="342" t="s">
        <v>694</v>
      </c>
      <c r="B19" s="353"/>
      <c r="E19" s="347"/>
    </row>
    <row r="20" spans="1:8" x14ac:dyDescent="0.2">
      <c r="A20" s="346" t="s">
        <v>878</v>
      </c>
      <c r="B20" s="353" t="b">
        <v>0</v>
      </c>
      <c r="D20" s="354"/>
      <c r="E20" s="347"/>
    </row>
    <row r="21" spans="1:8" x14ac:dyDescent="0.2">
      <c r="A21" s="346" t="s">
        <v>33</v>
      </c>
      <c r="B21" s="353" t="b">
        <v>0</v>
      </c>
      <c r="D21" s="354"/>
    </row>
    <row r="22" spans="1:8" x14ac:dyDescent="0.2">
      <c r="A22" s="346" t="s">
        <v>725</v>
      </c>
      <c r="B22" s="353" t="b">
        <v>0</v>
      </c>
      <c r="D22" s="354"/>
    </row>
    <row r="23" spans="1:8" x14ac:dyDescent="0.2">
      <c r="A23" s="346" t="s">
        <v>726</v>
      </c>
      <c r="B23" s="353" t="b">
        <v>0</v>
      </c>
      <c r="D23" s="354"/>
    </row>
    <row r="24" spans="1:8" x14ac:dyDescent="0.2">
      <c r="A24" s="343" t="s">
        <v>907</v>
      </c>
      <c r="B24" s="353" t="b">
        <v>0</v>
      </c>
      <c r="D24" s="354"/>
    </row>
    <row r="25" spans="1:8" x14ac:dyDescent="0.2">
      <c r="A25" s="343" t="s">
        <v>908</v>
      </c>
      <c r="B25" s="353" t="b">
        <v>0</v>
      </c>
      <c r="D25" s="354"/>
    </row>
    <row r="26" spans="1:8" x14ac:dyDescent="0.2">
      <c r="A26" s="342" t="s">
        <v>892</v>
      </c>
      <c r="B26" s="353"/>
      <c r="D26" s="354"/>
    </row>
    <row r="27" spans="1:8" x14ac:dyDescent="0.2">
      <c r="A27" s="346" t="s">
        <v>727</v>
      </c>
      <c r="B27" s="353" t="b">
        <v>0</v>
      </c>
      <c r="C27" s="343" t="str">
        <f t="shared" ref="C27:C35" si="0">IF(OR(D27=0,D27=1,D27=""),"",INDEX(tbl_Ped_DrainLokatie,D27,0))</f>
        <v/>
      </c>
      <c r="D27" s="353">
        <v>1</v>
      </c>
    </row>
    <row r="28" spans="1:8" x14ac:dyDescent="0.2">
      <c r="B28" s="353"/>
      <c r="C28" s="343" t="str">
        <f>IF(OR(D28=0,D28=1,D28=""),"",INDEX(tbl_Ped_DrainModus,D28,0))</f>
        <v/>
      </c>
      <c r="D28" s="353">
        <v>1</v>
      </c>
    </row>
    <row r="29" spans="1:8" x14ac:dyDescent="0.2">
      <c r="B29" s="353"/>
      <c r="C29" s="343" t="str">
        <f>IF(OR(D29=0,D29=1,D29=""),"",INDEX(tbl_Ped_DrainZuig,D29,0))</f>
        <v/>
      </c>
      <c r="D29" s="353">
        <v>1</v>
      </c>
    </row>
    <row r="30" spans="1:8" x14ac:dyDescent="0.2">
      <c r="A30" s="346" t="s">
        <v>825</v>
      </c>
      <c r="B30" s="353" t="b">
        <v>0</v>
      </c>
      <c r="C30" s="343" t="str">
        <f t="shared" si="0"/>
        <v/>
      </c>
      <c r="D30" s="353">
        <v>1</v>
      </c>
    </row>
    <row r="31" spans="1:8" x14ac:dyDescent="0.2">
      <c r="B31" s="353"/>
      <c r="C31" s="343" t="str">
        <f>IF(OR(D31=0,D31=1,D31=""),"",INDEX(tbl_Ped_DrainModus,D31,0))</f>
        <v/>
      </c>
      <c r="D31" s="353">
        <v>1</v>
      </c>
    </row>
    <row r="32" spans="1:8" x14ac:dyDescent="0.2">
      <c r="B32" s="353"/>
      <c r="C32" s="343" t="str">
        <f>IF(OR(D32=0,D32=1,D32=""),"",INDEX(tbl_Ped_DrainZuig,D32,0))</f>
        <v/>
      </c>
      <c r="D32" s="353">
        <v>1</v>
      </c>
    </row>
    <row r="33" spans="1:5" x14ac:dyDescent="0.2">
      <c r="A33" s="346" t="s">
        <v>895</v>
      </c>
      <c r="B33" s="353" t="b">
        <v>0</v>
      </c>
      <c r="C33" s="343" t="str">
        <f t="shared" si="0"/>
        <v/>
      </c>
      <c r="D33" s="353">
        <v>1</v>
      </c>
    </row>
    <row r="34" spans="1:5" x14ac:dyDescent="0.2">
      <c r="B34" s="353"/>
      <c r="C34" s="343" t="str">
        <f t="shared" si="0"/>
        <v/>
      </c>
      <c r="D34" s="353">
        <v>1</v>
      </c>
    </row>
    <row r="35" spans="1:5" x14ac:dyDescent="0.2">
      <c r="B35" s="353"/>
      <c r="C35" s="343" t="str">
        <f t="shared" si="0"/>
        <v/>
      </c>
      <c r="D35" s="353">
        <v>1</v>
      </c>
    </row>
    <row r="36" spans="1:5" x14ac:dyDescent="0.2">
      <c r="A36" s="340" t="s">
        <v>671</v>
      </c>
      <c r="B36" s="351" t="b">
        <v>0</v>
      </c>
      <c r="C36" s="311" t="s">
        <v>896</v>
      </c>
      <c r="D36" s="352" t="b">
        <v>0</v>
      </c>
      <c r="E36" s="349" t="str">
        <f>IF(B36,CONCATENATE(A36,IF(D36,CONCATENATE(" (",C36,")"),"")," - "),"")</f>
        <v/>
      </c>
    </row>
    <row r="37" spans="1:5" x14ac:dyDescent="0.2">
      <c r="A37" s="311" t="s">
        <v>834</v>
      </c>
      <c r="B37" s="351" t="b">
        <v>0</v>
      </c>
      <c r="C37" s="311" t="s">
        <v>896</v>
      </c>
      <c r="D37" s="351" t="b">
        <v>0</v>
      </c>
      <c r="E37" s="349" t="str">
        <f t="shared" ref="E37:E38" si="1">IF(B37,CONCATENATE(A37,IF(D37,CONCATENATE(" (",C37,")"),"")," - "),"")</f>
        <v/>
      </c>
    </row>
    <row r="38" spans="1:5" x14ac:dyDescent="0.2">
      <c r="A38" s="340" t="s">
        <v>670</v>
      </c>
      <c r="B38" s="351" t="b">
        <v>0</v>
      </c>
      <c r="C38" s="311" t="s">
        <v>896</v>
      </c>
      <c r="D38" s="351" t="b">
        <v>0</v>
      </c>
      <c r="E38" s="349" t="str">
        <f t="shared" si="1"/>
        <v/>
      </c>
    </row>
    <row r="39" spans="1:5" x14ac:dyDescent="0.2">
      <c r="A39" s="311" t="s">
        <v>893</v>
      </c>
      <c r="B39" s="351" t="b">
        <v>0</v>
      </c>
      <c r="C39" s="310" t="str">
        <f>IF(OR(D39=0,D39=1,D39=""),"",INDEX(tbl_Ped_LiquorDrain,D39,0))</f>
        <v/>
      </c>
      <c r="D39" s="352">
        <v>0</v>
      </c>
    </row>
    <row r="40" spans="1:5" x14ac:dyDescent="0.2">
      <c r="A40" s="310"/>
      <c r="B40" s="351"/>
      <c r="C40" s="310" t="s">
        <v>894</v>
      </c>
      <c r="D40" s="352">
        <v>0</v>
      </c>
    </row>
    <row r="42" spans="1:5" x14ac:dyDescent="0.2">
      <c r="A42" s="343" t="s">
        <v>917</v>
      </c>
      <c r="B42" s="353" t="b">
        <v>0</v>
      </c>
      <c r="C42" s="353">
        <v>0</v>
      </c>
    </row>
    <row r="43" spans="1:5" x14ac:dyDescent="0.2">
      <c r="A43" s="343" t="s">
        <v>918</v>
      </c>
      <c r="B43" s="353" t="b">
        <v>0</v>
      </c>
      <c r="C43" s="353">
        <v>3</v>
      </c>
    </row>
    <row r="44" spans="1:5" x14ac:dyDescent="0.2">
      <c r="A44" s="343" t="s">
        <v>919</v>
      </c>
      <c r="B44" s="353" t="b">
        <v>0</v>
      </c>
    </row>
    <row r="46" spans="1:5" x14ac:dyDescent="0.2">
      <c r="A46" s="342" t="s">
        <v>660</v>
      </c>
    </row>
    <row r="47" spans="1:5" x14ac:dyDescent="0.2">
      <c r="A47" s="346" t="s">
        <v>688</v>
      </c>
      <c r="B47" s="34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46" t="s">
        <v>694</v>
      </c>
      <c r="B48" s="34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43" t="s">
        <v>892</v>
      </c>
      <c r="B49" s="34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46" t="s">
        <v>673</v>
      </c>
      <c r="B50" s="34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46"/>
    </row>
    <row r="58" spans="1:2" x14ac:dyDescent="0.2">
      <c r="A58" s="346"/>
    </row>
    <row r="60" spans="1:2" x14ac:dyDescent="0.2">
      <c r="A60" s="346"/>
    </row>
    <row r="61" spans="1:2" x14ac:dyDescent="0.2">
      <c r="A61" s="346"/>
    </row>
    <row r="62" spans="1:2" x14ac:dyDescent="0.2">
      <c r="A62" s="346"/>
    </row>
    <row r="63" spans="1:2" x14ac:dyDescent="0.2">
      <c r="A63" s="346"/>
    </row>
    <row r="64" spans="1:2" x14ac:dyDescent="0.2">
      <c r="A64" s="346"/>
    </row>
    <row r="65" spans="1:1" x14ac:dyDescent="0.2">
      <c r="A65" s="346"/>
    </row>
    <row r="66" spans="1:1" x14ac:dyDescent="0.2">
      <c r="A66" s="346"/>
    </row>
    <row r="67" spans="1:1" x14ac:dyDescent="0.2">
      <c r="A67" s="346"/>
    </row>
    <row r="68" spans="1:1" x14ac:dyDescent="0.2">
      <c r="A68" s="346"/>
    </row>
    <row r="69" spans="1:1" x14ac:dyDescent="0.2">
      <c r="A69" s="346"/>
    </row>
    <row r="70" spans="1:1" x14ac:dyDescent="0.2">
      <c r="A70" s="346"/>
    </row>
    <row r="71" spans="1:1" x14ac:dyDescent="0.2">
      <c r="A71" s="346"/>
    </row>
    <row r="73" spans="1:1" x14ac:dyDescent="0.2">
      <c r="A73" s="346"/>
    </row>
    <row r="74" spans="1:1" x14ac:dyDescent="0.2">
      <c r="A74" s="346"/>
    </row>
    <row r="75" spans="1:1" x14ac:dyDescent="0.2">
      <c r="A75" s="346"/>
    </row>
    <row r="76" spans="1:1" x14ac:dyDescent="0.2">
      <c r="A76" s="346"/>
    </row>
    <row r="77" spans="1:1" x14ac:dyDescent="0.2">
      <c r="A77" s="346"/>
    </row>
    <row r="78" spans="1:1" x14ac:dyDescent="0.2">
      <c r="A78" s="346"/>
    </row>
    <row r="79" spans="1:1" x14ac:dyDescent="0.2">
      <c r="A79" s="346"/>
    </row>
    <row r="80" spans="1:1" x14ac:dyDescent="0.2">
      <c r="A80" s="346"/>
    </row>
    <row r="81" spans="1:1" x14ac:dyDescent="0.2">
      <c r="A81" s="346"/>
    </row>
    <row r="82" spans="1:1" x14ac:dyDescent="0.2">
      <c r="A82" s="346"/>
    </row>
    <row r="83" spans="1:1" x14ac:dyDescent="0.2">
      <c r="A83" s="346"/>
    </row>
    <row r="84" spans="1:1" x14ac:dyDescent="0.2">
      <c r="A84" s="346"/>
    </row>
    <row r="85" spans="1:1" x14ac:dyDescent="0.2">
      <c r="A85" s="346"/>
    </row>
    <row r="86" spans="1:1" x14ac:dyDescent="0.2">
      <c r="A86" s="346"/>
    </row>
    <row r="87" spans="1:1" x14ac:dyDescent="0.2">
      <c r="A87" s="346"/>
    </row>
    <row r="88" spans="1:1" x14ac:dyDescent="0.2">
      <c r="A88" s="346"/>
    </row>
    <row r="89" spans="1:1" x14ac:dyDescent="0.2">
      <c r="A89" s="346"/>
    </row>
    <row r="90" spans="1:1" x14ac:dyDescent="0.2">
      <c r="A90" s="346"/>
    </row>
    <row r="91" spans="1:1" x14ac:dyDescent="0.2">
      <c r="A91" s="346"/>
    </row>
    <row r="92" spans="1:1" x14ac:dyDescent="0.2">
      <c r="A92" s="346"/>
    </row>
    <row r="93" spans="1:1" x14ac:dyDescent="0.2">
      <c r="A93" s="346"/>
    </row>
    <row r="94" spans="1:1" x14ac:dyDescent="0.2">
      <c r="A94" s="346"/>
    </row>
    <row r="95" spans="1:1" x14ac:dyDescent="0.2">
      <c r="A95" s="346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10" customWidth="1"/>
    <col min="5" max="5" width="11" bestFit="1" customWidth="1"/>
    <col min="6" max="6" width="12.140625" bestFit="1" customWidth="1"/>
    <col min="8" max="8" width="9.140625" style="130"/>
    <col min="9" max="9" width="19.28515625" bestFit="1" customWidth="1"/>
    <col min="10" max="10" width="17.7109375" bestFit="1" customWidth="1"/>
  </cols>
  <sheetData>
    <row r="1" spans="1:16" s="310" customFormat="1" x14ac:dyDescent="0.2">
      <c r="A1" s="361" t="s">
        <v>628</v>
      </c>
      <c r="B1" s="1" t="s">
        <v>663</v>
      </c>
      <c r="C1" s="1" t="s">
        <v>664</v>
      </c>
      <c r="D1" s="1" t="s">
        <v>888</v>
      </c>
      <c r="E1" s="1" t="s">
        <v>689</v>
      </c>
      <c r="F1" s="1" t="s">
        <v>696</v>
      </c>
      <c r="G1" s="1" t="s">
        <v>728</v>
      </c>
      <c r="H1" s="338"/>
      <c r="I1" s="1" t="s">
        <v>879</v>
      </c>
      <c r="J1" s="1" t="s">
        <v>897</v>
      </c>
    </row>
    <row r="2" spans="1:16" x14ac:dyDescent="0.2">
      <c r="G2">
        <v>1</v>
      </c>
    </row>
    <row r="3" spans="1:16" x14ac:dyDescent="0.2">
      <c r="A3" s="311" t="s">
        <v>624</v>
      </c>
      <c r="B3" s="318" t="s">
        <v>881</v>
      </c>
      <c r="C3" s="311" t="s">
        <v>884</v>
      </c>
      <c r="D3" s="311" t="s">
        <v>889</v>
      </c>
      <c r="E3" s="311" t="s">
        <v>690</v>
      </c>
      <c r="F3" s="311" t="s">
        <v>697</v>
      </c>
      <c r="G3">
        <v>2</v>
      </c>
      <c r="H3" s="310" t="s">
        <v>729</v>
      </c>
      <c r="I3" s="374" t="s">
        <v>909</v>
      </c>
      <c r="J3" t="s">
        <v>898</v>
      </c>
      <c r="N3" s="315"/>
      <c r="O3" s="310"/>
      <c r="P3" s="310"/>
    </row>
    <row r="4" spans="1:16" x14ac:dyDescent="0.2">
      <c r="A4" s="311" t="s">
        <v>625</v>
      </c>
      <c r="B4" s="318" t="s">
        <v>661</v>
      </c>
      <c r="C4" s="311" t="s">
        <v>885</v>
      </c>
      <c r="D4" s="311" t="s">
        <v>890</v>
      </c>
      <c r="E4" s="311" t="s">
        <v>691</v>
      </c>
      <c r="F4" s="311" t="s">
        <v>698</v>
      </c>
      <c r="G4">
        <v>3</v>
      </c>
      <c r="H4" s="310" t="s">
        <v>730</v>
      </c>
      <c r="I4" s="374" t="s">
        <v>910</v>
      </c>
      <c r="J4" t="s">
        <v>899</v>
      </c>
      <c r="N4" s="311"/>
      <c r="O4" s="310"/>
      <c r="P4" s="310"/>
    </row>
    <row r="5" spans="1:16" x14ac:dyDescent="0.2">
      <c r="A5" s="311" t="s">
        <v>626</v>
      </c>
      <c r="B5" s="318" t="s">
        <v>662</v>
      </c>
      <c r="C5" s="311" t="s">
        <v>886</v>
      </c>
      <c r="D5" s="311" t="s">
        <v>891</v>
      </c>
      <c r="E5" s="311" t="s">
        <v>692</v>
      </c>
      <c r="F5" s="311" t="s">
        <v>699</v>
      </c>
      <c r="G5" s="310">
        <v>4</v>
      </c>
      <c r="H5" s="310" t="s">
        <v>731</v>
      </c>
      <c r="I5" s="374" t="s">
        <v>911</v>
      </c>
      <c r="J5" t="s">
        <v>900</v>
      </c>
      <c r="N5" s="311"/>
      <c r="O5" s="310"/>
      <c r="P5" s="310"/>
    </row>
    <row r="6" spans="1:16" x14ac:dyDescent="0.2">
      <c r="A6" s="351"/>
      <c r="B6" s="318" t="s">
        <v>833</v>
      </c>
      <c r="C6" t="s">
        <v>887</v>
      </c>
      <c r="E6" s="311" t="s">
        <v>693</v>
      </c>
      <c r="F6" s="311" t="s">
        <v>700</v>
      </c>
      <c r="G6" s="310">
        <v>5</v>
      </c>
      <c r="H6" s="310" t="s">
        <v>732</v>
      </c>
      <c r="I6" s="337"/>
      <c r="N6" s="310"/>
      <c r="O6" s="310"/>
      <c r="P6" s="310"/>
    </row>
    <row r="7" spans="1:16" x14ac:dyDescent="0.2">
      <c r="B7" s="318" t="s">
        <v>882</v>
      </c>
      <c r="E7" s="311"/>
      <c r="G7" s="310">
        <v>6</v>
      </c>
      <c r="H7" s="310" t="s">
        <v>733</v>
      </c>
      <c r="I7" s="337"/>
      <c r="N7" s="310"/>
      <c r="O7" s="310"/>
      <c r="P7" s="310"/>
    </row>
    <row r="8" spans="1:16" x14ac:dyDescent="0.2">
      <c r="B8" s="318" t="s">
        <v>883</v>
      </c>
      <c r="G8" s="310">
        <v>7</v>
      </c>
      <c r="H8" s="310" t="s">
        <v>734</v>
      </c>
      <c r="I8" s="337"/>
      <c r="N8" s="310"/>
      <c r="O8" s="310"/>
      <c r="P8" s="310"/>
    </row>
    <row r="9" spans="1:16" x14ac:dyDescent="0.2">
      <c r="G9" s="310">
        <v>8</v>
      </c>
      <c r="H9" s="310" t="s">
        <v>735</v>
      </c>
      <c r="I9" s="337"/>
      <c r="N9" s="310"/>
      <c r="O9" s="310"/>
      <c r="P9" s="310"/>
    </row>
    <row r="10" spans="1:16" x14ac:dyDescent="0.2">
      <c r="G10" s="310">
        <v>9</v>
      </c>
      <c r="H10" s="310" t="s">
        <v>736</v>
      </c>
      <c r="I10" s="337"/>
      <c r="N10" s="310"/>
      <c r="O10" s="310"/>
      <c r="P10" s="310"/>
    </row>
    <row r="11" spans="1:16" x14ac:dyDescent="0.2">
      <c r="G11" s="310">
        <v>10</v>
      </c>
      <c r="H11" s="310" t="s">
        <v>737</v>
      </c>
      <c r="I11" s="337"/>
      <c r="N11" s="310"/>
      <c r="O11" s="310"/>
      <c r="P11" s="310"/>
    </row>
    <row r="12" spans="1:16" x14ac:dyDescent="0.2">
      <c r="G12" s="310">
        <v>11</v>
      </c>
      <c r="H12" s="310" t="s">
        <v>738</v>
      </c>
      <c r="I12" s="337"/>
      <c r="N12" s="310"/>
      <c r="O12" s="310"/>
      <c r="P12" s="310"/>
    </row>
    <row r="13" spans="1:16" x14ac:dyDescent="0.2">
      <c r="G13" s="310">
        <v>12</v>
      </c>
      <c r="H13" s="310" t="s">
        <v>739</v>
      </c>
      <c r="I13" s="337"/>
      <c r="N13" s="310"/>
      <c r="O13" s="310"/>
      <c r="P13" s="310"/>
    </row>
    <row r="14" spans="1:16" x14ac:dyDescent="0.2">
      <c r="G14" s="310">
        <v>13</v>
      </c>
      <c r="H14" s="310" t="s">
        <v>740</v>
      </c>
      <c r="I14" s="337"/>
      <c r="N14" s="310"/>
      <c r="O14" s="310"/>
      <c r="P14" s="310"/>
    </row>
    <row r="15" spans="1:16" x14ac:dyDescent="0.2">
      <c r="G15" s="310">
        <v>14</v>
      </c>
      <c r="H15" s="310" t="s">
        <v>741</v>
      </c>
      <c r="I15" s="337"/>
      <c r="N15" s="311"/>
      <c r="O15" s="310"/>
      <c r="P15" s="310"/>
    </row>
    <row r="16" spans="1:16" x14ac:dyDescent="0.2">
      <c r="G16" s="310">
        <v>15</v>
      </c>
      <c r="H16" s="310" t="s">
        <v>742</v>
      </c>
      <c r="I16" s="337"/>
      <c r="N16" s="311"/>
      <c r="O16" s="310"/>
      <c r="P16" s="310"/>
    </row>
    <row r="17" spans="7:16" x14ac:dyDescent="0.2">
      <c r="G17" s="310">
        <v>16</v>
      </c>
      <c r="H17" s="310" t="s">
        <v>743</v>
      </c>
      <c r="I17" s="337"/>
      <c r="N17" s="311"/>
      <c r="O17" s="310"/>
      <c r="P17" s="310"/>
    </row>
    <row r="18" spans="7:16" x14ac:dyDescent="0.2">
      <c r="G18" s="310">
        <v>17</v>
      </c>
      <c r="H18" s="310" t="s">
        <v>744</v>
      </c>
      <c r="I18" s="337"/>
      <c r="N18" s="311"/>
      <c r="O18" s="310"/>
      <c r="P18" s="310"/>
    </row>
    <row r="19" spans="7:16" x14ac:dyDescent="0.2">
      <c r="G19" s="310">
        <v>18</v>
      </c>
      <c r="H19" s="310" t="s">
        <v>745</v>
      </c>
      <c r="I19" s="337"/>
      <c r="N19" s="311"/>
      <c r="O19" s="310"/>
      <c r="P19" s="310"/>
    </row>
    <row r="20" spans="7:16" x14ac:dyDescent="0.2">
      <c r="G20" s="310">
        <v>19</v>
      </c>
      <c r="H20" s="310" t="s">
        <v>746</v>
      </c>
      <c r="I20" s="337"/>
      <c r="N20" s="311"/>
      <c r="O20" s="310"/>
      <c r="P20" s="310"/>
    </row>
    <row r="21" spans="7:16" x14ac:dyDescent="0.2">
      <c r="G21" s="310">
        <v>20</v>
      </c>
      <c r="H21" s="310" t="s">
        <v>747</v>
      </c>
      <c r="I21" s="337"/>
      <c r="N21" s="310"/>
      <c r="O21" s="310"/>
      <c r="P21" s="310"/>
    </row>
    <row r="22" spans="7:16" x14ac:dyDescent="0.2">
      <c r="G22" s="310">
        <v>21</v>
      </c>
      <c r="H22" s="310" t="s">
        <v>748</v>
      </c>
      <c r="I22" s="337"/>
      <c r="N22" s="311"/>
      <c r="O22" s="310"/>
      <c r="P22" s="310"/>
    </row>
    <row r="23" spans="7:16" x14ac:dyDescent="0.2">
      <c r="G23" s="310">
        <v>22</v>
      </c>
      <c r="H23" s="310" t="s">
        <v>749</v>
      </c>
      <c r="I23" s="337"/>
      <c r="N23" s="311"/>
      <c r="O23" s="310"/>
      <c r="P23" s="310"/>
    </row>
    <row r="24" spans="7:16" x14ac:dyDescent="0.2">
      <c r="G24" s="310">
        <v>23</v>
      </c>
      <c r="H24" s="310" t="s">
        <v>750</v>
      </c>
      <c r="I24" s="337"/>
      <c r="N24" s="311"/>
      <c r="O24" s="310"/>
      <c r="P24" s="310"/>
    </row>
    <row r="25" spans="7:16" x14ac:dyDescent="0.2">
      <c r="G25" s="310">
        <v>24</v>
      </c>
      <c r="H25" s="310" t="s">
        <v>751</v>
      </c>
      <c r="I25" s="337"/>
      <c r="N25" s="310"/>
      <c r="O25" s="310"/>
      <c r="P25" s="310"/>
    </row>
    <row r="26" spans="7:16" x14ac:dyDescent="0.2">
      <c r="G26" s="310">
        <v>25</v>
      </c>
      <c r="H26" s="310" t="s">
        <v>752</v>
      </c>
      <c r="I26" s="337"/>
      <c r="N26" s="311"/>
      <c r="O26" s="310"/>
      <c r="P26" s="310"/>
    </row>
    <row r="27" spans="7:16" x14ac:dyDescent="0.2">
      <c r="G27" s="310">
        <v>26</v>
      </c>
      <c r="H27" s="310" t="s">
        <v>753</v>
      </c>
      <c r="I27" s="337"/>
      <c r="N27" s="310"/>
      <c r="O27" s="310"/>
      <c r="P27" s="310"/>
    </row>
    <row r="28" spans="7:16" x14ac:dyDescent="0.2">
      <c r="G28" s="310">
        <v>27</v>
      </c>
      <c r="H28" s="310" t="s">
        <v>754</v>
      </c>
      <c r="I28" s="337"/>
      <c r="N28" s="311"/>
      <c r="O28" s="310"/>
      <c r="P28" s="310"/>
    </row>
    <row r="29" spans="7:16" x14ac:dyDescent="0.2">
      <c r="G29" s="310">
        <v>28</v>
      </c>
      <c r="H29" s="310" t="s">
        <v>755</v>
      </c>
      <c r="I29" s="337"/>
      <c r="N29" s="310"/>
      <c r="O29" s="310"/>
      <c r="P29" s="310"/>
    </row>
    <row r="30" spans="7:16" x14ac:dyDescent="0.2">
      <c r="G30" s="310">
        <v>29</v>
      </c>
      <c r="H30" s="310" t="s">
        <v>756</v>
      </c>
      <c r="I30" s="337"/>
      <c r="N30" s="311"/>
      <c r="O30" s="310"/>
      <c r="P30" s="310"/>
    </row>
    <row r="31" spans="7:16" x14ac:dyDescent="0.2">
      <c r="G31" s="310">
        <v>30</v>
      </c>
      <c r="H31" s="310" t="s">
        <v>757</v>
      </c>
      <c r="I31" s="337"/>
      <c r="N31" s="311"/>
      <c r="O31" s="310"/>
      <c r="P31" s="310"/>
    </row>
    <row r="32" spans="7:16" x14ac:dyDescent="0.2">
      <c r="G32" s="310">
        <v>31</v>
      </c>
      <c r="H32" s="310" t="s">
        <v>758</v>
      </c>
      <c r="I32" s="337"/>
      <c r="N32" s="311"/>
      <c r="O32" s="310"/>
      <c r="P32" s="310"/>
    </row>
    <row r="33" spans="7:16" x14ac:dyDescent="0.2">
      <c r="G33" s="310">
        <v>32</v>
      </c>
      <c r="H33" s="310" t="s">
        <v>759</v>
      </c>
      <c r="I33" s="337"/>
      <c r="N33" s="315"/>
      <c r="O33" s="310"/>
      <c r="P33" s="310"/>
    </row>
    <row r="34" spans="7:16" x14ac:dyDescent="0.2">
      <c r="G34" s="310">
        <v>33</v>
      </c>
      <c r="H34" s="310" t="s">
        <v>760</v>
      </c>
      <c r="I34" s="337"/>
      <c r="N34" s="311"/>
      <c r="O34" s="310"/>
      <c r="P34" s="310"/>
    </row>
    <row r="35" spans="7:16" x14ac:dyDescent="0.2">
      <c r="G35" s="310">
        <v>34</v>
      </c>
      <c r="H35" s="310" t="s">
        <v>761</v>
      </c>
      <c r="I35" s="337"/>
      <c r="N35" s="311"/>
      <c r="O35" s="310"/>
      <c r="P35" s="310"/>
    </row>
    <row r="36" spans="7:16" x14ac:dyDescent="0.2">
      <c r="G36" s="310">
        <v>35</v>
      </c>
      <c r="H36" s="310" t="s">
        <v>762</v>
      </c>
      <c r="I36" s="337"/>
      <c r="N36" s="311"/>
      <c r="O36" s="310"/>
      <c r="P36" s="310"/>
    </row>
    <row r="37" spans="7:16" x14ac:dyDescent="0.2">
      <c r="G37" s="310">
        <v>36</v>
      </c>
      <c r="H37" s="310" t="s">
        <v>763</v>
      </c>
      <c r="I37" s="337"/>
      <c r="N37" s="310"/>
      <c r="O37" s="310"/>
      <c r="P37" s="310"/>
    </row>
    <row r="38" spans="7:16" x14ac:dyDescent="0.2">
      <c r="G38" s="310">
        <v>37</v>
      </c>
      <c r="H38" s="310" t="s">
        <v>764</v>
      </c>
      <c r="I38" s="337"/>
      <c r="N38" s="311"/>
      <c r="O38" s="310"/>
      <c r="P38" s="310"/>
    </row>
    <row r="39" spans="7:16" x14ac:dyDescent="0.2">
      <c r="G39" s="310">
        <v>38</v>
      </c>
      <c r="H39" s="310" t="s">
        <v>765</v>
      </c>
      <c r="I39" s="337"/>
      <c r="N39" s="311"/>
      <c r="O39" s="310"/>
      <c r="P39" s="310"/>
    </row>
    <row r="40" spans="7:16" x14ac:dyDescent="0.2">
      <c r="G40" s="310">
        <v>39</v>
      </c>
      <c r="H40" s="310" t="s">
        <v>766</v>
      </c>
      <c r="I40" s="337"/>
      <c r="N40" s="310"/>
      <c r="O40" s="310"/>
      <c r="P40" s="310"/>
    </row>
    <row r="41" spans="7:16" x14ac:dyDescent="0.2">
      <c r="G41" s="310">
        <v>40</v>
      </c>
      <c r="H41" s="310" t="s">
        <v>767</v>
      </c>
      <c r="I41" s="337"/>
      <c r="N41" s="310"/>
      <c r="O41" s="310"/>
      <c r="P41" s="310"/>
    </row>
    <row r="42" spans="7:16" x14ac:dyDescent="0.2">
      <c r="G42" s="310">
        <v>41</v>
      </c>
      <c r="H42" s="310" t="s">
        <v>768</v>
      </c>
      <c r="I42" s="337"/>
      <c r="N42" s="310"/>
      <c r="O42" s="310"/>
      <c r="P42" s="310"/>
    </row>
    <row r="43" spans="7:16" x14ac:dyDescent="0.2">
      <c r="G43" s="310">
        <v>42</v>
      </c>
      <c r="H43" s="310" t="s">
        <v>769</v>
      </c>
      <c r="I43" s="337"/>
      <c r="N43" s="310"/>
      <c r="O43" s="310"/>
      <c r="P43" s="310"/>
    </row>
    <row r="44" spans="7:16" x14ac:dyDescent="0.2">
      <c r="G44" s="310">
        <v>43</v>
      </c>
      <c r="H44" s="310" t="s">
        <v>770</v>
      </c>
      <c r="I44" s="337"/>
      <c r="N44" s="311"/>
      <c r="O44" s="310"/>
      <c r="P44" s="310"/>
    </row>
    <row r="45" spans="7:16" x14ac:dyDescent="0.2">
      <c r="G45" s="310">
        <v>44</v>
      </c>
      <c r="H45" s="310" t="s">
        <v>771</v>
      </c>
      <c r="I45" s="337"/>
      <c r="N45" s="311"/>
      <c r="O45" s="310"/>
      <c r="P45" s="310"/>
    </row>
    <row r="46" spans="7:16" x14ac:dyDescent="0.2">
      <c r="G46" s="310">
        <v>45</v>
      </c>
      <c r="H46" s="310" t="s">
        <v>772</v>
      </c>
      <c r="I46" s="337"/>
      <c r="N46" s="311"/>
      <c r="O46" s="310"/>
      <c r="P46" s="310"/>
    </row>
    <row r="47" spans="7:16" x14ac:dyDescent="0.2">
      <c r="G47" s="310">
        <v>46</v>
      </c>
      <c r="H47" s="310" t="s">
        <v>773</v>
      </c>
      <c r="I47" s="337"/>
      <c r="N47" s="311"/>
      <c r="O47" s="310"/>
      <c r="P47" s="310"/>
    </row>
    <row r="48" spans="7:16" x14ac:dyDescent="0.2">
      <c r="G48" s="310">
        <v>47</v>
      </c>
      <c r="H48" s="310" t="s">
        <v>774</v>
      </c>
      <c r="I48" s="337"/>
      <c r="N48" s="311"/>
      <c r="O48" s="310"/>
      <c r="P48" s="310"/>
    </row>
    <row r="49" spans="7:16" x14ac:dyDescent="0.2">
      <c r="G49" s="310">
        <v>48</v>
      </c>
      <c r="H49" s="310" t="s">
        <v>775</v>
      </c>
      <c r="I49" s="337"/>
      <c r="N49" s="311"/>
      <c r="O49" s="310"/>
      <c r="P49" s="310"/>
    </row>
    <row r="50" spans="7:16" x14ac:dyDescent="0.2">
      <c r="G50" s="310">
        <v>49</v>
      </c>
      <c r="H50" s="310" t="s">
        <v>776</v>
      </c>
      <c r="I50" s="337"/>
      <c r="N50" s="311"/>
      <c r="O50" s="310"/>
      <c r="P50" s="310"/>
    </row>
    <row r="51" spans="7:16" x14ac:dyDescent="0.2">
      <c r="G51" s="310">
        <v>50</v>
      </c>
      <c r="H51" s="310" t="s">
        <v>777</v>
      </c>
      <c r="I51" s="337"/>
      <c r="N51" s="311"/>
      <c r="O51" s="310"/>
      <c r="P51" s="310"/>
    </row>
    <row r="52" spans="7:16" x14ac:dyDescent="0.2">
      <c r="G52" s="310">
        <v>51</v>
      </c>
      <c r="H52" s="310" t="s">
        <v>778</v>
      </c>
      <c r="I52" s="337"/>
      <c r="N52" s="311"/>
      <c r="O52" s="310"/>
      <c r="P52" s="310"/>
    </row>
    <row r="53" spans="7:16" x14ac:dyDescent="0.2">
      <c r="G53" s="310">
        <v>52</v>
      </c>
      <c r="H53" s="310" t="s">
        <v>779</v>
      </c>
      <c r="I53" s="337"/>
      <c r="N53" s="311"/>
      <c r="O53" s="310"/>
      <c r="P53" s="310"/>
    </row>
    <row r="54" spans="7:16" x14ac:dyDescent="0.2">
      <c r="G54" s="310">
        <v>53</v>
      </c>
      <c r="H54" s="310" t="s">
        <v>780</v>
      </c>
      <c r="I54" s="337"/>
      <c r="N54" s="311"/>
      <c r="O54" s="310"/>
      <c r="P54" s="310"/>
    </row>
    <row r="55" spans="7:16" x14ac:dyDescent="0.2">
      <c r="G55" s="310">
        <v>54</v>
      </c>
      <c r="H55" s="310" t="s">
        <v>781</v>
      </c>
      <c r="I55" s="337"/>
      <c r="N55" s="311"/>
      <c r="O55" s="310"/>
      <c r="P55" s="310"/>
    </row>
    <row r="56" spans="7:16" x14ac:dyDescent="0.2">
      <c r="G56" s="310">
        <v>55</v>
      </c>
      <c r="H56" s="310" t="s">
        <v>782</v>
      </c>
      <c r="I56" s="337"/>
      <c r="N56" s="310"/>
      <c r="O56" s="310"/>
      <c r="P56" s="310"/>
    </row>
    <row r="57" spans="7:16" x14ac:dyDescent="0.2">
      <c r="G57" s="310">
        <v>56</v>
      </c>
      <c r="H57" s="310" t="s">
        <v>783</v>
      </c>
      <c r="I57" s="337"/>
      <c r="N57" s="310"/>
      <c r="O57" s="310"/>
      <c r="P57" s="310"/>
    </row>
    <row r="58" spans="7:16" x14ac:dyDescent="0.2">
      <c r="G58" s="310">
        <v>57</v>
      </c>
      <c r="H58" s="310" t="s">
        <v>784</v>
      </c>
      <c r="I58" s="337"/>
      <c r="N58" s="311"/>
      <c r="O58" s="310"/>
      <c r="P58" s="310"/>
    </row>
    <row r="59" spans="7:16" x14ac:dyDescent="0.2">
      <c r="G59" s="310">
        <v>58</v>
      </c>
      <c r="H59" s="310" t="s">
        <v>785</v>
      </c>
      <c r="I59" s="337"/>
      <c r="N59" s="310"/>
      <c r="O59" s="310"/>
      <c r="P59" s="310"/>
    </row>
    <row r="60" spans="7:16" x14ac:dyDescent="0.2">
      <c r="G60" s="310">
        <v>59</v>
      </c>
      <c r="H60" s="310" t="s">
        <v>786</v>
      </c>
      <c r="I60" s="337"/>
      <c r="N60" s="311"/>
      <c r="O60" s="310"/>
      <c r="P60" s="310"/>
    </row>
    <row r="61" spans="7:16" x14ac:dyDescent="0.2">
      <c r="G61" s="310">
        <v>60</v>
      </c>
      <c r="H61" s="310" t="s">
        <v>787</v>
      </c>
      <c r="I61" s="337"/>
      <c r="N61" s="311"/>
      <c r="O61" s="310"/>
      <c r="P61" s="310"/>
    </row>
    <row r="62" spans="7:16" x14ac:dyDescent="0.2">
      <c r="G62" s="310">
        <v>61</v>
      </c>
      <c r="H62" s="310" t="s">
        <v>788</v>
      </c>
      <c r="I62" s="337"/>
      <c r="N62" s="310"/>
      <c r="O62" s="310"/>
      <c r="P62" s="310"/>
    </row>
    <row r="63" spans="7:16" x14ac:dyDescent="0.2">
      <c r="G63" s="310">
        <v>62</v>
      </c>
      <c r="H63" s="310" t="s">
        <v>789</v>
      </c>
      <c r="I63" s="337"/>
      <c r="N63" s="311"/>
      <c r="O63" s="310"/>
      <c r="P63" s="310"/>
    </row>
    <row r="64" spans="7:16" x14ac:dyDescent="0.2">
      <c r="G64" s="310">
        <v>63</v>
      </c>
      <c r="H64" s="310" t="s">
        <v>790</v>
      </c>
      <c r="I64" s="337"/>
      <c r="N64" s="311"/>
      <c r="O64" s="310"/>
      <c r="P64" s="310"/>
    </row>
    <row r="65" spans="7:16" x14ac:dyDescent="0.2">
      <c r="G65" s="310">
        <v>64</v>
      </c>
      <c r="H65" s="310" t="s">
        <v>791</v>
      </c>
      <c r="I65" s="337"/>
      <c r="N65" s="311"/>
      <c r="O65" s="310"/>
      <c r="P65" s="310"/>
    </row>
    <row r="66" spans="7:16" x14ac:dyDescent="0.2">
      <c r="G66" s="310">
        <v>65</v>
      </c>
      <c r="H66" s="310" t="s">
        <v>792</v>
      </c>
      <c r="I66" s="337"/>
      <c r="N66" s="311"/>
      <c r="O66" s="310"/>
      <c r="P66" s="310"/>
    </row>
    <row r="67" spans="7:16" x14ac:dyDescent="0.2">
      <c r="G67" s="310">
        <v>66</v>
      </c>
      <c r="H67" s="310" t="s">
        <v>793</v>
      </c>
      <c r="I67" s="337"/>
      <c r="N67" s="310"/>
      <c r="O67" s="310"/>
      <c r="P67" s="310"/>
    </row>
    <row r="68" spans="7:16" x14ac:dyDescent="0.2">
      <c r="G68" s="310">
        <v>67</v>
      </c>
      <c r="H68" s="310" t="s">
        <v>794</v>
      </c>
      <c r="I68" s="337"/>
      <c r="N68" s="311"/>
      <c r="O68" s="310"/>
      <c r="P68" s="310"/>
    </row>
    <row r="69" spans="7:16" x14ac:dyDescent="0.2">
      <c r="G69" s="310">
        <v>68</v>
      </c>
      <c r="H69" s="310" t="s">
        <v>795</v>
      </c>
      <c r="I69" s="337"/>
      <c r="N69" s="311"/>
      <c r="O69" s="310"/>
      <c r="P69" s="310"/>
    </row>
    <row r="70" spans="7:16" x14ac:dyDescent="0.2">
      <c r="G70" s="310">
        <v>69</v>
      </c>
      <c r="H70" s="310" t="s">
        <v>796</v>
      </c>
      <c r="I70" s="337"/>
      <c r="N70" s="311"/>
      <c r="O70" s="310"/>
      <c r="P70" s="310"/>
    </row>
    <row r="71" spans="7:16" x14ac:dyDescent="0.2">
      <c r="G71" s="310">
        <v>70</v>
      </c>
      <c r="H71" s="310" t="s">
        <v>797</v>
      </c>
      <c r="I71" s="337"/>
      <c r="N71" s="311"/>
      <c r="O71" s="310"/>
      <c r="P71" s="310"/>
    </row>
    <row r="72" spans="7:16" x14ac:dyDescent="0.2">
      <c r="G72" s="310">
        <v>71</v>
      </c>
      <c r="H72" s="310" t="s">
        <v>798</v>
      </c>
      <c r="I72" s="337"/>
      <c r="N72" s="311"/>
      <c r="O72" s="310"/>
      <c r="P72" s="310"/>
    </row>
    <row r="73" spans="7:16" x14ac:dyDescent="0.2">
      <c r="G73" s="310">
        <v>72</v>
      </c>
      <c r="H73" s="310" t="s">
        <v>799</v>
      </c>
      <c r="I73" s="337"/>
      <c r="N73" s="311"/>
      <c r="O73" s="310"/>
      <c r="P73" s="310"/>
    </row>
    <row r="74" spans="7:16" x14ac:dyDescent="0.2">
      <c r="G74" s="310">
        <v>73</v>
      </c>
      <c r="H74" s="310" t="s">
        <v>800</v>
      </c>
      <c r="I74" s="337"/>
      <c r="N74" s="310"/>
      <c r="O74" s="310"/>
      <c r="P74" s="310"/>
    </row>
    <row r="75" spans="7:16" x14ac:dyDescent="0.2">
      <c r="G75" s="310">
        <v>74</v>
      </c>
      <c r="H75" s="310" t="s">
        <v>801</v>
      </c>
      <c r="I75" s="337"/>
      <c r="N75" s="310"/>
      <c r="O75" s="310"/>
      <c r="P75" s="310"/>
    </row>
    <row r="76" spans="7:16" x14ac:dyDescent="0.2">
      <c r="G76" s="310">
        <v>75</v>
      </c>
      <c r="H76" s="310" t="s">
        <v>802</v>
      </c>
      <c r="I76" s="337"/>
    </row>
    <row r="77" spans="7:16" x14ac:dyDescent="0.2">
      <c r="G77" s="310">
        <v>76</v>
      </c>
      <c r="H77" s="310" t="s">
        <v>803</v>
      </c>
      <c r="I77" s="337"/>
    </row>
    <row r="78" spans="7:16" x14ac:dyDescent="0.2">
      <c r="G78" s="310">
        <v>77</v>
      </c>
      <c r="H78" s="310" t="s">
        <v>804</v>
      </c>
      <c r="I78" s="337"/>
    </row>
    <row r="79" spans="7:16" x14ac:dyDescent="0.2">
      <c r="G79" s="310">
        <v>78</v>
      </c>
      <c r="H79" s="310" t="s">
        <v>805</v>
      </c>
      <c r="I79" s="337"/>
    </row>
    <row r="80" spans="7:16" x14ac:dyDescent="0.2">
      <c r="G80" s="310">
        <v>79</v>
      </c>
      <c r="H80" s="310" t="s">
        <v>806</v>
      </c>
      <c r="I80" s="337"/>
    </row>
    <row r="81" spans="7:9" x14ac:dyDescent="0.2">
      <c r="G81" s="310">
        <v>80</v>
      </c>
      <c r="H81" s="310" t="s">
        <v>807</v>
      </c>
      <c r="I81" s="337"/>
    </row>
    <row r="82" spans="7:9" x14ac:dyDescent="0.2">
      <c r="G82" s="310">
        <v>81</v>
      </c>
      <c r="H82" s="310" t="s">
        <v>808</v>
      </c>
      <c r="I82" s="337"/>
    </row>
    <row r="83" spans="7:9" x14ac:dyDescent="0.2">
      <c r="G83" s="310">
        <v>82</v>
      </c>
      <c r="H83" s="310" t="s">
        <v>809</v>
      </c>
      <c r="I83" s="337"/>
    </row>
    <row r="84" spans="7:9" x14ac:dyDescent="0.2">
      <c r="G84" s="310">
        <v>83</v>
      </c>
      <c r="H84" s="310" t="s">
        <v>810</v>
      </c>
      <c r="I84" s="337"/>
    </row>
    <row r="85" spans="7:9" x14ac:dyDescent="0.2">
      <c r="G85" s="310">
        <v>84</v>
      </c>
      <c r="H85" s="310" t="s">
        <v>811</v>
      </c>
      <c r="I85" s="337"/>
    </row>
    <row r="86" spans="7:9" x14ac:dyDescent="0.2">
      <c r="G86" s="310">
        <v>85</v>
      </c>
      <c r="H86" s="310" t="s">
        <v>812</v>
      </c>
      <c r="I86" s="337"/>
    </row>
    <row r="87" spans="7:9" x14ac:dyDescent="0.2">
      <c r="G87" s="310">
        <v>86</v>
      </c>
      <c r="H87" s="310" t="s">
        <v>813</v>
      </c>
      <c r="I87" s="337"/>
    </row>
    <row r="88" spans="7:9" x14ac:dyDescent="0.2">
      <c r="G88" s="310">
        <v>87</v>
      </c>
      <c r="H88" s="310" t="s">
        <v>814</v>
      </c>
      <c r="I88" s="337"/>
    </row>
    <row r="89" spans="7:9" x14ac:dyDescent="0.2">
      <c r="G89" s="310">
        <v>88</v>
      </c>
      <c r="H89" s="310" t="s">
        <v>815</v>
      </c>
      <c r="I89" s="337"/>
    </row>
    <row r="90" spans="7:9" x14ac:dyDescent="0.2">
      <c r="G90" s="310">
        <v>89</v>
      </c>
      <c r="H90" s="310" t="s">
        <v>816</v>
      </c>
      <c r="I90" s="337"/>
    </row>
    <row r="91" spans="7:9" x14ac:dyDescent="0.2">
      <c r="G91" s="310">
        <v>90</v>
      </c>
      <c r="H91" s="310" t="s">
        <v>817</v>
      </c>
      <c r="I91" s="337"/>
    </row>
    <row r="92" spans="7:9" x14ac:dyDescent="0.2">
      <c r="G92" s="310">
        <v>91</v>
      </c>
      <c r="H92" s="310" t="s">
        <v>818</v>
      </c>
      <c r="I92" s="337"/>
    </row>
    <row r="93" spans="7:9" x14ac:dyDescent="0.2">
      <c r="G93" s="310">
        <v>92</v>
      </c>
      <c r="H93" s="310" t="s">
        <v>819</v>
      </c>
      <c r="I93" s="337"/>
    </row>
    <row r="94" spans="7:9" x14ac:dyDescent="0.2">
      <c r="G94" s="310">
        <v>93</v>
      </c>
      <c r="H94" s="310" t="s">
        <v>820</v>
      </c>
      <c r="I94" s="337"/>
    </row>
    <row r="95" spans="7:9" x14ac:dyDescent="0.2">
      <c r="G95" s="310">
        <v>94</v>
      </c>
      <c r="H95" s="310" t="s">
        <v>821</v>
      </c>
      <c r="I95" s="337"/>
    </row>
    <row r="96" spans="7:9" x14ac:dyDescent="0.2">
      <c r="G96" s="310">
        <v>95</v>
      </c>
      <c r="H96" s="310" t="s">
        <v>822</v>
      </c>
      <c r="I96" s="337"/>
    </row>
    <row r="97" spans="7:9" x14ac:dyDescent="0.2">
      <c r="G97" s="310">
        <v>96</v>
      </c>
      <c r="H97" s="310" t="s">
        <v>823</v>
      </c>
      <c r="I97" s="337"/>
    </row>
    <row r="98" spans="7:9" x14ac:dyDescent="0.2">
      <c r="G98" s="310">
        <v>97</v>
      </c>
      <c r="H98" s="310" t="s">
        <v>824</v>
      </c>
      <c r="I98" s="337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518"/>
    <col min="2" max="2" width="10.28515625" style="541" customWidth="1"/>
    <col min="3" max="3" width="19.7109375" style="518" customWidth="1"/>
    <col min="4" max="4" width="24.5703125" style="518" customWidth="1"/>
    <col min="5" max="5" width="17.7109375" style="518" customWidth="1"/>
    <col min="6" max="7" width="18.7109375" style="518" customWidth="1"/>
    <col min="8" max="11" width="9.140625" style="518"/>
    <col min="12" max="21" width="0" style="518" hidden="1" customWidth="1"/>
    <col min="22" max="16384" width="9.140625" style="518"/>
  </cols>
  <sheetData>
    <row r="1" spans="1:25 4305:4305" x14ac:dyDescent="0.2">
      <c r="A1" s="572"/>
      <c r="J1" s="580"/>
      <c r="K1" s="580"/>
      <c r="L1" s="581" t="s">
        <v>711</v>
      </c>
      <c r="M1" s="581" t="s">
        <v>719</v>
      </c>
      <c r="N1" s="581" t="s">
        <v>712</v>
      </c>
      <c r="O1" s="581"/>
      <c r="P1" s="581"/>
      <c r="Q1" s="581"/>
      <c r="R1" s="581"/>
      <c r="S1" s="581" t="s">
        <v>720</v>
      </c>
      <c r="T1" s="581" t="s">
        <v>721</v>
      </c>
      <c r="U1" s="581"/>
      <c r="V1" s="581"/>
      <c r="W1" s="581"/>
      <c r="X1" s="581"/>
      <c r="Y1" s="580"/>
    </row>
    <row r="2" spans="1:25 4305:4305" ht="15" customHeight="1" x14ac:dyDescent="0.2">
      <c r="B2" s="800" t="str">
        <f>"Patient: "&amp;__2_AchterNaam&amp;", "&amp;__3_VoorNaam</f>
        <v xml:space="preserve">Patient: , </v>
      </c>
      <c r="C2" s="800"/>
      <c r="D2" s="748"/>
      <c r="E2" s="800" t="str">
        <f ca="1">"Geschatte lengte: "&amp;VLOOKUP(C5+D5/12,PedTblLengte!A2:D45,4)&amp;" cm"</f>
        <v>Geschatte lengte: 175,15 cm</v>
      </c>
      <c r="F2" s="748"/>
      <c r="G2" s="800"/>
      <c r="H2" s="511"/>
      <c r="I2" s="511"/>
      <c r="J2" s="580"/>
      <c r="K2" s="580"/>
      <c r="L2" s="581">
        <v>0</v>
      </c>
      <c r="M2" s="581">
        <v>40</v>
      </c>
      <c r="N2" s="581">
        <v>3.5</v>
      </c>
      <c r="O2" s="581">
        <v>0</v>
      </c>
      <c r="P2" s="581">
        <v>3.5</v>
      </c>
      <c r="Q2" s="581">
        <v>51</v>
      </c>
      <c r="R2" s="581"/>
      <c r="S2" s="581">
        <v>1</v>
      </c>
      <c r="T2" s="581">
        <v>1</v>
      </c>
      <c r="U2" s="581">
        <v>1</v>
      </c>
      <c r="V2" s="581"/>
      <c r="W2" s="581"/>
      <c r="X2" s="581"/>
      <c r="Y2" s="580"/>
      <c r="FIO2" s="518">
        <v>30</v>
      </c>
    </row>
    <row r="3" spans="1:25 4305:4305" ht="15" customHeight="1" x14ac:dyDescent="0.2">
      <c r="B3" s="800" t="str">
        <f>"Geb datum.: "</f>
        <v xml:space="preserve">Geb datum.: </v>
      </c>
      <c r="C3" s="628">
        <f>__4_GebDatum</f>
        <v>1462</v>
      </c>
      <c r="D3" s="748"/>
      <c r="E3" s="800" t="str">
        <f ca="1">"Geschat gewicht: "&amp;VLOOKUP(C5+D5/12,PedTblGew!A2:T49,20)&amp;" kg"</f>
        <v>Geschat gewicht: 66,1 kg</v>
      </c>
      <c r="F3" s="629"/>
      <c r="G3" s="800"/>
      <c r="H3" s="511"/>
      <c r="I3" s="511"/>
      <c r="J3" s="580"/>
      <c r="K3" s="580"/>
      <c r="L3" s="581">
        <v>1</v>
      </c>
      <c r="M3" s="581">
        <v>30</v>
      </c>
      <c r="N3" s="581">
        <v>4.5</v>
      </c>
      <c r="O3" s="581">
        <v>1</v>
      </c>
      <c r="P3" s="581">
        <v>4.2</v>
      </c>
      <c r="Q3" s="581">
        <v>54</v>
      </c>
      <c r="R3" s="581"/>
      <c r="S3" s="581">
        <v>2</v>
      </c>
      <c r="T3" s="581">
        <v>2</v>
      </c>
      <c r="U3" s="581">
        <v>2</v>
      </c>
      <c r="V3" s="581"/>
      <c r="W3" s="581"/>
      <c r="X3" s="581"/>
      <c r="Y3" s="580"/>
    </row>
    <row r="4" spans="1:25 4305:4305" ht="15.75" customHeight="1" x14ac:dyDescent="0.2">
      <c r="B4" s="525"/>
      <c r="C4" s="630" t="s">
        <v>415</v>
      </c>
      <c r="D4" s="630" t="s">
        <v>416</v>
      </c>
      <c r="E4" s="630" t="s">
        <v>267</v>
      </c>
      <c r="F4" s="630" t="s">
        <v>128</v>
      </c>
      <c r="G4" s="630" t="s">
        <v>52</v>
      </c>
      <c r="H4" s="511"/>
      <c r="J4" s="583"/>
      <c r="K4" s="583"/>
      <c r="L4" s="581">
        <v>2</v>
      </c>
      <c r="M4" s="581">
        <v>25</v>
      </c>
      <c r="N4" s="581">
        <v>4.5</v>
      </c>
      <c r="O4" s="581">
        <v>2</v>
      </c>
      <c r="P4" s="581">
        <v>5</v>
      </c>
      <c r="Q4" s="581">
        <v>57</v>
      </c>
      <c r="R4" s="581"/>
      <c r="S4" s="581">
        <v>3</v>
      </c>
      <c r="T4" s="581">
        <v>3</v>
      </c>
      <c r="U4" s="581">
        <v>3</v>
      </c>
      <c r="V4" s="581"/>
      <c r="W4" s="581"/>
      <c r="X4" s="581"/>
      <c r="Y4" s="580"/>
    </row>
    <row r="5" spans="1:25 4305:4305" ht="15" customHeight="1" x14ac:dyDescent="0.2">
      <c r="B5" s="525"/>
      <c r="C5" s="630">
        <f ca="1">TRUNC((Var_AfspraakDatum-__4_GebDatum)/365,0)</f>
        <v>113</v>
      </c>
      <c r="D5" s="630">
        <f ca="1">TRUNC(((Var_AfspraakDatum-__4_GebDatum)-365*TRUNC((Var_AfspraakDatum-__4_GebDatum)/365,0))/30,0)</f>
        <v>1</v>
      </c>
      <c r="E5" s="630">
        <f>_Pat_Gewicht/10</f>
        <v>1</v>
      </c>
      <c r="F5" s="630">
        <f>_Pat_Lengte</f>
        <v>0</v>
      </c>
      <c r="G5" s="630">
        <f>ROUND(POWER(E5,0.425)*POWER(((F5/100)*100),0.725)*0.007184,2)</f>
        <v>0</v>
      </c>
      <c r="H5" s="511"/>
      <c r="J5" s="583"/>
      <c r="K5" s="583"/>
      <c r="L5" s="581">
        <v>3</v>
      </c>
      <c r="M5" s="581">
        <v>25</v>
      </c>
      <c r="N5" s="581">
        <v>5</v>
      </c>
      <c r="O5" s="581">
        <v>3</v>
      </c>
      <c r="P5" s="581">
        <v>5.7</v>
      </c>
      <c r="Q5" s="581">
        <v>60</v>
      </c>
      <c r="R5" s="581"/>
      <c r="S5" s="581">
        <v>4</v>
      </c>
      <c r="T5" s="581">
        <v>3</v>
      </c>
      <c r="U5" s="581"/>
      <c r="V5" s="581"/>
      <c r="W5" s="581"/>
      <c r="X5" s="581"/>
      <c r="Y5" s="580"/>
    </row>
    <row r="6" spans="1:25 4305:4305" ht="15" customHeight="1" thickBot="1" x14ac:dyDescent="0.25">
      <c r="A6" s="572"/>
      <c r="B6" s="547"/>
      <c r="C6" s="582"/>
      <c r="D6" s="582"/>
      <c r="E6" s="582"/>
      <c r="F6" s="582"/>
      <c r="G6" s="582"/>
      <c r="H6" s="511"/>
      <c r="J6" s="583"/>
      <c r="K6" s="583"/>
      <c r="L6" s="581">
        <v>4</v>
      </c>
      <c r="M6" s="581">
        <v>25</v>
      </c>
      <c r="N6" s="581">
        <v>5</v>
      </c>
      <c r="O6" s="581">
        <v>4</v>
      </c>
      <c r="P6" s="581">
        <v>6.5</v>
      </c>
      <c r="Q6" s="581">
        <v>63</v>
      </c>
      <c r="R6" s="581"/>
      <c r="S6" s="581">
        <v>5</v>
      </c>
      <c r="T6" s="581">
        <v>5</v>
      </c>
      <c r="U6" s="581">
        <v>5</v>
      </c>
      <c r="V6" s="581"/>
      <c r="W6" s="581"/>
      <c r="X6" s="581"/>
      <c r="Y6" s="580"/>
    </row>
    <row r="7" spans="1:25 4305:4305" ht="20.100000000000001" customHeight="1" thickTop="1" thickBot="1" x14ac:dyDescent="0.25">
      <c r="B7" s="805" t="s">
        <v>307</v>
      </c>
      <c r="C7" s="613" t="s">
        <v>53</v>
      </c>
      <c r="D7" s="780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780"/>
      <c r="F7" s="780"/>
      <c r="G7" s="781"/>
      <c r="H7" s="511"/>
      <c r="I7" s="511"/>
      <c r="J7" s="580"/>
      <c r="K7" s="580"/>
      <c r="L7" s="581">
        <v>5</v>
      </c>
      <c r="M7" s="581">
        <v>25</v>
      </c>
      <c r="N7" s="581">
        <v>5.5</v>
      </c>
      <c r="O7" s="581">
        <v>5</v>
      </c>
      <c r="P7" s="581">
        <v>7</v>
      </c>
      <c r="Q7" s="581">
        <v>65</v>
      </c>
      <c r="R7" s="581"/>
      <c r="S7" s="581">
        <v>6</v>
      </c>
      <c r="T7" s="581">
        <v>5</v>
      </c>
      <c r="U7" s="581"/>
      <c r="V7" s="581"/>
      <c r="W7" s="581"/>
      <c r="X7" s="581"/>
      <c r="Y7" s="580"/>
    </row>
    <row r="8" spans="1:25 4305:4305" ht="20.100000000000001" customHeight="1" thickTop="1" thickBot="1" x14ac:dyDescent="0.25">
      <c r="B8" s="805"/>
      <c r="C8" s="494" t="s">
        <v>54</v>
      </c>
      <c r="D8" s="780" t="str">
        <f>IF(_Pat_Gewicht&gt;0,IF(ROUND((E5)*4,0)&gt;150,150,VLOOKUP(ROUND(E5*4,0),S2:T362,2))&amp;" Joules Asynchroon","")</f>
        <v>3 Joules Asynchroon</v>
      </c>
      <c r="E8" s="780"/>
      <c r="F8" s="780"/>
      <c r="G8" s="781" t="s">
        <v>0</v>
      </c>
      <c r="H8" s="511"/>
      <c r="I8" s="511"/>
      <c r="J8" s="580"/>
      <c r="K8" s="580"/>
      <c r="L8" s="581">
        <v>6</v>
      </c>
      <c r="M8" s="581">
        <v>20</v>
      </c>
      <c r="N8" s="581">
        <v>5.5</v>
      </c>
      <c r="O8" s="581">
        <v>6</v>
      </c>
      <c r="P8" s="581">
        <v>7.7</v>
      </c>
      <c r="Q8" s="581">
        <v>67</v>
      </c>
      <c r="R8" s="581"/>
      <c r="S8" s="581">
        <v>7</v>
      </c>
      <c r="T8" s="581">
        <v>7</v>
      </c>
      <c r="U8" s="581">
        <v>7</v>
      </c>
      <c r="V8" s="581"/>
      <c r="W8" s="581"/>
      <c r="X8" s="581"/>
      <c r="Y8" s="580"/>
    </row>
    <row r="9" spans="1:25 4305:4305" ht="20.100000000000001" customHeight="1" thickTop="1" thickBot="1" x14ac:dyDescent="0.25">
      <c r="B9" s="805"/>
      <c r="C9" s="494" t="s">
        <v>118</v>
      </c>
      <c r="D9" s="780" t="str">
        <f ca="1">IF(OR(ROUND(0.01*(E5),2)&gt;1,C5&gt;=18),"1 mg iv",ROUND(0.01*(E5),2)&amp;" mg iv")</f>
        <v>1 mg iv</v>
      </c>
      <c r="E9" s="780" t="str">
        <f>"= "&amp;IF(ROUND(0.01*(E5),2)&gt;1,"1 ml van 1mg = 10 ml (1:10.000)",ROUND(0.1*(E5),1)&amp;" ml van 1mg = 10 ml (1:10.000)")</f>
        <v>= 0,1 ml van 1mg = 10 ml (1:10.000)</v>
      </c>
      <c r="F9" s="780"/>
      <c r="G9" s="781" t="s">
        <v>1</v>
      </c>
      <c r="H9" s="511"/>
      <c r="I9" s="511"/>
      <c r="J9" s="580"/>
      <c r="K9" s="580"/>
      <c r="L9" s="581">
        <v>7</v>
      </c>
      <c r="M9" s="581">
        <v>20</v>
      </c>
      <c r="N9" s="581">
        <v>6</v>
      </c>
      <c r="O9" s="581">
        <v>7</v>
      </c>
      <c r="P9" s="581">
        <v>8.1999999999999993</v>
      </c>
      <c r="Q9" s="581">
        <v>69</v>
      </c>
      <c r="R9" s="581"/>
      <c r="S9" s="581">
        <v>8</v>
      </c>
      <c r="T9" s="581">
        <v>7</v>
      </c>
      <c r="U9" s="581"/>
      <c r="V9" s="581"/>
      <c r="W9" s="581"/>
      <c r="X9" s="581"/>
      <c r="Y9" s="580"/>
    </row>
    <row r="10" spans="1:25 4305:4305" ht="20.100000000000001" customHeight="1" thickTop="1" thickBot="1" x14ac:dyDescent="0.25">
      <c r="B10" s="805"/>
      <c r="C10" s="494" t="s">
        <v>55</v>
      </c>
      <c r="D10" s="780" t="str">
        <f>ROUND(IF(E5&gt;50,50,0.5*E5),0)&amp;" ml iv"</f>
        <v>1 ml iv</v>
      </c>
      <c r="E10" s="780"/>
      <c r="F10" s="780"/>
      <c r="G10" s="781" t="s">
        <v>2</v>
      </c>
      <c r="H10" s="511"/>
      <c r="I10" s="511"/>
      <c r="J10" s="580"/>
      <c r="K10" s="580"/>
      <c r="L10" s="581">
        <v>8</v>
      </c>
      <c r="M10" s="581">
        <v>20</v>
      </c>
      <c r="N10" s="581">
        <v>6</v>
      </c>
      <c r="O10" s="581">
        <v>8</v>
      </c>
      <c r="P10" s="581">
        <v>8.5</v>
      </c>
      <c r="Q10" s="581">
        <v>70</v>
      </c>
      <c r="R10" s="581"/>
      <c r="S10" s="581">
        <v>9</v>
      </c>
      <c r="T10" s="581">
        <v>7</v>
      </c>
      <c r="U10" s="581"/>
      <c r="V10" s="581"/>
      <c r="W10" s="581"/>
      <c r="X10" s="581"/>
      <c r="Y10" s="580"/>
    </row>
    <row r="11" spans="1:25 4305:4305" ht="20.100000000000001" customHeight="1" thickTop="1" thickBot="1" x14ac:dyDescent="0.25">
      <c r="B11" s="805"/>
      <c r="C11" s="494" t="s">
        <v>185</v>
      </c>
      <c r="D11" s="780" t="str">
        <f>IF(0.2*E5&lt;=25,0.2*E5&amp;" gram iv","25 gram iv")</f>
        <v>0,2 gram iv</v>
      </c>
      <c r="E11" s="780" t="str">
        <f>"="&amp;" "&amp;IF(2*E5&lt;=250,ROUND(2*E5,0)&amp;" ml glucose 10%","250 ml glucose 10%")</f>
        <v>= 2 ml glucose 10%</v>
      </c>
      <c r="F11" s="780"/>
      <c r="G11" s="781" t="s">
        <v>3</v>
      </c>
      <c r="H11" s="511"/>
      <c r="I11" s="511"/>
      <c r="J11" s="580"/>
      <c r="K11" s="580"/>
      <c r="L11" s="581">
        <v>9</v>
      </c>
      <c r="M11" s="581">
        <v>20</v>
      </c>
      <c r="N11" s="581">
        <v>6.5</v>
      </c>
      <c r="O11" s="581">
        <v>9</v>
      </c>
      <c r="P11" s="581">
        <v>9</v>
      </c>
      <c r="Q11" s="581">
        <v>72</v>
      </c>
      <c r="R11" s="581"/>
      <c r="S11" s="581">
        <v>10</v>
      </c>
      <c r="T11" s="581">
        <v>10</v>
      </c>
      <c r="U11" s="581">
        <v>10</v>
      </c>
      <c r="V11" s="581"/>
      <c r="W11" s="581"/>
      <c r="X11" s="581"/>
      <c r="Y11" s="580"/>
    </row>
    <row r="12" spans="1:25 4305:4305" ht="20.100000000000001" customHeight="1" thickTop="1" thickBot="1" x14ac:dyDescent="0.25">
      <c r="B12" s="805"/>
      <c r="C12" s="614" t="s">
        <v>56</v>
      </c>
      <c r="D12" s="493" t="str">
        <f>IF(ROUND(20*E5/10,0)*10&gt;500,500,ROUND(20*E5/10,0)*10)&amp;" ml fysiologisch zout iv per bolus"</f>
        <v>20 ml fysiologisch zout iv per bolus</v>
      </c>
      <c r="E12" s="493"/>
      <c r="F12" s="493"/>
      <c r="G12" s="782" t="s">
        <v>4</v>
      </c>
      <c r="H12" s="511"/>
      <c r="I12" s="511"/>
      <c r="J12" s="580"/>
      <c r="K12" s="580"/>
      <c r="L12" s="581">
        <v>10</v>
      </c>
      <c r="M12" s="581">
        <v>20</v>
      </c>
      <c r="N12" s="581">
        <v>6.5</v>
      </c>
      <c r="O12" s="581">
        <v>10</v>
      </c>
      <c r="P12" s="581">
        <v>9.3000000000000007</v>
      </c>
      <c r="Q12" s="581">
        <v>73</v>
      </c>
      <c r="R12" s="581"/>
      <c r="S12" s="581">
        <v>11</v>
      </c>
      <c r="T12" s="581">
        <v>10</v>
      </c>
      <c r="U12" s="581"/>
      <c r="V12" s="581"/>
      <c r="W12" s="581"/>
      <c r="X12" s="581"/>
      <c r="Y12" s="580"/>
    </row>
    <row r="13" spans="1:25 4305:4305" ht="20.100000000000001" customHeight="1" thickBot="1" x14ac:dyDescent="0.25">
      <c r="B13" s="547"/>
      <c r="C13" s="511"/>
      <c r="D13" s="507"/>
      <c r="E13" s="511"/>
      <c r="F13" s="511"/>
      <c r="G13" s="585"/>
      <c r="H13" s="511"/>
      <c r="I13" s="511"/>
      <c r="J13" s="580"/>
      <c r="K13" s="580"/>
      <c r="L13" s="581">
        <v>11</v>
      </c>
      <c r="M13" s="581">
        <v>20</v>
      </c>
      <c r="N13" s="581">
        <v>7</v>
      </c>
      <c r="O13" s="581">
        <v>11</v>
      </c>
      <c r="P13" s="581">
        <v>9.5</v>
      </c>
      <c r="Q13" s="581">
        <v>74</v>
      </c>
      <c r="R13" s="581"/>
      <c r="S13" s="581">
        <v>12</v>
      </c>
      <c r="T13" s="581">
        <v>10</v>
      </c>
      <c r="U13" s="581"/>
      <c r="V13" s="581"/>
      <c r="W13" s="581"/>
      <c r="X13" s="581"/>
      <c r="Y13" s="580"/>
    </row>
    <row r="14" spans="1:25 4305:4305" ht="20.100000000000001" customHeight="1" thickTop="1" thickBot="1" x14ac:dyDescent="0.25">
      <c r="B14" s="805" t="s">
        <v>373</v>
      </c>
      <c r="C14" s="613" t="s">
        <v>316</v>
      </c>
      <c r="D14" s="780" t="str">
        <f>IF(0.5*E5&gt;20,"20 mg iv",0.5*E5&amp;" mg iv")</f>
        <v>0,5 mg iv</v>
      </c>
      <c r="E14" s="780" t="str">
        <f>"= "&amp;IF(0.5*E5&gt;20,"10 ml van een 2 mg/ml oplossing",ROUND(0.5*E5*0.5,1)&amp;" ml van een 2 mg/ml oplossing")</f>
        <v>= 0,3 ml van een 2 mg/ml oplossing</v>
      </c>
      <c r="F14" s="780"/>
      <c r="G14" s="781" t="s">
        <v>5</v>
      </c>
      <c r="H14" s="511"/>
      <c r="I14" s="511"/>
      <c r="J14" s="580"/>
      <c r="K14" s="580"/>
      <c r="L14" s="581">
        <v>12</v>
      </c>
      <c r="M14" s="581">
        <v>15</v>
      </c>
      <c r="N14" s="581">
        <v>7</v>
      </c>
      <c r="O14" s="581">
        <v>12</v>
      </c>
      <c r="P14" s="581">
        <v>10</v>
      </c>
      <c r="Q14" s="581">
        <v>76</v>
      </c>
      <c r="R14" s="581"/>
      <c r="S14" s="581">
        <v>13</v>
      </c>
      <c r="T14" s="581">
        <v>10</v>
      </c>
      <c r="U14" s="581"/>
      <c r="V14" s="581"/>
      <c r="W14" s="581"/>
      <c r="X14" s="581"/>
      <c r="Y14" s="580"/>
    </row>
    <row r="15" spans="1:25 4305:4305" ht="20.100000000000001" customHeight="1" thickTop="1" thickBot="1" x14ac:dyDescent="0.25">
      <c r="B15" s="805"/>
      <c r="C15" s="494" t="s">
        <v>266</v>
      </c>
      <c r="D15" s="780" t="str">
        <f>IF(ROUND(1*(E5),1)&gt;100,"100 mg iv",ROUND(1*(E5),1)&amp;" mg iv")</f>
        <v>1 mg iv</v>
      </c>
      <c r="E15" s="780" t="str">
        <f>"= "&amp;IF(ROUND(1*(E5),1)&gt;100,"10 ml"&amp;" van een 1mg/ml oplossing",ROUND(0.1*(E5),1)&amp;" ml"&amp;" van een 10 mg/ml oplossing")</f>
        <v>= 0,1 ml van een 10 mg/ml oplossing</v>
      </c>
      <c r="F15" s="780"/>
      <c r="G15" s="781" t="s">
        <v>6</v>
      </c>
      <c r="H15" s="511"/>
      <c r="I15" s="511"/>
      <c r="J15" s="580"/>
      <c r="K15" s="580"/>
      <c r="L15" s="581">
        <v>13</v>
      </c>
      <c r="M15" s="581">
        <v>15</v>
      </c>
      <c r="N15" s="581">
        <v>7</v>
      </c>
      <c r="O15" s="581"/>
      <c r="P15" s="581"/>
      <c r="Q15" s="581"/>
      <c r="R15" s="581"/>
      <c r="S15" s="581">
        <v>14</v>
      </c>
      <c r="T15" s="581">
        <v>10</v>
      </c>
      <c r="U15" s="581"/>
      <c r="V15" s="581"/>
      <c r="W15" s="581"/>
      <c r="X15" s="581"/>
      <c r="Y15" s="580"/>
    </row>
    <row r="16" spans="1:25 4305:4305" ht="20.100000000000001" customHeight="1" thickTop="1" thickBot="1" x14ac:dyDescent="0.25">
      <c r="B16" s="805"/>
      <c r="C16" s="494" t="s">
        <v>317</v>
      </c>
      <c r="D16" s="780" t="str">
        <f>IF(ROUND(0.02*(E5),1)&lt;0.1,"0,1 mg iv",IF(ROUND(0.02*(E5),1)&gt;0.5,"0,5 mg iv",ROUND(0.02*(E5),1)&amp;" mg iv"))</f>
        <v>0,1 mg iv</v>
      </c>
      <c r="E16" s="844" t="str">
        <f>"= "&amp;IF(ROUND(0.02*(E5),1)&lt;0.1,0.1,IF(ROUND(0.02*(E5),1)&gt;0.5,0.5,ROUND(0.02*(E5),1)))*2&amp;" ml van 0,5 mg/ml (min 0,1 mg)"</f>
        <v>= 0,2 ml van 0,5 mg/ml (min 0,1 mg)</v>
      </c>
      <c r="F16" s="844"/>
      <c r="G16" s="781" t="s">
        <v>7</v>
      </c>
      <c r="H16" s="511"/>
      <c r="I16" s="511"/>
      <c r="J16" s="580"/>
      <c r="K16" s="580"/>
      <c r="L16" s="581">
        <v>14</v>
      </c>
      <c r="M16" s="581">
        <v>15</v>
      </c>
      <c r="N16" s="581">
        <v>7</v>
      </c>
      <c r="O16" s="581"/>
      <c r="P16" s="581"/>
      <c r="Q16" s="581"/>
      <c r="R16" s="581"/>
      <c r="S16" s="581">
        <v>15</v>
      </c>
      <c r="T16" s="581">
        <v>10</v>
      </c>
      <c r="U16" s="581"/>
      <c r="V16" s="581"/>
      <c r="W16" s="581"/>
      <c r="X16" s="581"/>
      <c r="Y16" s="580"/>
    </row>
    <row r="17" spans="2:25" ht="20.100000000000001" customHeight="1" thickTop="1" thickBot="1" x14ac:dyDescent="0.25">
      <c r="B17" s="805"/>
      <c r="C17" s="614"/>
      <c r="D17" s="493"/>
      <c r="E17" s="845"/>
      <c r="F17" s="845"/>
      <c r="G17" s="782"/>
      <c r="H17" s="511"/>
      <c r="I17" s="511"/>
      <c r="J17" s="580"/>
      <c r="K17" s="580"/>
      <c r="L17" s="581">
        <v>15</v>
      </c>
      <c r="M17" s="581">
        <v>15</v>
      </c>
      <c r="N17" s="581">
        <v>7</v>
      </c>
      <c r="O17" s="581"/>
      <c r="P17" s="581"/>
      <c r="Q17" s="581"/>
      <c r="R17" s="581"/>
      <c r="S17" s="581">
        <v>16</v>
      </c>
      <c r="T17" s="581">
        <v>20</v>
      </c>
      <c r="U17" s="581"/>
      <c r="V17" s="581"/>
      <c r="W17" s="581"/>
      <c r="X17" s="581"/>
      <c r="Y17" s="580"/>
    </row>
    <row r="18" spans="2:25" ht="15.75" customHeight="1" thickBot="1" x14ac:dyDescent="0.25">
      <c r="B18" s="547"/>
      <c r="C18" s="584"/>
      <c r="D18" s="507"/>
      <c r="E18" s="586"/>
      <c r="F18" s="586"/>
      <c r="G18" s="585"/>
      <c r="H18" s="587"/>
      <c r="I18" s="587"/>
      <c r="J18" s="588"/>
      <c r="K18" s="580"/>
      <c r="L18" s="581">
        <v>16</v>
      </c>
      <c r="M18" s="581">
        <v>15</v>
      </c>
      <c r="N18" s="581">
        <v>7</v>
      </c>
      <c r="O18" s="581"/>
      <c r="P18" s="581"/>
      <c r="Q18" s="581"/>
      <c r="R18" s="581"/>
      <c r="S18" s="581">
        <v>17</v>
      </c>
      <c r="T18" s="581">
        <v>20</v>
      </c>
      <c r="U18" s="581"/>
      <c r="V18" s="581"/>
      <c r="W18" s="581"/>
      <c r="X18" s="581"/>
      <c r="Y18" s="580"/>
    </row>
    <row r="19" spans="2:25" ht="20.100000000000001" customHeight="1" thickTop="1" thickBot="1" x14ac:dyDescent="0.25">
      <c r="B19" s="805" t="s">
        <v>261</v>
      </c>
      <c r="C19" s="613" t="s">
        <v>91</v>
      </c>
      <c r="D19" s="780" t="str">
        <f>IF(0.02*E5&gt;0.3,"0,3 mg iv",0.02*E5&amp;" mg iv")</f>
        <v>0,02 mg iv</v>
      </c>
      <c r="E19" s="780" t="str">
        <f>"= "&amp;IF(0.02*E5&gt;1,"10 ml van anexate 0,1 mg/ml",ROUND((0.02*E5)/0.1,1)&amp;" ml van anexate 0,1 mg/ml")</f>
        <v>= 0,2 ml van anexate 0,1 mg/ml</v>
      </c>
      <c r="F19" s="780"/>
      <c r="G19" s="781" t="s">
        <v>8</v>
      </c>
      <c r="H19" s="587"/>
      <c r="I19" s="587"/>
      <c r="J19" s="588"/>
      <c r="K19" s="580"/>
      <c r="L19" s="581">
        <v>17</v>
      </c>
      <c r="M19" s="581">
        <v>15</v>
      </c>
      <c r="N19" s="581">
        <v>7</v>
      </c>
      <c r="O19" s="581"/>
      <c r="P19" s="581"/>
      <c r="Q19" s="581"/>
      <c r="R19" s="581"/>
      <c r="S19" s="581">
        <v>18</v>
      </c>
      <c r="T19" s="581">
        <v>20</v>
      </c>
      <c r="U19" s="581"/>
      <c r="V19" s="581"/>
      <c r="W19" s="581"/>
      <c r="X19" s="581"/>
      <c r="Y19" s="580"/>
    </row>
    <row r="20" spans="2:25" ht="20.100000000000001" customHeight="1" thickTop="1" thickBot="1" x14ac:dyDescent="0.25">
      <c r="B20" s="805"/>
      <c r="C20" s="494" t="s">
        <v>318</v>
      </c>
      <c r="D20" s="780" t="str">
        <f>IF(0.01*E5&gt;0.4,"0,4 mg iv",0.01*E5&amp;" mg iv")</f>
        <v>0,01 mg iv</v>
      </c>
      <c r="E20" s="844" t="str">
        <f>"= "&amp;IF(0.01*E5&gt;0.4,"20 ml van naloxon 20 mcg/ml of "&amp;"1 ml van 0,4 mg/ml",ROUND((0.01*E5)/0.02,1)&amp;" ml van naloxon 20 mcg/ml of "&amp;ROUND((0.01*E5)/0.4,1)&amp;" ml van 0,4 mg/ml")</f>
        <v>= 0,5 ml van naloxon 20 mcg/ml of 0 ml van 0,4 mg/ml</v>
      </c>
      <c r="F20" s="844"/>
      <c r="G20" s="781" t="s">
        <v>9</v>
      </c>
      <c r="H20" s="511"/>
      <c r="I20" s="511"/>
      <c r="J20" s="580"/>
      <c r="K20" s="580"/>
      <c r="L20" s="581">
        <v>18</v>
      </c>
      <c r="M20" s="581">
        <v>15</v>
      </c>
      <c r="N20" s="581">
        <v>7</v>
      </c>
      <c r="O20" s="581"/>
      <c r="P20" s="581"/>
      <c r="Q20" s="581"/>
      <c r="R20" s="581"/>
      <c r="S20" s="581">
        <v>19</v>
      </c>
      <c r="T20" s="581">
        <v>20</v>
      </c>
      <c r="U20" s="581"/>
      <c r="V20" s="581"/>
      <c r="W20" s="581"/>
      <c r="X20" s="581"/>
      <c r="Y20" s="580"/>
    </row>
    <row r="21" spans="2:25" ht="20.100000000000001" customHeight="1" thickTop="1" thickBot="1" x14ac:dyDescent="0.25">
      <c r="B21" s="805"/>
      <c r="C21" s="614"/>
      <c r="D21" s="493"/>
      <c r="E21" s="845"/>
      <c r="F21" s="845"/>
      <c r="G21" s="782"/>
      <c r="H21" s="511"/>
      <c r="I21" s="511"/>
      <c r="J21" s="580"/>
      <c r="K21" s="580"/>
      <c r="L21" s="581"/>
      <c r="M21" s="581"/>
      <c r="N21" s="581"/>
      <c r="O21" s="581"/>
      <c r="P21" s="581"/>
      <c r="Q21" s="581"/>
      <c r="R21" s="581"/>
      <c r="S21" s="581">
        <v>20</v>
      </c>
      <c r="T21" s="581">
        <v>20</v>
      </c>
      <c r="U21" s="581">
        <v>20</v>
      </c>
      <c r="V21" s="581"/>
      <c r="W21" s="581"/>
      <c r="X21" s="581"/>
      <c r="Y21" s="580"/>
    </row>
    <row r="22" spans="2:25" ht="20.100000000000001" customHeight="1" thickBot="1" x14ac:dyDescent="0.25">
      <c r="B22" s="547"/>
      <c r="C22" s="584"/>
      <c r="D22" s="507"/>
      <c r="E22" s="586"/>
      <c r="F22" s="586"/>
      <c r="G22" s="585"/>
      <c r="H22" s="511"/>
      <c r="I22" s="511"/>
      <c r="J22" s="580"/>
      <c r="K22" s="580"/>
      <c r="L22" s="581"/>
      <c r="M22" s="581"/>
      <c r="N22" s="581"/>
      <c r="O22" s="581"/>
      <c r="P22" s="581"/>
      <c r="Q22" s="581"/>
      <c r="R22" s="581"/>
      <c r="S22" s="581">
        <v>21</v>
      </c>
      <c r="T22" s="581">
        <v>30</v>
      </c>
      <c r="U22" s="581"/>
      <c r="V22" s="581"/>
      <c r="W22" s="581"/>
      <c r="X22" s="581"/>
      <c r="Y22" s="580"/>
    </row>
    <row r="23" spans="2:25" ht="20.100000000000001" customHeight="1" thickTop="1" thickBot="1" x14ac:dyDescent="0.25">
      <c r="B23" s="805" t="s">
        <v>262</v>
      </c>
      <c r="C23" s="613" t="str">
        <f ca="1">IF(C5=0,"alprostadil (Prostin)","")</f>
        <v/>
      </c>
      <c r="D23" s="780" t="str">
        <f ca="1">IF(C5=0,"0,5 mg in 50 ml NaCl 0.9%","")</f>
        <v/>
      </c>
      <c r="E23" s="780" t="str">
        <f ca="1">IF(C5=0,"1 ml/uur = "&amp;ROUND(1000*(0.5/50)*24/(E5)/1.44,0)&amp;" nanog/kg/min iv","")</f>
        <v/>
      </c>
      <c r="F23" s="780"/>
      <c r="G23" s="781" t="s">
        <v>311</v>
      </c>
      <c r="H23" s="511"/>
      <c r="I23" s="511"/>
      <c r="J23" s="580"/>
      <c r="K23" s="580"/>
      <c r="L23" s="581"/>
      <c r="M23" s="581"/>
      <c r="N23" s="581"/>
      <c r="O23" s="581"/>
      <c r="P23" s="581"/>
      <c r="Q23" s="581"/>
      <c r="R23" s="581"/>
      <c r="S23" s="581">
        <v>22</v>
      </c>
      <c r="T23" s="581">
        <v>30</v>
      </c>
      <c r="U23" s="581"/>
      <c r="V23" s="581"/>
      <c r="W23" s="581"/>
      <c r="X23" s="581"/>
      <c r="Y23" s="580"/>
    </row>
    <row r="24" spans="2:25" ht="20.100000000000001" customHeight="1" thickTop="1" thickBot="1" x14ac:dyDescent="0.25">
      <c r="B24" s="805"/>
      <c r="C24" s="494" t="s">
        <v>97</v>
      </c>
      <c r="D24" s="780" t="str">
        <f>IF(E5&gt;5,"200 mg in 50 ml NaCl 0.9%",ROUND(((E5)*24*60*(10/1000)/(24/50))/50,0)*50&amp;" mg in 50 ml NaCl 0.9%")</f>
        <v>50 mg in 50 ml NaCl 0.9%</v>
      </c>
      <c r="E24" s="780" t="str">
        <f>IF(_Pat_Gewicht&gt;0,"1 ml/uur = "&amp;IF(E5&gt;5,ROUND((200/50/E5/60)*1000,1),ROUND(24*ROUND(((E5)*24*60*(10/1000)/(24/50))/50,0)*50/50/1.44/E5,1))&amp;" mcg/kg/min","")</f>
        <v>1 ml/uur = 16,7 mcg/kg/min</v>
      </c>
      <c r="F24" s="780"/>
      <c r="G24" s="781" t="s">
        <v>322</v>
      </c>
      <c r="H24" s="511"/>
      <c r="I24" s="511"/>
      <c r="J24" s="580"/>
      <c r="K24" s="580"/>
      <c r="L24" s="581"/>
      <c r="M24" s="581"/>
      <c r="N24" s="581"/>
      <c r="O24" s="581"/>
      <c r="P24" s="581"/>
      <c r="Q24" s="581"/>
      <c r="R24" s="581"/>
      <c r="S24" s="581">
        <v>23</v>
      </c>
      <c r="T24" s="581">
        <v>30</v>
      </c>
      <c r="U24" s="581"/>
      <c r="V24" s="581"/>
      <c r="W24" s="581"/>
      <c r="X24" s="581"/>
      <c r="Y24" s="580"/>
    </row>
    <row r="25" spans="2:25" ht="20.100000000000001" customHeight="1" thickTop="1" thickBot="1" x14ac:dyDescent="0.25">
      <c r="B25" s="805"/>
      <c r="C25" s="614" t="s">
        <v>98</v>
      </c>
      <c r="D25" s="493" t="str">
        <f>IF(_Pat_Gewicht/15&gt;5,"10 mg in 50 ml NaCl 0.9%",ROUND((E5)*24*60*(0.1/1000)/(24/50)/5,1)*5&amp;" mg in 50 ml NaCl 0.9%")</f>
        <v>0,5 mg in 50 ml NaCl 0.9%</v>
      </c>
      <c r="E25" s="493" t="str">
        <f>IF(_Pat_Gewicht&gt;0,"1 ml/uur = "&amp;IF(E5&gt;5,ROUND((10/50/E5/60)*1000,2),ROUND(24*ROUND((E5)*24*60*(0.1/1000)/(24/50)/5,1)*5/50/1.44/E5,2))&amp;" mcg/kg/min","")</f>
        <v>1 ml/uur = 0,17 mcg/kg/min</v>
      </c>
      <c r="F25" s="493"/>
      <c r="G25" s="782" t="s">
        <v>382</v>
      </c>
      <c r="H25" s="511"/>
      <c r="I25" s="511"/>
      <c r="J25" s="580"/>
      <c r="K25" s="580"/>
      <c r="L25" s="581"/>
      <c r="M25" s="581"/>
      <c r="N25" s="581"/>
      <c r="O25" s="581"/>
      <c r="P25" s="581"/>
      <c r="Q25" s="581"/>
      <c r="R25" s="581"/>
      <c r="S25" s="581">
        <v>24</v>
      </c>
      <c r="T25" s="581">
        <v>30</v>
      </c>
      <c r="U25" s="581"/>
      <c r="V25" s="581"/>
      <c r="W25" s="581"/>
      <c r="X25" s="581"/>
      <c r="Y25" s="580"/>
    </row>
    <row r="26" spans="2:25" ht="20.100000000000001" customHeight="1" thickBot="1" x14ac:dyDescent="0.25">
      <c r="B26" s="547"/>
      <c r="C26" s="511"/>
      <c r="D26" s="507"/>
      <c r="E26" s="511"/>
      <c r="F26" s="511"/>
      <c r="G26" s="585"/>
      <c r="H26" s="511"/>
      <c r="I26" s="511"/>
      <c r="J26" s="580"/>
      <c r="K26" s="580"/>
      <c r="L26" s="581"/>
      <c r="M26" s="581"/>
      <c r="N26" s="581"/>
      <c r="O26" s="581"/>
      <c r="P26" s="581"/>
      <c r="Q26" s="581"/>
      <c r="R26" s="581"/>
      <c r="S26" s="581">
        <v>25</v>
      </c>
      <c r="T26" s="581">
        <v>30</v>
      </c>
      <c r="U26" s="581"/>
      <c r="V26" s="581"/>
      <c r="W26" s="581"/>
      <c r="X26" s="581"/>
      <c r="Y26" s="580"/>
    </row>
    <row r="27" spans="2:25" ht="20.100000000000001" customHeight="1" thickTop="1" thickBot="1" x14ac:dyDescent="0.25">
      <c r="B27" s="842" t="s">
        <v>263</v>
      </c>
      <c r="C27" s="613" t="s">
        <v>423</v>
      </c>
      <c r="D27" s="780" t="str">
        <f>IF(ROUND(E5/2,0)*2&gt;50,"300 mg iv",ROUND(E5*5,0)&amp;" mg iv")</f>
        <v>5 mg iv</v>
      </c>
      <c r="E27" s="780" t="str">
        <f>IF(ROUND(E5/2,0)*2&gt;50,"6 ml van amiodarone 50 mg/ml iv",ROUND(E5*0.1,1)&amp;" ml van amiodarone 50 mg/ml iv")</f>
        <v>0,1 ml van amiodarone 50 mg/ml iv</v>
      </c>
      <c r="F27" s="780"/>
      <c r="G27" s="781" t="s">
        <v>10</v>
      </c>
      <c r="H27" s="511"/>
      <c r="I27" s="511"/>
      <c r="J27" s="580"/>
      <c r="K27" s="580"/>
      <c r="L27" s="581"/>
      <c r="M27" s="581"/>
      <c r="N27" s="581"/>
      <c r="O27" s="581"/>
      <c r="P27" s="581"/>
      <c r="Q27" s="581"/>
      <c r="R27" s="581"/>
      <c r="S27" s="581">
        <v>26</v>
      </c>
      <c r="T27" s="581">
        <v>30</v>
      </c>
      <c r="U27" s="581"/>
      <c r="V27" s="581"/>
      <c r="W27" s="581"/>
      <c r="X27" s="581"/>
      <c r="Y27" s="580"/>
    </row>
    <row r="28" spans="2:25" ht="20.100000000000001" customHeight="1" thickTop="1" thickBot="1" x14ac:dyDescent="0.25">
      <c r="B28" s="843"/>
      <c r="C28" s="614" t="s">
        <v>306</v>
      </c>
      <c r="D28" s="493" t="str">
        <f>IF(E5/10&gt;10,"10 ml iv",E5/10 &amp;" ml iv")</f>
        <v>0,1 ml iv</v>
      </c>
      <c r="E28" s="493" t="s">
        <v>231</v>
      </c>
      <c r="F28" s="493"/>
      <c r="G28" s="782" t="s">
        <v>11</v>
      </c>
      <c r="H28" s="511"/>
      <c r="I28" s="511"/>
      <c r="J28" s="580"/>
      <c r="K28" s="580"/>
      <c r="L28" s="581"/>
      <c r="M28" s="581"/>
      <c r="N28" s="581"/>
      <c r="O28" s="581"/>
      <c r="P28" s="581"/>
      <c r="Q28" s="581"/>
      <c r="R28" s="581"/>
      <c r="S28" s="581">
        <v>27</v>
      </c>
      <c r="T28" s="581">
        <v>30</v>
      </c>
      <c r="U28" s="581"/>
      <c r="V28" s="581"/>
      <c r="W28" s="581"/>
      <c r="X28" s="581"/>
      <c r="Y28" s="580"/>
    </row>
    <row r="29" spans="2:25" ht="20.100000000000001" customHeight="1" thickBot="1" x14ac:dyDescent="0.25">
      <c r="B29" s="547"/>
      <c r="C29" s="511"/>
      <c r="D29" s="507"/>
      <c r="E29" s="511"/>
      <c r="F29" s="511"/>
      <c r="G29" s="585"/>
      <c r="H29" s="511"/>
      <c r="I29" s="511"/>
      <c r="J29" s="580"/>
      <c r="K29" s="580"/>
      <c r="L29" s="581"/>
      <c r="M29" s="581"/>
      <c r="N29" s="581"/>
      <c r="O29" s="581"/>
      <c r="P29" s="581"/>
      <c r="Q29" s="581"/>
      <c r="R29" s="581"/>
      <c r="S29" s="581">
        <v>28</v>
      </c>
      <c r="T29" s="581">
        <v>30</v>
      </c>
      <c r="U29" s="581"/>
      <c r="V29" s="581"/>
      <c r="W29" s="581"/>
      <c r="X29" s="581"/>
      <c r="Y29" s="580"/>
    </row>
    <row r="30" spans="2:25" ht="20.100000000000001" customHeight="1" thickTop="1" thickBot="1" x14ac:dyDescent="0.25">
      <c r="B30" s="841" t="s">
        <v>85</v>
      </c>
      <c r="C30" s="613" t="s">
        <v>99</v>
      </c>
      <c r="D30" s="780" t="str">
        <f>IF((0.5*E5)&gt;10,"10 mg rect",(0.5*E5)&amp;" mg rect")</f>
        <v>0,5 mg rect</v>
      </c>
      <c r="E30" s="780" t="str">
        <f>"= "&amp;IF((0.5*E5)&gt;10,"5 ml van diazepam 2 mg/ml",ROUND((0.5*E5)/2,1)&amp;" ml van diazepam 2 mg/ml")</f>
        <v>= 0,3 ml van diazepam 2 mg/ml</v>
      </c>
      <c r="F30" s="780"/>
      <c r="G30" s="781" t="s">
        <v>12</v>
      </c>
      <c r="H30" s="511"/>
      <c r="I30" s="511"/>
      <c r="J30" s="580"/>
      <c r="K30" s="580"/>
      <c r="L30" s="581"/>
      <c r="M30" s="581"/>
      <c r="N30" s="581"/>
      <c r="O30" s="581"/>
      <c r="P30" s="581"/>
      <c r="Q30" s="581"/>
      <c r="R30" s="581"/>
      <c r="S30" s="581">
        <v>29</v>
      </c>
      <c r="T30" s="581">
        <v>30</v>
      </c>
      <c r="U30" s="581"/>
      <c r="V30" s="581"/>
      <c r="W30" s="581"/>
      <c r="X30" s="581"/>
      <c r="Y30" s="580"/>
    </row>
    <row r="31" spans="2:25" ht="20.100000000000001" customHeight="1" thickTop="1" thickBot="1" x14ac:dyDescent="0.25">
      <c r="B31" s="841"/>
      <c r="C31" s="494" t="s">
        <v>265</v>
      </c>
      <c r="D31" s="780" t="str">
        <f>IF((20*E5)&gt;1500,"1500 mg iv",20*E5&amp;" mg iv")</f>
        <v>20 mg iv</v>
      </c>
      <c r="E31" s="844" t="str">
        <f>"= "&amp;IF((20*E5)&gt;750,"15 ml van fenytoine 50 mg/ml in 20 ml NaCl 0.9% langzaam iv",ROUND((15*E5)/50,1)&amp;" ml van fenytoine 50 mg/ml in 20 ml NaCl 0.9% langzaam iv")</f>
        <v>= 0,3 ml van fenytoine 50 mg/ml in 20 ml NaCl 0.9% langzaam iv</v>
      </c>
      <c r="F31" s="844"/>
      <c r="G31" s="783" t="s">
        <v>29</v>
      </c>
      <c r="H31" s="511"/>
      <c r="I31" s="511"/>
      <c r="J31" s="580"/>
      <c r="L31" s="581"/>
      <c r="M31" s="581"/>
      <c r="N31" s="581"/>
      <c r="O31" s="581"/>
      <c r="P31" s="581"/>
      <c r="Q31" s="581"/>
      <c r="R31" s="581"/>
      <c r="S31" s="581">
        <v>30</v>
      </c>
      <c r="T31" s="581">
        <v>30</v>
      </c>
      <c r="U31" s="581">
        <v>30</v>
      </c>
      <c r="V31" s="581"/>
      <c r="W31" s="581"/>
      <c r="X31" s="581"/>
      <c r="Y31" s="580"/>
    </row>
    <row r="32" spans="2:25" ht="20.100000000000001" customHeight="1" thickTop="1" thickBot="1" x14ac:dyDescent="0.25">
      <c r="B32" s="805"/>
      <c r="C32" s="494"/>
      <c r="D32" s="780"/>
      <c r="E32" s="844"/>
      <c r="F32" s="844"/>
      <c r="G32" s="781"/>
      <c r="H32" s="511"/>
      <c r="I32" s="511"/>
      <c r="L32" s="581"/>
      <c r="M32" s="581"/>
      <c r="N32" s="581"/>
      <c r="O32" s="581"/>
      <c r="P32" s="581"/>
      <c r="Q32" s="581"/>
      <c r="R32" s="581"/>
      <c r="S32" s="581">
        <v>31</v>
      </c>
      <c r="T32" s="581">
        <v>50</v>
      </c>
      <c r="U32" s="581"/>
      <c r="V32" s="581"/>
      <c r="W32" s="581"/>
      <c r="X32" s="581"/>
      <c r="Y32" s="580"/>
    </row>
    <row r="33" spans="2:25" ht="12.75" customHeight="1" thickTop="1" thickBot="1" x14ac:dyDescent="0.25">
      <c r="B33" s="805"/>
      <c r="C33" s="614" t="s">
        <v>349</v>
      </c>
      <c r="D33" s="493" t="str">
        <f>IF((0.1*E5)&gt;10,"10 mg iv",0.1*E5&amp;" mg iv")</f>
        <v>0,1 mg iv</v>
      </c>
      <c r="E33" s="493" t="str">
        <f>"= "&amp;IF((0.1*E5)&gt;15,10,ROUND((0.1*E5),1))&amp;" ml van dormicum 1 mg/ml iv"</f>
        <v>= 0,1 ml van dormicum 1 mg/ml iv</v>
      </c>
      <c r="F33" s="493"/>
      <c r="G33" s="784" t="s">
        <v>13</v>
      </c>
      <c r="H33" s="511"/>
      <c r="I33" s="511"/>
      <c r="L33" s="581"/>
      <c r="M33" s="581"/>
      <c r="N33" s="581"/>
      <c r="O33" s="581"/>
      <c r="P33" s="581"/>
      <c r="Q33" s="581"/>
      <c r="R33" s="581"/>
      <c r="S33" s="581">
        <v>32</v>
      </c>
      <c r="T33" s="581">
        <v>50</v>
      </c>
      <c r="U33" s="581"/>
      <c r="V33" s="581"/>
      <c r="W33" s="581"/>
      <c r="X33" s="581"/>
      <c r="Y33" s="580"/>
    </row>
    <row r="34" spans="2:25" ht="13.5" customHeight="1" thickBot="1" x14ac:dyDescent="0.25">
      <c r="B34" s="547"/>
      <c r="C34" s="511"/>
      <c r="D34" s="507"/>
      <c r="E34" s="511"/>
      <c r="F34" s="511"/>
      <c r="G34" s="589"/>
      <c r="H34" s="511"/>
      <c r="I34" s="511"/>
      <c r="L34" s="581"/>
      <c r="M34" s="581"/>
      <c r="N34" s="581"/>
      <c r="O34" s="581"/>
      <c r="P34" s="581"/>
      <c r="Q34" s="581"/>
      <c r="R34" s="581"/>
      <c r="S34" s="581">
        <v>33</v>
      </c>
      <c r="T34" s="581">
        <v>50</v>
      </c>
      <c r="U34" s="581"/>
      <c r="V34" s="581"/>
      <c r="W34" s="581"/>
      <c r="X34" s="581"/>
      <c r="Y34" s="580"/>
    </row>
    <row r="35" spans="2:25" ht="19.5" customHeight="1" thickTop="1" thickBot="1" x14ac:dyDescent="0.25">
      <c r="B35" s="805" t="s">
        <v>86</v>
      </c>
      <c r="C35" s="613" t="s">
        <v>394</v>
      </c>
      <c r="D35" s="780" t="str">
        <f>IF(1*(E5&gt;25),"25 mg iv",1*(E5)&amp;" mg iv")</f>
        <v>1 mg iv</v>
      </c>
      <c r="E35" s="780"/>
      <c r="F35" s="780"/>
      <c r="G35" s="781" t="s">
        <v>14</v>
      </c>
      <c r="H35" s="511"/>
      <c r="I35" s="511"/>
      <c r="L35" s="581"/>
      <c r="M35" s="581"/>
      <c r="N35" s="581"/>
      <c r="O35" s="581"/>
      <c r="P35" s="581"/>
      <c r="Q35" s="581"/>
      <c r="R35" s="581"/>
      <c r="S35" s="581">
        <v>34</v>
      </c>
      <c r="T35" s="581">
        <v>50</v>
      </c>
      <c r="U35" s="581"/>
      <c r="V35" s="581"/>
      <c r="W35" s="581"/>
      <c r="X35" s="581"/>
      <c r="Y35" s="580"/>
    </row>
    <row r="36" spans="2:25" ht="19.5" customHeight="1" thickTop="1" thickBot="1" x14ac:dyDescent="0.25">
      <c r="B36" s="805"/>
      <c r="C36" s="614" t="s">
        <v>100</v>
      </c>
      <c r="D36" s="493" t="str">
        <f>IF(ROUND((0.5*E5),1)&gt;50,"50 gram iv",ROUND((0.5*E5),1)&amp;" gram iv")</f>
        <v>0,5 gram iv</v>
      </c>
      <c r="E36" s="493" t="str">
        <f>"= "&amp;IF(ROUND((0.5*E5),1)&gt;50,ROUND(50/0.15,0),ROUND((0.5*E5)/0.15,0))&amp;" ml van mannitol 15% in 30 min iv"</f>
        <v>= 3 ml van mannitol 15% in 30 min iv</v>
      </c>
      <c r="F36" s="493"/>
      <c r="G36" s="782" t="s">
        <v>15</v>
      </c>
      <c r="H36" s="511"/>
      <c r="I36" s="511"/>
      <c r="L36" s="581"/>
      <c r="M36" s="581"/>
      <c r="N36" s="581"/>
      <c r="O36" s="581"/>
      <c r="P36" s="581"/>
      <c r="Q36" s="581"/>
      <c r="R36" s="581"/>
      <c r="S36" s="581">
        <v>35</v>
      </c>
      <c r="T36" s="581">
        <v>50</v>
      </c>
      <c r="U36" s="581"/>
      <c r="V36" s="581"/>
      <c r="W36" s="581"/>
      <c r="X36" s="581"/>
      <c r="Y36" s="580"/>
    </row>
    <row r="37" spans="2:25" ht="25.5" customHeight="1" thickBot="1" x14ac:dyDescent="0.25">
      <c r="B37" s="547"/>
      <c r="C37" s="511"/>
      <c r="D37" s="507"/>
      <c r="E37" s="511"/>
      <c r="F37" s="511"/>
      <c r="G37" s="590"/>
      <c r="H37" s="511"/>
      <c r="I37" s="511"/>
      <c r="L37" s="581"/>
      <c r="M37" s="581"/>
      <c r="N37" s="581"/>
      <c r="O37" s="581"/>
      <c r="P37" s="581"/>
      <c r="Q37" s="581"/>
      <c r="R37" s="581"/>
      <c r="S37" s="581">
        <v>36</v>
      </c>
      <c r="T37" s="581">
        <v>50</v>
      </c>
      <c r="U37" s="581"/>
      <c r="V37" s="581"/>
      <c r="W37" s="581"/>
      <c r="X37" s="581"/>
      <c r="Y37" s="580"/>
    </row>
    <row r="38" spans="2:25" ht="19.5" customHeight="1" thickTop="1" thickBot="1" x14ac:dyDescent="0.25">
      <c r="B38" s="805" t="s">
        <v>101</v>
      </c>
      <c r="C38" s="615" t="s">
        <v>290</v>
      </c>
      <c r="D38" s="780" t="str">
        <f ca="1">"AMV "&amp;ROUND(E5*8*VLOOKUP(C5,L2:M20,2)/1000,1)&amp;" L/min"</f>
        <v>AMV 0,1 L/min</v>
      </c>
      <c r="E38" s="780"/>
      <c r="F38" s="780" t="s">
        <v>102</v>
      </c>
      <c r="G38" s="785"/>
      <c r="H38" s="511"/>
      <c r="I38" s="511"/>
      <c r="L38" s="581"/>
      <c r="M38" s="581"/>
      <c r="N38" s="581"/>
      <c r="O38" s="581"/>
      <c r="P38" s="581"/>
      <c r="Q38" s="581"/>
      <c r="R38" s="581"/>
      <c r="S38" s="581"/>
      <c r="T38" s="581"/>
      <c r="U38" s="581"/>
      <c r="V38" s="581"/>
      <c r="W38" s="581"/>
      <c r="X38" s="581"/>
      <c r="Y38" s="580"/>
    </row>
    <row r="39" spans="2:25" ht="19.5" customHeight="1" thickTop="1" thickBot="1" x14ac:dyDescent="0.25">
      <c r="B39" s="805"/>
      <c r="C39" s="494"/>
      <c r="D39" s="780" t="str">
        <f ca="1">"frequentie "&amp;VLOOKUP(C5,L2:M20,2)&amp;"/min"</f>
        <v>frequentie 15/min</v>
      </c>
      <c r="E39" s="780"/>
      <c r="F39" s="780" t="s">
        <v>103</v>
      </c>
      <c r="G39" s="785"/>
      <c r="H39" s="511"/>
      <c r="I39" s="511"/>
      <c r="L39" s="581"/>
      <c r="M39" s="581"/>
      <c r="N39" s="581"/>
      <c r="O39" s="581"/>
      <c r="P39" s="581"/>
      <c r="Q39" s="581"/>
      <c r="R39" s="581"/>
      <c r="S39" s="581">
        <v>37</v>
      </c>
      <c r="T39" s="581">
        <v>50</v>
      </c>
      <c r="U39" s="581"/>
      <c r="V39" s="581"/>
      <c r="W39" s="581"/>
      <c r="X39" s="581"/>
      <c r="Y39" s="580"/>
    </row>
    <row r="40" spans="2:25" ht="19.5" customHeight="1" thickTop="1" thickBot="1" x14ac:dyDescent="0.25">
      <c r="B40" s="805"/>
      <c r="C40" s="494"/>
      <c r="D40" s="780" t="s">
        <v>424</v>
      </c>
      <c r="E40" s="780"/>
      <c r="F40" s="780" t="s">
        <v>412</v>
      </c>
      <c r="G40" s="785"/>
      <c r="H40" s="511"/>
      <c r="I40" s="511"/>
      <c r="L40" s="581"/>
      <c r="M40" s="581"/>
      <c r="N40" s="581"/>
      <c r="O40" s="581"/>
      <c r="P40" s="581"/>
      <c r="Q40" s="581"/>
      <c r="R40" s="581"/>
      <c r="S40" s="581">
        <v>38</v>
      </c>
      <c r="T40" s="581">
        <v>50</v>
      </c>
      <c r="U40" s="581"/>
      <c r="V40" s="581"/>
      <c r="W40" s="581"/>
      <c r="X40" s="581"/>
      <c r="Y40" s="580"/>
    </row>
    <row r="41" spans="2:25" ht="19.5" customHeight="1" thickTop="1" thickBot="1" x14ac:dyDescent="0.25">
      <c r="B41" s="805"/>
      <c r="C41" s="494"/>
      <c r="D41" s="780" t="s">
        <v>413</v>
      </c>
      <c r="E41" s="780"/>
      <c r="F41" s="780"/>
      <c r="G41" s="785"/>
      <c r="H41" s="511"/>
      <c r="I41" s="511"/>
      <c r="L41" s="581"/>
      <c r="M41" s="581"/>
      <c r="N41" s="581"/>
      <c r="O41" s="581"/>
      <c r="P41" s="581"/>
      <c r="Q41" s="581"/>
      <c r="R41" s="581"/>
      <c r="S41" s="581">
        <v>39</v>
      </c>
      <c r="T41" s="581">
        <v>50</v>
      </c>
      <c r="U41" s="581"/>
      <c r="V41" s="581"/>
      <c r="W41" s="581"/>
      <c r="X41" s="581"/>
      <c r="Y41" s="580"/>
    </row>
    <row r="42" spans="2:25" ht="19.5" customHeight="1" thickTop="1" thickBot="1" x14ac:dyDescent="0.25">
      <c r="B42" s="805"/>
      <c r="C42" s="614"/>
      <c r="D42" s="493"/>
      <c r="E42" s="493"/>
      <c r="F42" s="493"/>
      <c r="G42" s="492"/>
      <c r="H42" s="511"/>
      <c r="I42" s="511"/>
      <c r="L42" s="581"/>
      <c r="M42" s="581"/>
      <c r="N42" s="581"/>
      <c r="O42" s="581"/>
      <c r="P42" s="581"/>
      <c r="Q42" s="581"/>
      <c r="R42" s="581"/>
      <c r="S42" s="581">
        <v>40</v>
      </c>
      <c r="T42" s="581">
        <v>50</v>
      </c>
      <c r="U42" s="581"/>
      <c r="V42" s="581"/>
      <c r="W42" s="581"/>
      <c r="X42" s="581"/>
      <c r="Y42" s="580"/>
    </row>
    <row r="43" spans="2:25" ht="19.5" customHeight="1" thickBot="1" x14ac:dyDescent="0.25">
      <c r="C43" s="511"/>
      <c r="D43" s="511"/>
      <c r="E43" s="511"/>
      <c r="F43" s="511"/>
      <c r="G43" s="511"/>
      <c r="H43" s="511"/>
      <c r="I43" s="511"/>
      <c r="L43" s="581"/>
      <c r="M43" s="581"/>
      <c r="N43" s="581"/>
      <c r="O43" s="581"/>
      <c r="P43" s="581"/>
      <c r="Q43" s="581"/>
      <c r="R43" s="581"/>
      <c r="S43" s="581">
        <v>41</v>
      </c>
      <c r="T43" s="581">
        <v>50</v>
      </c>
      <c r="U43" s="581"/>
      <c r="V43" s="581"/>
      <c r="W43" s="581"/>
      <c r="X43" s="581"/>
      <c r="Y43" s="580"/>
    </row>
    <row r="44" spans="2:25" ht="19.5" customHeight="1" thickTop="1" thickBot="1" x14ac:dyDescent="0.25">
      <c r="B44" s="808" t="s">
        <v>79</v>
      </c>
      <c r="C44" s="492"/>
      <c r="D44" s="511"/>
      <c r="E44" s="511"/>
      <c r="F44" s="511"/>
      <c r="G44" s="511"/>
      <c r="H44" s="511"/>
      <c r="I44" s="511"/>
      <c r="L44" s="581"/>
      <c r="M44" s="581"/>
      <c r="N44" s="581"/>
      <c r="O44" s="581"/>
      <c r="P44" s="581"/>
      <c r="Q44" s="581"/>
      <c r="R44" s="581"/>
      <c r="S44" s="581">
        <v>42</v>
      </c>
      <c r="T44" s="581">
        <v>50</v>
      </c>
      <c r="U44" s="581"/>
      <c r="V44" s="581"/>
      <c r="W44" s="581"/>
      <c r="X44" s="581"/>
      <c r="Y44" s="580"/>
    </row>
    <row r="45" spans="2:25" ht="19.5" customHeight="1" thickTop="1" x14ac:dyDescent="0.2">
      <c r="B45" s="547"/>
      <c r="C45" s="511"/>
      <c r="D45" s="511"/>
      <c r="E45" s="511"/>
      <c r="F45" s="511"/>
      <c r="G45" s="511"/>
      <c r="H45" s="511"/>
      <c r="I45" s="511"/>
      <c r="L45" s="581"/>
      <c r="M45" s="581"/>
      <c r="N45" s="581"/>
      <c r="O45" s="581"/>
      <c r="P45" s="581"/>
      <c r="Q45" s="581"/>
      <c r="R45" s="581"/>
      <c r="S45" s="581">
        <v>43</v>
      </c>
      <c r="T45" s="581">
        <v>50</v>
      </c>
      <c r="U45" s="581"/>
      <c r="V45" s="581"/>
      <c r="W45" s="581"/>
      <c r="X45" s="581"/>
      <c r="Y45" s="580"/>
    </row>
    <row r="46" spans="2:25" ht="19.5" customHeight="1" x14ac:dyDescent="0.2">
      <c r="B46" s="547"/>
      <c r="C46" s="511"/>
      <c r="D46" s="511"/>
      <c r="E46" s="511"/>
      <c r="F46" s="511"/>
      <c r="G46" s="511"/>
      <c r="H46" s="511"/>
      <c r="I46" s="511"/>
      <c r="L46" s="581"/>
      <c r="M46" s="581"/>
      <c r="N46" s="581"/>
      <c r="O46" s="581"/>
      <c r="P46" s="581"/>
      <c r="Q46" s="581"/>
      <c r="R46" s="581"/>
      <c r="S46" s="581">
        <v>44</v>
      </c>
      <c r="T46" s="581">
        <v>50</v>
      </c>
      <c r="U46" s="581"/>
      <c r="V46" s="581"/>
      <c r="W46" s="581"/>
      <c r="X46" s="581"/>
      <c r="Y46" s="580"/>
    </row>
    <row r="47" spans="2:25" x14ac:dyDescent="0.2">
      <c r="B47" s="547"/>
      <c r="C47" s="511"/>
      <c r="D47" s="511"/>
      <c r="E47" s="511"/>
      <c r="F47" s="511"/>
      <c r="G47" s="511"/>
      <c r="H47" s="511"/>
      <c r="I47" s="511"/>
      <c r="L47" s="581"/>
      <c r="M47" s="581"/>
      <c r="N47" s="581"/>
      <c r="O47" s="581"/>
      <c r="P47" s="581"/>
      <c r="Q47" s="581"/>
      <c r="R47" s="581"/>
      <c r="S47" s="581">
        <v>45</v>
      </c>
      <c r="T47" s="581">
        <v>50</v>
      </c>
      <c r="U47" s="581"/>
      <c r="V47" s="581"/>
      <c r="W47" s="581"/>
      <c r="X47" s="581"/>
      <c r="Y47" s="580"/>
    </row>
    <row r="48" spans="2:25" x14ac:dyDescent="0.2">
      <c r="B48" s="547"/>
      <c r="C48" s="511"/>
      <c r="D48" s="511"/>
      <c r="E48" s="511"/>
      <c r="F48" s="511"/>
      <c r="G48" s="511"/>
      <c r="H48" s="511"/>
      <c r="I48" s="511"/>
      <c r="L48" s="581"/>
      <c r="M48" s="581"/>
      <c r="N48" s="581"/>
      <c r="O48" s="581"/>
      <c r="P48" s="581"/>
      <c r="Q48" s="581"/>
      <c r="R48" s="581"/>
      <c r="S48" s="581">
        <v>46</v>
      </c>
      <c r="T48" s="581">
        <v>50</v>
      </c>
      <c r="U48" s="581"/>
      <c r="V48" s="581"/>
      <c r="W48" s="581"/>
      <c r="X48" s="581"/>
      <c r="Y48" s="580"/>
    </row>
    <row r="49" spans="2:25" x14ac:dyDescent="0.2">
      <c r="B49" s="547"/>
      <c r="C49" s="511"/>
      <c r="D49" s="511"/>
      <c r="E49" s="511"/>
      <c r="F49" s="511"/>
      <c r="G49" s="511"/>
      <c r="H49" s="511"/>
      <c r="I49" s="511"/>
      <c r="L49" s="581"/>
      <c r="M49" s="581"/>
      <c r="N49" s="581"/>
      <c r="O49" s="581"/>
      <c r="P49" s="581"/>
      <c r="Q49" s="581"/>
      <c r="R49" s="581"/>
      <c r="S49" s="581">
        <v>47</v>
      </c>
      <c r="T49" s="581">
        <v>50</v>
      </c>
      <c r="U49" s="581"/>
      <c r="V49" s="581"/>
      <c r="W49" s="581"/>
      <c r="X49" s="581"/>
      <c r="Y49" s="580"/>
    </row>
    <row r="50" spans="2:25" x14ac:dyDescent="0.2">
      <c r="B50" s="547"/>
      <c r="C50" s="511"/>
      <c r="D50" s="511"/>
      <c r="E50" s="511"/>
      <c r="F50" s="511"/>
      <c r="G50" s="511"/>
      <c r="H50" s="511"/>
      <c r="I50" s="511"/>
      <c r="L50" s="581"/>
      <c r="M50" s="581"/>
      <c r="N50" s="581"/>
      <c r="O50" s="581"/>
      <c r="P50" s="581"/>
      <c r="Q50" s="581"/>
      <c r="R50" s="581"/>
      <c r="S50" s="581">
        <v>48</v>
      </c>
      <c r="T50" s="581">
        <v>50</v>
      </c>
      <c r="U50" s="581"/>
      <c r="V50" s="581"/>
      <c r="W50" s="581"/>
      <c r="X50" s="581"/>
      <c r="Y50" s="580"/>
    </row>
    <row r="51" spans="2:25" x14ac:dyDescent="0.2">
      <c r="B51" s="547"/>
      <c r="C51" s="511"/>
      <c r="D51" s="511"/>
      <c r="E51" s="511"/>
      <c r="F51" s="511"/>
      <c r="G51" s="511"/>
      <c r="H51" s="511"/>
      <c r="I51" s="511"/>
      <c r="L51" s="581"/>
      <c r="M51" s="581"/>
      <c r="N51" s="581"/>
      <c r="O51" s="581"/>
      <c r="P51" s="581"/>
      <c r="Q51" s="581"/>
      <c r="R51" s="581"/>
      <c r="S51" s="581">
        <v>49</v>
      </c>
      <c r="T51" s="581">
        <v>50</v>
      </c>
      <c r="U51" s="581"/>
      <c r="V51" s="581"/>
      <c r="W51" s="581"/>
      <c r="X51" s="581"/>
      <c r="Y51" s="580"/>
    </row>
    <row r="52" spans="2:25" x14ac:dyDescent="0.2">
      <c r="B52" s="547"/>
      <c r="C52" s="511"/>
      <c r="D52" s="511"/>
      <c r="E52" s="511"/>
      <c r="F52" s="511"/>
      <c r="G52" s="511"/>
      <c r="H52" s="511"/>
      <c r="I52" s="511"/>
      <c r="L52" s="581"/>
      <c r="M52" s="581"/>
      <c r="N52" s="581"/>
      <c r="O52" s="581"/>
      <c r="P52" s="581"/>
      <c r="Q52" s="581"/>
      <c r="R52" s="581"/>
      <c r="S52" s="581">
        <v>50</v>
      </c>
      <c r="T52" s="581">
        <v>50</v>
      </c>
      <c r="U52" s="581">
        <v>50</v>
      </c>
      <c r="V52" s="581"/>
      <c r="W52" s="581"/>
      <c r="X52" s="581"/>
      <c r="Y52" s="580"/>
    </row>
    <row r="53" spans="2:25" x14ac:dyDescent="0.2">
      <c r="B53" s="547"/>
      <c r="C53" s="511"/>
      <c r="D53" s="511"/>
      <c r="E53" s="511"/>
      <c r="F53" s="511"/>
      <c r="G53" s="511"/>
      <c r="H53" s="511"/>
      <c r="I53" s="511"/>
      <c r="L53" s="581"/>
      <c r="M53" s="581"/>
      <c r="N53" s="581"/>
      <c r="O53" s="581"/>
      <c r="P53" s="581"/>
      <c r="Q53" s="581"/>
      <c r="R53" s="581"/>
      <c r="S53" s="581">
        <v>51</v>
      </c>
      <c r="T53" s="581">
        <v>70</v>
      </c>
      <c r="U53" s="581"/>
      <c r="V53" s="581"/>
      <c r="W53" s="581"/>
      <c r="X53" s="581"/>
      <c r="Y53" s="580"/>
    </row>
    <row r="54" spans="2:25" x14ac:dyDescent="0.2">
      <c r="B54" s="547"/>
      <c r="C54" s="511"/>
      <c r="D54" s="511"/>
      <c r="E54" s="511"/>
      <c r="F54" s="511"/>
      <c r="G54" s="511"/>
      <c r="H54" s="511"/>
      <c r="I54" s="511"/>
      <c r="L54" s="581"/>
      <c r="M54" s="581"/>
      <c r="N54" s="581"/>
      <c r="O54" s="581"/>
      <c r="P54" s="581"/>
      <c r="Q54" s="581"/>
      <c r="R54" s="581"/>
      <c r="S54" s="581">
        <v>52</v>
      </c>
      <c r="T54" s="581">
        <v>70</v>
      </c>
      <c r="U54" s="581"/>
      <c r="V54" s="581"/>
      <c r="W54" s="581"/>
      <c r="X54" s="581"/>
      <c r="Y54" s="580"/>
    </row>
    <row r="55" spans="2:25" x14ac:dyDescent="0.2">
      <c r="B55" s="547"/>
      <c r="C55" s="511"/>
      <c r="D55" s="511"/>
      <c r="E55" s="511"/>
      <c r="F55" s="511"/>
      <c r="G55" s="511"/>
      <c r="H55" s="511"/>
      <c r="I55" s="511"/>
      <c r="L55" s="581"/>
      <c r="M55" s="581"/>
      <c r="N55" s="581"/>
      <c r="O55" s="581"/>
      <c r="P55" s="581"/>
      <c r="Q55" s="581"/>
      <c r="R55" s="581"/>
      <c r="S55" s="581">
        <v>53</v>
      </c>
      <c r="T55" s="581">
        <v>70</v>
      </c>
      <c r="U55" s="581"/>
      <c r="V55" s="581"/>
      <c r="W55" s="581"/>
      <c r="X55" s="581"/>
      <c r="Y55" s="580"/>
    </row>
    <row r="56" spans="2:25" x14ac:dyDescent="0.2">
      <c r="B56" s="547"/>
      <c r="C56" s="511"/>
      <c r="D56" s="511"/>
      <c r="E56" s="511"/>
      <c r="F56" s="511"/>
      <c r="G56" s="511"/>
      <c r="H56" s="511"/>
      <c r="I56" s="511"/>
      <c r="L56" s="581"/>
      <c r="M56" s="581"/>
      <c r="N56" s="581"/>
      <c r="O56" s="581"/>
      <c r="P56" s="581"/>
      <c r="Q56" s="581"/>
      <c r="R56" s="581"/>
      <c r="S56" s="581">
        <v>54</v>
      </c>
      <c r="T56" s="581">
        <v>70</v>
      </c>
      <c r="U56" s="581"/>
      <c r="V56" s="581"/>
      <c r="W56" s="581"/>
      <c r="X56" s="581"/>
      <c r="Y56" s="580"/>
    </row>
    <row r="57" spans="2:25" x14ac:dyDescent="0.2">
      <c r="B57" s="547"/>
      <c r="C57" s="511"/>
      <c r="D57" s="511"/>
      <c r="E57" s="511"/>
      <c r="F57" s="511"/>
      <c r="G57" s="511"/>
      <c r="H57" s="511"/>
      <c r="I57" s="511"/>
      <c r="L57" s="581"/>
      <c r="M57" s="581"/>
      <c r="N57" s="581"/>
      <c r="O57" s="581"/>
      <c r="P57" s="581"/>
      <c r="Q57" s="581"/>
      <c r="R57" s="581"/>
      <c r="S57" s="581">
        <v>55</v>
      </c>
      <c r="T57" s="581">
        <v>70</v>
      </c>
      <c r="U57" s="581"/>
      <c r="V57" s="581"/>
      <c r="W57" s="581"/>
      <c r="X57" s="581"/>
      <c r="Y57" s="580"/>
    </row>
    <row r="58" spans="2:25" x14ac:dyDescent="0.2">
      <c r="B58" s="547"/>
      <c r="C58" s="511"/>
      <c r="D58" s="511"/>
      <c r="E58" s="511"/>
      <c r="F58" s="511"/>
      <c r="G58" s="511"/>
      <c r="H58" s="511"/>
      <c r="I58" s="511"/>
      <c r="L58" s="581"/>
      <c r="M58" s="581"/>
      <c r="N58" s="581"/>
      <c r="O58" s="581"/>
      <c r="P58" s="581"/>
      <c r="Q58" s="581"/>
      <c r="R58" s="581"/>
      <c r="S58" s="581">
        <v>56</v>
      </c>
      <c r="T58" s="581">
        <v>70</v>
      </c>
      <c r="U58" s="581"/>
      <c r="V58" s="581"/>
      <c r="W58" s="581"/>
      <c r="X58" s="581"/>
      <c r="Y58" s="580"/>
    </row>
    <row r="59" spans="2:25" x14ac:dyDescent="0.2">
      <c r="B59" s="547"/>
      <c r="C59" s="511"/>
      <c r="D59" s="511"/>
      <c r="E59" s="511"/>
      <c r="F59" s="511"/>
      <c r="G59" s="511"/>
      <c r="H59" s="511"/>
      <c r="I59" s="511"/>
      <c r="L59" s="581"/>
      <c r="M59" s="581"/>
      <c r="N59" s="581"/>
      <c r="O59" s="581"/>
      <c r="P59" s="581"/>
      <c r="Q59" s="581"/>
      <c r="R59" s="581"/>
      <c r="S59" s="581">
        <v>57</v>
      </c>
      <c r="T59" s="581">
        <v>70</v>
      </c>
      <c r="U59" s="581"/>
      <c r="V59" s="581"/>
      <c r="W59" s="581"/>
      <c r="X59" s="581"/>
      <c r="Y59" s="580"/>
    </row>
    <row r="60" spans="2:25" x14ac:dyDescent="0.2">
      <c r="B60" s="547"/>
      <c r="C60" s="511"/>
      <c r="D60" s="511"/>
      <c r="E60" s="511"/>
      <c r="F60" s="511"/>
      <c r="G60" s="511"/>
      <c r="H60" s="511"/>
      <c r="I60" s="511"/>
      <c r="L60" s="581"/>
      <c r="M60" s="581"/>
      <c r="N60" s="581"/>
      <c r="O60" s="581"/>
      <c r="P60" s="581"/>
      <c r="Q60" s="581"/>
      <c r="R60" s="581"/>
      <c r="S60" s="581">
        <v>58</v>
      </c>
      <c r="T60" s="581">
        <v>70</v>
      </c>
      <c r="U60" s="581"/>
      <c r="V60" s="581"/>
      <c r="W60" s="581"/>
      <c r="X60" s="581"/>
      <c r="Y60" s="580"/>
    </row>
    <row r="61" spans="2:25" x14ac:dyDescent="0.2">
      <c r="B61" s="547"/>
      <c r="C61" s="511"/>
      <c r="D61" s="511"/>
      <c r="E61" s="511"/>
      <c r="F61" s="511"/>
      <c r="G61" s="511"/>
      <c r="H61" s="511"/>
      <c r="I61" s="511"/>
      <c r="L61" s="581"/>
      <c r="M61" s="581"/>
      <c r="N61" s="581"/>
      <c r="O61" s="581"/>
      <c r="P61" s="581"/>
      <c r="Q61" s="581"/>
      <c r="R61" s="581"/>
      <c r="S61" s="581">
        <v>59</v>
      </c>
      <c r="T61" s="581">
        <v>70</v>
      </c>
      <c r="U61" s="581"/>
      <c r="V61" s="581"/>
      <c r="W61" s="581"/>
      <c r="X61" s="581"/>
      <c r="Y61" s="580"/>
    </row>
    <row r="62" spans="2:25" x14ac:dyDescent="0.2">
      <c r="B62" s="547"/>
      <c r="C62" s="511"/>
      <c r="D62" s="511"/>
      <c r="E62" s="511"/>
      <c r="F62" s="511"/>
      <c r="G62" s="511"/>
      <c r="H62" s="511"/>
      <c r="I62" s="511"/>
      <c r="L62" s="581"/>
      <c r="M62" s="581"/>
      <c r="N62" s="581"/>
      <c r="O62" s="581"/>
      <c r="P62" s="581"/>
      <c r="Q62" s="581"/>
      <c r="R62" s="581"/>
      <c r="S62" s="581">
        <v>60</v>
      </c>
      <c r="T62" s="581">
        <v>70</v>
      </c>
      <c r="U62" s="581"/>
      <c r="V62" s="581"/>
      <c r="W62" s="581"/>
      <c r="X62" s="581"/>
      <c r="Y62" s="580"/>
    </row>
    <row r="63" spans="2:25" x14ac:dyDescent="0.2">
      <c r="B63" s="547"/>
      <c r="C63" s="511"/>
      <c r="D63" s="511"/>
      <c r="E63" s="511"/>
      <c r="F63" s="511"/>
      <c r="G63" s="511"/>
      <c r="H63" s="511"/>
      <c r="I63" s="511"/>
      <c r="L63" s="581"/>
      <c r="M63" s="581"/>
      <c r="N63" s="581"/>
      <c r="O63" s="581"/>
      <c r="P63" s="581"/>
      <c r="Q63" s="581"/>
      <c r="R63" s="581"/>
      <c r="S63" s="581">
        <v>61</v>
      </c>
      <c r="T63" s="581">
        <v>70</v>
      </c>
      <c r="U63" s="581"/>
      <c r="V63" s="581"/>
      <c r="W63" s="581"/>
      <c r="X63" s="581"/>
      <c r="Y63" s="580"/>
    </row>
    <row r="64" spans="2:25" x14ac:dyDescent="0.2">
      <c r="B64" s="547"/>
      <c r="C64" s="511"/>
      <c r="D64" s="511"/>
      <c r="E64" s="511"/>
      <c r="F64" s="511"/>
      <c r="G64" s="511"/>
      <c r="H64" s="511"/>
      <c r="I64" s="511"/>
      <c r="L64" s="581"/>
      <c r="M64" s="581"/>
      <c r="N64" s="581"/>
      <c r="O64" s="581"/>
      <c r="P64" s="581"/>
      <c r="Q64" s="581"/>
      <c r="R64" s="581"/>
      <c r="S64" s="581">
        <v>62</v>
      </c>
      <c r="T64" s="581">
        <v>70</v>
      </c>
      <c r="U64" s="581"/>
      <c r="V64" s="581"/>
      <c r="W64" s="581"/>
      <c r="X64" s="581"/>
      <c r="Y64" s="580"/>
    </row>
    <row r="65" spans="2:25" x14ac:dyDescent="0.2">
      <c r="B65" s="547"/>
      <c r="C65" s="511"/>
      <c r="D65" s="511"/>
      <c r="E65" s="511"/>
      <c r="F65" s="511"/>
      <c r="G65" s="511"/>
      <c r="H65" s="511"/>
      <c r="I65" s="511"/>
      <c r="L65" s="581"/>
      <c r="M65" s="581"/>
      <c r="N65" s="581"/>
      <c r="O65" s="581"/>
      <c r="P65" s="581"/>
      <c r="Q65" s="581"/>
      <c r="R65" s="581"/>
      <c r="S65" s="581">
        <v>63</v>
      </c>
      <c r="T65" s="581">
        <v>70</v>
      </c>
      <c r="U65" s="581"/>
      <c r="V65" s="581"/>
      <c r="W65" s="581"/>
      <c r="X65" s="581"/>
      <c r="Y65" s="580"/>
    </row>
    <row r="66" spans="2:25" x14ac:dyDescent="0.2">
      <c r="B66" s="547"/>
      <c r="C66" s="511"/>
      <c r="D66" s="511"/>
      <c r="E66" s="511"/>
      <c r="F66" s="511"/>
      <c r="G66" s="511"/>
      <c r="H66" s="511"/>
      <c r="I66" s="511"/>
      <c r="L66" s="581"/>
      <c r="M66" s="581"/>
      <c r="N66" s="581"/>
      <c r="O66" s="581"/>
      <c r="P66" s="581"/>
      <c r="Q66" s="581"/>
      <c r="R66" s="581"/>
      <c r="S66" s="581">
        <v>64</v>
      </c>
      <c r="T66" s="581">
        <v>70</v>
      </c>
      <c r="U66" s="581"/>
      <c r="V66" s="581"/>
      <c r="W66" s="581"/>
      <c r="X66" s="581"/>
      <c r="Y66" s="580"/>
    </row>
    <row r="67" spans="2:25" x14ac:dyDescent="0.2">
      <c r="B67" s="547"/>
      <c r="C67" s="511"/>
      <c r="D67" s="511"/>
      <c r="E67" s="511"/>
      <c r="F67" s="511"/>
      <c r="G67" s="511"/>
      <c r="H67" s="511"/>
      <c r="I67" s="511"/>
      <c r="L67" s="581"/>
      <c r="M67" s="581"/>
      <c r="N67" s="581"/>
      <c r="O67" s="581"/>
      <c r="P67" s="581"/>
      <c r="Q67" s="581"/>
      <c r="R67" s="581"/>
      <c r="S67" s="581">
        <v>65</v>
      </c>
      <c r="T67" s="581">
        <v>70</v>
      </c>
      <c r="U67" s="581"/>
      <c r="V67" s="581"/>
      <c r="W67" s="581"/>
      <c r="X67" s="581"/>
      <c r="Y67" s="580"/>
    </row>
    <row r="68" spans="2:25" x14ac:dyDescent="0.2">
      <c r="B68" s="547"/>
      <c r="C68" s="511"/>
      <c r="D68" s="511"/>
      <c r="E68" s="511"/>
      <c r="F68" s="511"/>
      <c r="G68" s="511"/>
      <c r="H68" s="511"/>
      <c r="I68" s="511"/>
      <c r="L68" s="581"/>
      <c r="M68" s="581"/>
      <c r="N68" s="581"/>
      <c r="O68" s="581"/>
      <c r="P68" s="581"/>
      <c r="Q68" s="581"/>
      <c r="R68" s="581"/>
      <c r="S68" s="581">
        <v>66</v>
      </c>
      <c r="T68" s="581">
        <v>70</v>
      </c>
      <c r="U68" s="581"/>
      <c r="V68" s="581"/>
      <c r="W68" s="581"/>
      <c r="X68" s="581"/>
      <c r="Y68" s="580"/>
    </row>
    <row r="69" spans="2:25" x14ac:dyDescent="0.2">
      <c r="B69" s="547"/>
      <c r="C69" s="511"/>
      <c r="D69" s="511"/>
      <c r="E69" s="511"/>
      <c r="F69" s="511"/>
      <c r="G69" s="511"/>
      <c r="H69" s="511"/>
      <c r="I69" s="511"/>
      <c r="L69" s="581"/>
      <c r="M69" s="581"/>
      <c r="N69" s="581"/>
      <c r="O69" s="581"/>
      <c r="P69" s="581"/>
      <c r="Q69" s="581"/>
      <c r="R69" s="581"/>
      <c r="S69" s="581">
        <v>67</v>
      </c>
      <c r="T69" s="581">
        <v>70</v>
      </c>
      <c r="U69" s="581"/>
      <c r="V69" s="581"/>
      <c r="W69" s="581"/>
      <c r="X69" s="581"/>
      <c r="Y69" s="580"/>
    </row>
    <row r="70" spans="2:25" x14ac:dyDescent="0.2">
      <c r="B70" s="547"/>
      <c r="C70" s="511"/>
      <c r="D70" s="511"/>
      <c r="E70" s="511"/>
      <c r="F70" s="511"/>
      <c r="G70" s="511"/>
      <c r="H70" s="511"/>
      <c r="I70" s="511"/>
      <c r="L70" s="581"/>
      <c r="M70" s="581"/>
      <c r="N70" s="581"/>
      <c r="O70" s="581"/>
      <c r="P70" s="581"/>
      <c r="Q70" s="581"/>
      <c r="R70" s="581"/>
      <c r="S70" s="581">
        <v>68</v>
      </c>
      <c r="T70" s="581">
        <v>70</v>
      </c>
      <c r="U70" s="581"/>
      <c r="V70" s="581"/>
      <c r="W70" s="581"/>
      <c r="X70" s="581"/>
      <c r="Y70" s="580"/>
    </row>
    <row r="71" spans="2:25" x14ac:dyDescent="0.2">
      <c r="B71" s="547"/>
      <c r="C71" s="511"/>
      <c r="D71" s="511"/>
      <c r="E71" s="511"/>
      <c r="F71" s="511"/>
      <c r="G71" s="511"/>
      <c r="H71" s="511"/>
      <c r="I71" s="511"/>
      <c r="L71" s="581"/>
      <c r="M71" s="581"/>
      <c r="N71" s="581"/>
      <c r="O71" s="581"/>
      <c r="P71" s="581"/>
      <c r="Q71" s="581"/>
      <c r="R71" s="581"/>
      <c r="S71" s="581">
        <v>69</v>
      </c>
      <c r="T71" s="581">
        <v>70</v>
      </c>
      <c r="U71" s="581"/>
      <c r="V71" s="581"/>
      <c r="W71" s="581"/>
      <c r="X71" s="581"/>
      <c r="Y71" s="580"/>
    </row>
    <row r="72" spans="2:25" x14ac:dyDescent="0.2">
      <c r="B72" s="547"/>
      <c r="C72" s="511"/>
      <c r="D72" s="511"/>
      <c r="E72" s="511"/>
      <c r="F72" s="511"/>
      <c r="G72" s="511"/>
      <c r="H72" s="511"/>
      <c r="I72" s="511"/>
      <c r="L72" s="581"/>
      <c r="M72" s="581"/>
      <c r="N72" s="581"/>
      <c r="O72" s="581"/>
      <c r="P72" s="581"/>
      <c r="Q72" s="581"/>
      <c r="R72" s="581"/>
      <c r="S72" s="581">
        <v>70</v>
      </c>
      <c r="T72" s="581">
        <v>70</v>
      </c>
      <c r="U72" s="581">
        <v>70</v>
      </c>
      <c r="V72" s="581"/>
      <c r="W72" s="581"/>
      <c r="X72" s="581"/>
      <c r="Y72" s="580"/>
    </row>
    <row r="73" spans="2:25" x14ac:dyDescent="0.2">
      <c r="B73" s="547"/>
      <c r="C73" s="511"/>
      <c r="D73" s="511"/>
      <c r="E73" s="511"/>
      <c r="F73" s="511"/>
      <c r="G73" s="511"/>
      <c r="H73" s="511"/>
      <c r="I73" s="511"/>
      <c r="L73" s="581"/>
      <c r="M73" s="581"/>
      <c r="N73" s="581"/>
      <c r="O73" s="581"/>
      <c r="P73" s="581"/>
      <c r="Q73" s="581"/>
      <c r="R73" s="581"/>
      <c r="S73" s="581">
        <v>71</v>
      </c>
      <c r="T73" s="581">
        <v>100</v>
      </c>
      <c r="U73" s="581"/>
      <c r="V73" s="581"/>
      <c r="W73" s="581"/>
      <c r="X73" s="581"/>
      <c r="Y73" s="580"/>
    </row>
    <row r="74" spans="2:25" x14ac:dyDescent="0.2">
      <c r="B74" s="547"/>
      <c r="C74" s="511"/>
      <c r="D74" s="511"/>
      <c r="E74" s="511"/>
      <c r="F74" s="511"/>
      <c r="G74" s="511"/>
      <c r="H74" s="511"/>
      <c r="I74" s="511"/>
      <c r="L74" s="581"/>
      <c r="M74" s="581"/>
      <c r="N74" s="581"/>
      <c r="O74" s="581"/>
      <c r="P74" s="581"/>
      <c r="Q74" s="581"/>
      <c r="R74" s="581"/>
      <c r="S74" s="581">
        <v>72</v>
      </c>
      <c r="T74" s="581">
        <v>100</v>
      </c>
      <c r="U74" s="581"/>
      <c r="V74" s="581"/>
      <c r="W74" s="581"/>
      <c r="X74" s="581"/>
      <c r="Y74" s="580"/>
    </row>
    <row r="75" spans="2:25" x14ac:dyDescent="0.2">
      <c r="B75" s="547"/>
      <c r="C75" s="511"/>
      <c r="D75" s="511"/>
      <c r="E75" s="511"/>
      <c r="F75" s="511"/>
      <c r="G75" s="511"/>
      <c r="H75" s="511"/>
      <c r="I75" s="511"/>
      <c r="L75" s="581"/>
      <c r="M75" s="581"/>
      <c r="N75" s="581"/>
      <c r="O75" s="581"/>
      <c r="P75" s="581"/>
      <c r="Q75" s="581"/>
      <c r="R75" s="581"/>
      <c r="S75" s="581">
        <v>73</v>
      </c>
      <c r="T75" s="581">
        <v>100</v>
      </c>
      <c r="U75" s="581"/>
      <c r="V75" s="581"/>
      <c r="W75" s="581"/>
      <c r="X75" s="581"/>
      <c r="Y75" s="580"/>
    </row>
    <row r="76" spans="2:25" x14ac:dyDescent="0.2">
      <c r="B76" s="547"/>
      <c r="C76" s="511"/>
      <c r="D76" s="511"/>
      <c r="E76" s="511"/>
      <c r="F76" s="511"/>
      <c r="G76" s="511"/>
      <c r="H76" s="511"/>
      <c r="I76" s="511"/>
      <c r="L76" s="581"/>
      <c r="M76" s="581"/>
      <c r="N76" s="581"/>
      <c r="O76" s="581"/>
      <c r="P76" s="581"/>
      <c r="Q76" s="581"/>
      <c r="R76" s="581"/>
      <c r="S76" s="581">
        <v>74</v>
      </c>
      <c r="T76" s="581">
        <v>100</v>
      </c>
      <c r="U76" s="581"/>
      <c r="V76" s="581"/>
      <c r="W76" s="581"/>
      <c r="X76" s="581"/>
      <c r="Y76" s="580"/>
    </row>
    <row r="77" spans="2:25" x14ac:dyDescent="0.2">
      <c r="H77" s="511"/>
      <c r="I77" s="511"/>
      <c r="L77" s="581"/>
      <c r="M77" s="581"/>
      <c r="N77" s="581"/>
      <c r="O77" s="581"/>
      <c r="P77" s="581"/>
      <c r="Q77" s="581"/>
      <c r="R77" s="581"/>
      <c r="S77" s="581">
        <v>75</v>
      </c>
      <c r="T77" s="581">
        <v>100</v>
      </c>
      <c r="U77" s="581"/>
      <c r="V77" s="581"/>
      <c r="W77" s="581"/>
      <c r="X77" s="581"/>
      <c r="Y77" s="580"/>
    </row>
    <row r="78" spans="2:25" x14ac:dyDescent="0.2">
      <c r="L78" s="581"/>
      <c r="M78" s="581"/>
      <c r="N78" s="581"/>
      <c r="O78" s="581"/>
      <c r="P78" s="581"/>
      <c r="Q78" s="581"/>
      <c r="R78" s="581"/>
      <c r="S78" s="581">
        <v>76</v>
      </c>
      <c r="T78" s="581">
        <v>100</v>
      </c>
      <c r="U78" s="581"/>
      <c r="V78" s="581"/>
      <c r="W78" s="581"/>
      <c r="X78" s="581"/>
      <c r="Y78" s="580"/>
    </row>
    <row r="79" spans="2:25" x14ac:dyDescent="0.2">
      <c r="L79" s="581"/>
      <c r="M79" s="581"/>
      <c r="N79" s="581"/>
      <c r="O79" s="581"/>
      <c r="P79" s="581"/>
      <c r="Q79" s="581"/>
      <c r="R79" s="581"/>
      <c r="S79" s="581">
        <v>77</v>
      </c>
      <c r="T79" s="581">
        <v>100</v>
      </c>
      <c r="U79" s="581"/>
      <c r="V79" s="581"/>
      <c r="W79" s="581"/>
      <c r="X79" s="581"/>
      <c r="Y79" s="580"/>
    </row>
    <row r="80" spans="2:25" x14ac:dyDescent="0.2">
      <c r="L80" s="581"/>
      <c r="M80" s="581"/>
      <c r="N80" s="581"/>
      <c r="O80" s="581"/>
      <c r="P80" s="581"/>
      <c r="Q80" s="581"/>
      <c r="R80" s="581"/>
      <c r="S80" s="581">
        <v>78</v>
      </c>
      <c r="T80" s="581">
        <v>100</v>
      </c>
      <c r="U80" s="581"/>
      <c r="V80" s="581"/>
      <c r="W80" s="581"/>
      <c r="X80" s="581"/>
      <c r="Y80" s="580"/>
    </row>
    <row r="81" spans="12:25" x14ac:dyDescent="0.2">
      <c r="L81" s="581"/>
      <c r="M81" s="581"/>
      <c r="N81" s="581"/>
      <c r="O81" s="581"/>
      <c r="P81" s="581"/>
      <c r="Q81" s="581"/>
      <c r="R81" s="581"/>
      <c r="S81" s="581">
        <v>79</v>
      </c>
      <c r="T81" s="581">
        <v>100</v>
      </c>
      <c r="U81" s="581"/>
      <c r="V81" s="581"/>
      <c r="W81" s="581"/>
      <c r="X81" s="581"/>
      <c r="Y81" s="580"/>
    </row>
    <row r="82" spans="12:25" x14ac:dyDescent="0.2">
      <c r="L82" s="581"/>
      <c r="M82" s="581"/>
      <c r="N82" s="581"/>
      <c r="O82" s="581"/>
      <c r="P82" s="581"/>
      <c r="Q82" s="581"/>
      <c r="R82" s="581"/>
      <c r="S82" s="581">
        <v>80</v>
      </c>
      <c r="T82" s="581">
        <v>100</v>
      </c>
      <c r="U82" s="581"/>
      <c r="V82" s="581"/>
      <c r="W82" s="581"/>
      <c r="X82" s="581"/>
      <c r="Y82" s="580"/>
    </row>
    <row r="83" spans="12:25" x14ac:dyDescent="0.2">
      <c r="L83" s="581"/>
      <c r="M83" s="581"/>
      <c r="N83" s="581"/>
      <c r="O83" s="581"/>
      <c r="P83" s="581"/>
      <c r="Q83" s="581"/>
      <c r="R83" s="581"/>
      <c r="S83" s="581">
        <v>81</v>
      </c>
      <c r="T83" s="581">
        <v>100</v>
      </c>
      <c r="U83" s="581"/>
      <c r="V83" s="581"/>
      <c r="W83" s="581"/>
      <c r="X83" s="581"/>
      <c r="Y83" s="580"/>
    </row>
    <row r="84" spans="12:25" x14ac:dyDescent="0.2">
      <c r="L84" s="581"/>
      <c r="M84" s="581"/>
      <c r="N84" s="581"/>
      <c r="O84" s="581"/>
      <c r="P84" s="581"/>
      <c r="Q84" s="581"/>
      <c r="R84" s="581"/>
      <c r="S84" s="581">
        <v>82</v>
      </c>
      <c r="T84" s="581">
        <v>100</v>
      </c>
      <c r="U84" s="581"/>
      <c r="V84" s="581"/>
      <c r="W84" s="581"/>
      <c r="X84" s="581"/>
      <c r="Y84" s="580"/>
    </row>
    <row r="85" spans="12:25" x14ac:dyDescent="0.2">
      <c r="L85" s="581"/>
      <c r="M85" s="581"/>
      <c r="N85" s="581"/>
      <c r="O85" s="581"/>
      <c r="P85" s="581"/>
      <c r="Q85" s="581"/>
      <c r="R85" s="581"/>
      <c r="S85" s="581">
        <v>83</v>
      </c>
      <c r="T85" s="581">
        <v>100</v>
      </c>
      <c r="U85" s="581"/>
      <c r="V85" s="581"/>
      <c r="W85" s="581"/>
      <c r="X85" s="581"/>
      <c r="Y85" s="580"/>
    </row>
    <row r="86" spans="12:25" x14ac:dyDescent="0.2">
      <c r="L86" s="581"/>
      <c r="M86" s="581"/>
      <c r="N86" s="581"/>
      <c r="O86" s="581"/>
      <c r="P86" s="581"/>
      <c r="Q86" s="581"/>
      <c r="R86" s="581"/>
      <c r="S86" s="581">
        <v>84</v>
      </c>
      <c r="T86" s="581">
        <v>100</v>
      </c>
      <c r="U86" s="581"/>
      <c r="V86" s="581"/>
      <c r="W86" s="581"/>
      <c r="X86" s="581"/>
      <c r="Y86" s="580"/>
    </row>
    <row r="87" spans="12:25" x14ac:dyDescent="0.2">
      <c r="L87" s="581"/>
      <c r="M87" s="581"/>
      <c r="N87" s="581"/>
      <c r="O87" s="581"/>
      <c r="P87" s="581"/>
      <c r="Q87" s="581"/>
      <c r="R87" s="581"/>
      <c r="S87" s="581">
        <v>85</v>
      </c>
      <c r="T87" s="581">
        <v>100</v>
      </c>
      <c r="U87" s="581"/>
      <c r="V87" s="581"/>
      <c r="W87" s="581"/>
      <c r="X87" s="581"/>
      <c r="Y87" s="580"/>
    </row>
    <row r="88" spans="12:25" x14ac:dyDescent="0.2">
      <c r="L88" s="581"/>
      <c r="M88" s="581"/>
      <c r="N88" s="581"/>
      <c r="O88" s="581"/>
      <c r="P88" s="581"/>
      <c r="Q88" s="581"/>
      <c r="R88" s="581"/>
      <c r="S88" s="581">
        <v>86</v>
      </c>
      <c r="T88" s="581">
        <v>100</v>
      </c>
      <c r="U88" s="581"/>
      <c r="V88" s="581"/>
      <c r="W88" s="581"/>
      <c r="X88" s="581"/>
      <c r="Y88" s="580"/>
    </row>
    <row r="89" spans="12:25" x14ac:dyDescent="0.2">
      <c r="L89" s="581"/>
      <c r="M89" s="581"/>
      <c r="N89" s="581"/>
      <c r="O89" s="581"/>
      <c r="P89" s="581"/>
      <c r="Q89" s="581"/>
      <c r="R89" s="581"/>
      <c r="S89" s="581">
        <v>87</v>
      </c>
      <c r="T89" s="581">
        <v>100</v>
      </c>
      <c r="U89" s="581"/>
      <c r="V89" s="581"/>
      <c r="W89" s="581"/>
      <c r="X89" s="581"/>
      <c r="Y89" s="580"/>
    </row>
    <row r="90" spans="12:25" x14ac:dyDescent="0.2">
      <c r="L90" s="581"/>
      <c r="M90" s="581"/>
      <c r="N90" s="581"/>
      <c r="O90" s="581"/>
      <c r="P90" s="581"/>
      <c r="Q90" s="581"/>
      <c r="R90" s="581"/>
      <c r="S90" s="581">
        <v>88</v>
      </c>
      <c r="T90" s="581">
        <v>100</v>
      </c>
      <c r="U90" s="581"/>
      <c r="V90" s="581"/>
      <c r="W90" s="581"/>
      <c r="X90" s="581"/>
      <c r="Y90" s="580"/>
    </row>
    <row r="91" spans="12:25" x14ac:dyDescent="0.2">
      <c r="L91" s="581"/>
      <c r="M91" s="581"/>
      <c r="N91" s="581"/>
      <c r="O91" s="581"/>
      <c r="P91" s="581"/>
      <c r="Q91" s="581"/>
      <c r="R91" s="581"/>
      <c r="S91" s="581">
        <v>89</v>
      </c>
      <c r="T91" s="581">
        <v>100</v>
      </c>
      <c r="U91" s="581"/>
      <c r="V91" s="581"/>
      <c r="W91" s="581"/>
      <c r="X91" s="581"/>
      <c r="Y91" s="580"/>
    </row>
    <row r="92" spans="12:25" x14ac:dyDescent="0.2">
      <c r="L92" s="581"/>
      <c r="M92" s="581"/>
      <c r="N92" s="581"/>
      <c r="O92" s="581"/>
      <c r="P92" s="581"/>
      <c r="Q92" s="581"/>
      <c r="R92" s="581"/>
      <c r="S92" s="581">
        <v>90</v>
      </c>
      <c r="T92" s="581">
        <v>100</v>
      </c>
      <c r="U92" s="581"/>
      <c r="V92" s="581"/>
      <c r="W92" s="581"/>
      <c r="X92" s="581"/>
      <c r="Y92" s="580"/>
    </row>
    <row r="93" spans="12:25" x14ac:dyDescent="0.2">
      <c r="L93" s="581"/>
      <c r="M93" s="581"/>
      <c r="N93" s="581"/>
      <c r="O93" s="581"/>
      <c r="P93" s="581"/>
      <c r="Q93" s="581"/>
      <c r="R93" s="581"/>
      <c r="S93" s="581">
        <v>91</v>
      </c>
      <c r="T93" s="581">
        <v>100</v>
      </c>
      <c r="U93" s="581"/>
      <c r="V93" s="581"/>
      <c r="W93" s="581"/>
      <c r="X93" s="581"/>
      <c r="Y93" s="580"/>
    </row>
    <row r="94" spans="12:25" x14ac:dyDescent="0.2">
      <c r="L94" s="581"/>
      <c r="M94" s="581"/>
      <c r="N94" s="581"/>
      <c r="O94" s="581"/>
      <c r="P94" s="581"/>
      <c r="Q94" s="581"/>
      <c r="R94" s="581"/>
      <c r="S94" s="581">
        <v>92</v>
      </c>
      <c r="T94" s="581">
        <v>100</v>
      </c>
      <c r="U94" s="581"/>
      <c r="V94" s="581"/>
      <c r="W94" s="581"/>
      <c r="X94" s="581"/>
      <c r="Y94" s="580"/>
    </row>
    <row r="95" spans="12:25" x14ac:dyDescent="0.2">
      <c r="L95" s="581"/>
      <c r="M95" s="581"/>
      <c r="N95" s="581"/>
      <c r="O95" s="581"/>
      <c r="P95" s="581"/>
      <c r="Q95" s="581"/>
      <c r="R95" s="581"/>
      <c r="S95" s="581">
        <v>93</v>
      </c>
      <c r="T95" s="581">
        <v>100</v>
      </c>
      <c r="U95" s="581"/>
      <c r="V95" s="581"/>
      <c r="W95" s="581"/>
      <c r="X95" s="581"/>
      <c r="Y95" s="580"/>
    </row>
    <row r="96" spans="12:25" x14ac:dyDescent="0.2">
      <c r="L96" s="581"/>
      <c r="M96" s="581"/>
      <c r="N96" s="581"/>
      <c r="O96" s="581"/>
      <c r="P96" s="581"/>
      <c r="Q96" s="581"/>
      <c r="R96" s="581"/>
      <c r="S96" s="581">
        <v>94</v>
      </c>
      <c r="T96" s="581">
        <v>100</v>
      </c>
      <c r="U96" s="581"/>
      <c r="V96" s="581"/>
      <c r="W96" s="581"/>
      <c r="X96" s="581"/>
      <c r="Y96" s="580"/>
    </row>
    <row r="97" spans="12:25" x14ac:dyDescent="0.2">
      <c r="L97" s="581"/>
      <c r="M97" s="581"/>
      <c r="N97" s="581"/>
      <c r="O97" s="581"/>
      <c r="P97" s="581"/>
      <c r="Q97" s="581"/>
      <c r="R97" s="581"/>
      <c r="S97" s="581">
        <v>95</v>
      </c>
      <c r="T97" s="581">
        <v>100</v>
      </c>
      <c r="U97" s="581"/>
      <c r="V97" s="581"/>
      <c r="W97" s="581"/>
      <c r="X97" s="581"/>
      <c r="Y97" s="580"/>
    </row>
    <row r="98" spans="12:25" x14ac:dyDescent="0.2">
      <c r="L98" s="581"/>
      <c r="M98" s="581"/>
      <c r="N98" s="581"/>
      <c r="O98" s="581"/>
      <c r="P98" s="581"/>
      <c r="Q98" s="581"/>
      <c r="R98" s="581"/>
      <c r="S98" s="581">
        <v>96</v>
      </c>
      <c r="T98" s="581">
        <v>100</v>
      </c>
      <c r="U98" s="581"/>
      <c r="V98" s="581"/>
      <c r="W98" s="581"/>
      <c r="X98" s="581"/>
      <c r="Y98" s="580"/>
    </row>
    <row r="99" spans="12:25" x14ac:dyDescent="0.2">
      <c r="L99" s="581"/>
      <c r="M99" s="581"/>
      <c r="N99" s="581"/>
      <c r="O99" s="581"/>
      <c r="P99" s="581"/>
      <c r="Q99" s="581"/>
      <c r="R99" s="581"/>
      <c r="S99" s="581">
        <v>97</v>
      </c>
      <c r="T99" s="581">
        <v>100</v>
      </c>
      <c r="U99" s="581"/>
      <c r="V99" s="581"/>
      <c r="W99" s="581"/>
      <c r="X99" s="581"/>
      <c r="Y99" s="580"/>
    </row>
    <row r="100" spans="12:25" x14ac:dyDescent="0.2">
      <c r="L100" s="581"/>
      <c r="M100" s="581"/>
      <c r="N100" s="581"/>
      <c r="O100" s="581"/>
      <c r="P100" s="581"/>
      <c r="Q100" s="581"/>
      <c r="R100" s="581"/>
      <c r="S100" s="581">
        <v>98</v>
      </c>
      <c r="T100" s="581">
        <v>100</v>
      </c>
      <c r="U100" s="581"/>
      <c r="V100" s="581"/>
      <c r="W100" s="581"/>
      <c r="X100" s="581"/>
      <c r="Y100" s="580"/>
    </row>
    <row r="101" spans="12:25" x14ac:dyDescent="0.2">
      <c r="L101" s="581"/>
      <c r="M101" s="581"/>
      <c r="N101" s="581"/>
      <c r="O101" s="581"/>
      <c r="P101" s="581"/>
      <c r="Q101" s="581"/>
      <c r="R101" s="581"/>
      <c r="S101" s="581">
        <v>99</v>
      </c>
      <c r="T101" s="581">
        <v>100</v>
      </c>
      <c r="U101" s="581"/>
      <c r="V101" s="581"/>
      <c r="W101" s="581"/>
      <c r="X101" s="581"/>
      <c r="Y101" s="580"/>
    </row>
    <row r="102" spans="12:25" x14ac:dyDescent="0.2">
      <c r="L102" s="581"/>
      <c r="M102" s="581"/>
      <c r="N102" s="581"/>
      <c r="O102" s="581"/>
      <c r="P102" s="581"/>
      <c r="Q102" s="581"/>
      <c r="R102" s="581"/>
      <c r="S102" s="581">
        <v>100</v>
      </c>
      <c r="T102" s="581">
        <v>100</v>
      </c>
      <c r="U102" s="581">
        <v>100</v>
      </c>
      <c r="V102" s="581"/>
      <c r="W102" s="581"/>
      <c r="X102" s="581"/>
      <c r="Y102" s="580"/>
    </row>
    <row r="103" spans="12:25" x14ac:dyDescent="0.2">
      <c r="L103" s="581"/>
      <c r="M103" s="581"/>
      <c r="N103" s="581"/>
      <c r="O103" s="581"/>
      <c r="P103" s="581"/>
      <c r="Q103" s="581"/>
      <c r="R103" s="581"/>
      <c r="S103" s="581">
        <v>101</v>
      </c>
      <c r="T103" s="581">
        <v>150</v>
      </c>
      <c r="U103" s="581"/>
      <c r="V103" s="581"/>
      <c r="W103" s="581"/>
      <c r="X103" s="581"/>
      <c r="Y103" s="580"/>
    </row>
    <row r="104" spans="12:25" x14ac:dyDescent="0.2">
      <c r="L104" s="581"/>
      <c r="M104" s="581"/>
      <c r="N104" s="581"/>
      <c r="O104" s="581"/>
      <c r="P104" s="581"/>
      <c r="Q104" s="581"/>
      <c r="R104" s="581"/>
      <c r="S104" s="581">
        <v>102</v>
      </c>
      <c r="T104" s="581">
        <v>150</v>
      </c>
      <c r="U104" s="581"/>
      <c r="V104" s="581"/>
      <c r="W104" s="581"/>
      <c r="X104" s="581"/>
      <c r="Y104" s="580"/>
    </row>
    <row r="105" spans="12:25" x14ac:dyDescent="0.2">
      <c r="L105" s="581"/>
      <c r="M105" s="581"/>
      <c r="N105" s="581"/>
      <c r="O105" s="581"/>
      <c r="P105" s="581"/>
      <c r="Q105" s="581"/>
      <c r="R105" s="581"/>
      <c r="S105" s="581">
        <v>103</v>
      </c>
      <c r="T105" s="581">
        <v>150</v>
      </c>
      <c r="U105" s="581"/>
      <c r="V105" s="581"/>
      <c r="W105" s="581"/>
      <c r="X105" s="581"/>
      <c r="Y105" s="580"/>
    </row>
    <row r="106" spans="12:25" x14ac:dyDescent="0.2">
      <c r="L106" s="581"/>
      <c r="M106" s="581"/>
      <c r="N106" s="581"/>
      <c r="O106" s="581"/>
      <c r="P106" s="581"/>
      <c r="Q106" s="581"/>
      <c r="R106" s="581"/>
      <c r="S106" s="581">
        <v>104</v>
      </c>
      <c r="T106" s="581">
        <v>150</v>
      </c>
      <c r="U106" s="581"/>
      <c r="V106" s="581"/>
      <c r="W106" s="581"/>
      <c r="X106" s="581"/>
      <c r="Y106" s="580"/>
    </row>
    <row r="107" spans="12:25" x14ac:dyDescent="0.2">
      <c r="L107" s="581"/>
      <c r="M107" s="581"/>
      <c r="N107" s="581"/>
      <c r="O107" s="581"/>
      <c r="P107" s="581"/>
      <c r="Q107" s="581"/>
      <c r="R107" s="581"/>
      <c r="S107" s="581">
        <v>105</v>
      </c>
      <c r="T107" s="581">
        <v>150</v>
      </c>
      <c r="U107" s="581"/>
      <c r="V107" s="581"/>
      <c r="W107" s="581"/>
      <c r="X107" s="581"/>
      <c r="Y107" s="580"/>
    </row>
    <row r="108" spans="12:25" x14ac:dyDescent="0.2">
      <c r="L108" s="581"/>
      <c r="M108" s="581"/>
      <c r="N108" s="581"/>
      <c r="O108" s="581"/>
      <c r="P108" s="581"/>
      <c r="Q108" s="581"/>
      <c r="R108" s="581"/>
      <c r="S108" s="581">
        <v>106</v>
      </c>
      <c r="T108" s="581">
        <v>150</v>
      </c>
      <c r="U108" s="581"/>
      <c r="V108" s="581"/>
      <c r="W108" s="581"/>
      <c r="X108" s="581"/>
      <c r="Y108" s="580"/>
    </row>
    <row r="109" spans="12:25" x14ac:dyDescent="0.2">
      <c r="L109" s="581"/>
      <c r="M109" s="581"/>
      <c r="N109" s="581"/>
      <c r="O109" s="581"/>
      <c r="P109" s="581"/>
      <c r="Q109" s="581"/>
      <c r="R109" s="581"/>
      <c r="S109" s="581">
        <v>107</v>
      </c>
      <c r="T109" s="581">
        <v>150</v>
      </c>
      <c r="U109" s="581"/>
      <c r="V109" s="581"/>
      <c r="W109" s="581"/>
      <c r="X109" s="581"/>
      <c r="Y109" s="580"/>
    </row>
    <row r="110" spans="12:25" x14ac:dyDescent="0.2">
      <c r="L110" s="581"/>
      <c r="M110" s="581"/>
      <c r="N110" s="581"/>
      <c r="O110" s="581"/>
      <c r="P110" s="581"/>
      <c r="Q110" s="581"/>
      <c r="R110" s="581"/>
      <c r="S110" s="581">
        <v>108</v>
      </c>
      <c r="T110" s="581">
        <v>150</v>
      </c>
      <c r="U110" s="581"/>
      <c r="V110" s="581"/>
      <c r="W110" s="581"/>
      <c r="X110" s="581"/>
      <c r="Y110" s="580"/>
    </row>
    <row r="111" spans="12:25" x14ac:dyDescent="0.2">
      <c r="L111" s="581"/>
      <c r="M111" s="581"/>
      <c r="N111" s="581"/>
      <c r="O111" s="581"/>
      <c r="P111" s="581"/>
      <c r="Q111" s="581"/>
      <c r="R111" s="581"/>
      <c r="S111" s="581">
        <v>109</v>
      </c>
      <c r="T111" s="581">
        <v>150</v>
      </c>
      <c r="U111" s="581"/>
      <c r="V111" s="581"/>
      <c r="W111" s="581"/>
      <c r="X111" s="581"/>
      <c r="Y111" s="580"/>
    </row>
    <row r="112" spans="12:25" x14ac:dyDescent="0.2">
      <c r="L112" s="581"/>
      <c r="M112" s="581"/>
      <c r="N112" s="581"/>
      <c r="O112" s="581"/>
      <c r="P112" s="581"/>
      <c r="Q112" s="581"/>
      <c r="R112" s="581"/>
      <c r="S112" s="581">
        <v>110</v>
      </c>
      <c r="T112" s="581">
        <v>150</v>
      </c>
      <c r="U112" s="581"/>
      <c r="V112" s="581"/>
      <c r="W112" s="581"/>
      <c r="X112" s="581"/>
      <c r="Y112" s="580"/>
    </row>
    <row r="113" spans="12:25" x14ac:dyDescent="0.2">
      <c r="L113" s="581"/>
      <c r="M113" s="581"/>
      <c r="N113" s="581"/>
      <c r="O113" s="581"/>
      <c r="P113" s="581"/>
      <c r="Q113" s="581"/>
      <c r="R113" s="581"/>
      <c r="S113" s="581">
        <v>111</v>
      </c>
      <c r="T113" s="581">
        <v>150</v>
      </c>
      <c r="U113" s="581"/>
      <c r="V113" s="581"/>
      <c r="W113" s="581"/>
      <c r="X113" s="581"/>
      <c r="Y113" s="580"/>
    </row>
    <row r="114" spans="12:25" x14ac:dyDescent="0.2">
      <c r="L114" s="581"/>
      <c r="M114" s="581"/>
      <c r="N114" s="581"/>
      <c r="O114" s="581"/>
      <c r="P114" s="581"/>
      <c r="Q114" s="581"/>
      <c r="R114" s="581"/>
      <c r="S114" s="581">
        <v>112</v>
      </c>
      <c r="T114" s="581">
        <v>150</v>
      </c>
      <c r="U114" s="581"/>
      <c r="V114" s="581"/>
      <c r="W114" s="581"/>
      <c r="X114" s="581"/>
      <c r="Y114" s="580"/>
    </row>
    <row r="115" spans="12:25" x14ac:dyDescent="0.2">
      <c r="L115" s="581"/>
      <c r="M115" s="581"/>
      <c r="N115" s="581"/>
      <c r="O115" s="581"/>
      <c r="P115" s="581"/>
      <c r="Q115" s="581"/>
      <c r="R115" s="581"/>
      <c r="S115" s="581">
        <v>113</v>
      </c>
      <c r="T115" s="581">
        <v>150</v>
      </c>
      <c r="U115" s="581"/>
      <c r="V115" s="581"/>
      <c r="W115" s="581"/>
      <c r="X115" s="581"/>
      <c r="Y115" s="580"/>
    </row>
    <row r="116" spans="12:25" x14ac:dyDescent="0.2">
      <c r="L116" s="581"/>
      <c r="M116" s="581"/>
      <c r="N116" s="581"/>
      <c r="O116" s="581"/>
      <c r="P116" s="581"/>
      <c r="Q116" s="581"/>
      <c r="R116" s="581"/>
      <c r="S116" s="581">
        <v>114</v>
      </c>
      <c r="T116" s="581">
        <v>150</v>
      </c>
      <c r="U116" s="581"/>
      <c r="V116" s="581"/>
      <c r="W116" s="581"/>
      <c r="X116" s="581"/>
      <c r="Y116" s="580"/>
    </row>
    <row r="117" spans="12:25" x14ac:dyDescent="0.2">
      <c r="L117" s="581"/>
      <c r="M117" s="581"/>
      <c r="N117" s="581"/>
      <c r="O117" s="581"/>
      <c r="P117" s="581"/>
      <c r="Q117" s="581"/>
      <c r="R117" s="581"/>
      <c r="S117" s="581">
        <v>115</v>
      </c>
      <c r="T117" s="581">
        <v>150</v>
      </c>
      <c r="U117" s="581"/>
      <c r="V117" s="581"/>
      <c r="W117" s="581"/>
      <c r="X117" s="581"/>
      <c r="Y117" s="580"/>
    </row>
    <row r="118" spans="12:25" x14ac:dyDescent="0.2">
      <c r="L118" s="581"/>
      <c r="M118" s="581"/>
      <c r="N118" s="581"/>
      <c r="O118" s="581"/>
      <c r="P118" s="581"/>
      <c r="Q118" s="581"/>
      <c r="R118" s="581"/>
      <c r="S118" s="581">
        <v>116</v>
      </c>
      <c r="T118" s="581">
        <v>150</v>
      </c>
      <c r="U118" s="581"/>
      <c r="V118" s="581"/>
      <c r="W118" s="581"/>
      <c r="X118" s="581"/>
      <c r="Y118" s="580"/>
    </row>
    <row r="119" spans="12:25" x14ac:dyDescent="0.2">
      <c r="L119" s="581"/>
      <c r="M119" s="581"/>
      <c r="N119" s="581"/>
      <c r="O119" s="581"/>
      <c r="P119" s="581"/>
      <c r="Q119" s="581"/>
      <c r="R119" s="581"/>
      <c r="S119" s="581">
        <v>117</v>
      </c>
      <c r="T119" s="581">
        <v>150</v>
      </c>
      <c r="U119" s="581"/>
      <c r="V119" s="581"/>
      <c r="W119" s="581"/>
      <c r="X119" s="581"/>
      <c r="Y119" s="580"/>
    </row>
    <row r="120" spans="12:25" x14ac:dyDescent="0.2">
      <c r="L120" s="581"/>
      <c r="M120" s="581"/>
      <c r="N120" s="581"/>
      <c r="O120" s="581"/>
      <c r="P120" s="581"/>
      <c r="Q120" s="581"/>
      <c r="R120" s="581"/>
      <c r="S120" s="581">
        <v>118</v>
      </c>
      <c r="T120" s="581">
        <v>150</v>
      </c>
      <c r="U120" s="581"/>
      <c r="V120" s="581"/>
      <c r="W120" s="581"/>
      <c r="X120" s="581"/>
      <c r="Y120" s="580"/>
    </row>
    <row r="121" spans="12:25" x14ac:dyDescent="0.2">
      <c r="L121" s="581"/>
      <c r="M121" s="581"/>
      <c r="N121" s="581"/>
      <c r="O121" s="581"/>
      <c r="P121" s="581"/>
      <c r="Q121" s="581"/>
      <c r="R121" s="581"/>
      <c r="S121" s="581">
        <v>119</v>
      </c>
      <c r="T121" s="581">
        <v>150</v>
      </c>
      <c r="U121" s="581"/>
      <c r="V121" s="581"/>
      <c r="W121" s="581"/>
      <c r="X121" s="581"/>
      <c r="Y121" s="580"/>
    </row>
    <row r="122" spans="12:25" x14ac:dyDescent="0.2">
      <c r="L122" s="581"/>
      <c r="M122" s="581"/>
      <c r="N122" s="581"/>
      <c r="O122" s="581"/>
      <c r="P122" s="581"/>
      <c r="Q122" s="581"/>
      <c r="R122" s="581"/>
      <c r="S122" s="581">
        <v>120</v>
      </c>
      <c r="T122" s="581">
        <v>150</v>
      </c>
      <c r="U122" s="581"/>
      <c r="V122" s="581"/>
      <c r="W122" s="581"/>
      <c r="X122" s="581"/>
      <c r="Y122" s="580"/>
    </row>
    <row r="123" spans="12:25" x14ac:dyDescent="0.2">
      <c r="L123" s="581"/>
      <c r="M123" s="581"/>
      <c r="N123" s="581"/>
      <c r="O123" s="581"/>
      <c r="P123" s="581"/>
      <c r="Q123" s="581"/>
      <c r="R123" s="581"/>
      <c r="S123" s="581">
        <v>121</v>
      </c>
      <c r="T123" s="581">
        <v>150</v>
      </c>
      <c r="U123" s="581"/>
      <c r="V123" s="581"/>
      <c r="W123" s="581"/>
      <c r="X123" s="581"/>
      <c r="Y123" s="580"/>
    </row>
    <row r="124" spans="12:25" x14ac:dyDescent="0.2">
      <c r="L124" s="581"/>
      <c r="M124" s="581"/>
      <c r="N124" s="581"/>
      <c r="O124" s="581"/>
      <c r="P124" s="581"/>
      <c r="Q124" s="581"/>
      <c r="R124" s="581"/>
      <c r="S124" s="581">
        <v>122</v>
      </c>
      <c r="T124" s="581">
        <v>150</v>
      </c>
      <c r="U124" s="581"/>
      <c r="V124" s="581"/>
      <c r="W124" s="581"/>
      <c r="X124" s="581"/>
      <c r="Y124" s="580"/>
    </row>
    <row r="125" spans="12:25" x14ac:dyDescent="0.2">
      <c r="L125" s="581"/>
      <c r="M125" s="581"/>
      <c r="N125" s="581"/>
      <c r="O125" s="581"/>
      <c r="P125" s="581"/>
      <c r="Q125" s="581"/>
      <c r="R125" s="581"/>
      <c r="S125" s="581">
        <v>123</v>
      </c>
      <c r="T125" s="581">
        <v>150</v>
      </c>
      <c r="U125" s="581"/>
      <c r="V125" s="581"/>
      <c r="W125" s="581"/>
      <c r="X125" s="581"/>
      <c r="Y125" s="580"/>
    </row>
    <row r="126" spans="12:25" x14ac:dyDescent="0.2">
      <c r="L126" s="581"/>
      <c r="M126" s="581"/>
      <c r="N126" s="581"/>
      <c r="O126" s="581"/>
      <c r="P126" s="581"/>
      <c r="Q126" s="581"/>
      <c r="R126" s="581"/>
      <c r="S126" s="581">
        <v>124</v>
      </c>
      <c r="T126" s="581">
        <v>150</v>
      </c>
      <c r="U126" s="581"/>
      <c r="V126" s="581"/>
      <c r="W126" s="581"/>
      <c r="X126" s="581"/>
      <c r="Y126" s="580"/>
    </row>
    <row r="127" spans="12:25" x14ac:dyDescent="0.2">
      <c r="L127" s="581"/>
      <c r="M127" s="581"/>
      <c r="N127" s="581"/>
      <c r="O127" s="581"/>
      <c r="P127" s="581"/>
      <c r="Q127" s="581"/>
      <c r="R127" s="581"/>
      <c r="S127" s="581">
        <v>125</v>
      </c>
      <c r="T127" s="581">
        <v>150</v>
      </c>
      <c r="U127" s="581"/>
      <c r="V127" s="581"/>
      <c r="W127" s="581"/>
      <c r="X127" s="581"/>
      <c r="Y127" s="580"/>
    </row>
    <row r="128" spans="12:25" x14ac:dyDescent="0.2">
      <c r="L128" s="581"/>
      <c r="M128" s="581"/>
      <c r="N128" s="581"/>
      <c r="O128" s="581"/>
      <c r="P128" s="581"/>
      <c r="Q128" s="581"/>
      <c r="R128" s="581"/>
      <c r="S128" s="581">
        <v>126</v>
      </c>
      <c r="T128" s="581">
        <v>150</v>
      </c>
      <c r="U128" s="581"/>
      <c r="V128" s="581"/>
      <c r="W128" s="581"/>
      <c r="X128" s="581"/>
      <c r="Y128" s="580"/>
    </row>
    <row r="129" spans="12:25" x14ac:dyDescent="0.2">
      <c r="L129" s="581"/>
      <c r="M129" s="581"/>
      <c r="N129" s="581"/>
      <c r="O129" s="581"/>
      <c r="P129" s="581"/>
      <c r="Q129" s="581"/>
      <c r="R129" s="581"/>
      <c r="S129" s="581">
        <v>127</v>
      </c>
      <c r="T129" s="581">
        <v>150</v>
      </c>
      <c r="U129" s="581"/>
      <c r="V129" s="581"/>
      <c r="W129" s="581"/>
      <c r="X129" s="581"/>
      <c r="Y129" s="580"/>
    </row>
    <row r="130" spans="12:25" x14ac:dyDescent="0.2">
      <c r="L130" s="581"/>
      <c r="M130" s="581"/>
      <c r="N130" s="581"/>
      <c r="O130" s="581"/>
      <c r="P130" s="581"/>
      <c r="Q130" s="581"/>
      <c r="R130" s="581"/>
      <c r="S130" s="581">
        <v>128</v>
      </c>
      <c r="T130" s="581">
        <v>150</v>
      </c>
      <c r="U130" s="581"/>
      <c r="V130" s="581"/>
      <c r="W130" s="581"/>
      <c r="X130" s="581"/>
      <c r="Y130" s="580"/>
    </row>
    <row r="131" spans="12:25" x14ac:dyDescent="0.2">
      <c r="L131" s="581"/>
      <c r="M131" s="581"/>
      <c r="N131" s="581"/>
      <c r="O131" s="581"/>
      <c r="P131" s="581"/>
      <c r="Q131" s="581"/>
      <c r="R131" s="581"/>
      <c r="S131" s="581">
        <v>129</v>
      </c>
      <c r="T131" s="581">
        <v>150</v>
      </c>
      <c r="U131" s="581"/>
      <c r="V131" s="581"/>
      <c r="W131" s="581"/>
      <c r="X131" s="581"/>
      <c r="Y131" s="580"/>
    </row>
    <row r="132" spans="12:25" x14ac:dyDescent="0.2">
      <c r="L132" s="581"/>
      <c r="M132" s="581"/>
      <c r="N132" s="581"/>
      <c r="O132" s="581"/>
      <c r="P132" s="581"/>
      <c r="Q132" s="581"/>
      <c r="R132" s="581"/>
      <c r="S132" s="581">
        <v>130</v>
      </c>
      <c r="T132" s="581">
        <v>150</v>
      </c>
      <c r="U132" s="581"/>
      <c r="V132" s="581"/>
      <c r="W132" s="581"/>
      <c r="X132" s="581"/>
      <c r="Y132" s="580"/>
    </row>
    <row r="133" spans="12:25" x14ac:dyDescent="0.2">
      <c r="L133" s="581"/>
      <c r="M133" s="581"/>
      <c r="N133" s="581"/>
      <c r="O133" s="581"/>
      <c r="P133" s="581"/>
      <c r="Q133" s="581"/>
      <c r="R133" s="581"/>
      <c r="S133" s="581">
        <v>131</v>
      </c>
      <c r="T133" s="581">
        <v>150</v>
      </c>
      <c r="U133" s="581"/>
      <c r="V133" s="581"/>
      <c r="W133" s="581"/>
      <c r="X133" s="581"/>
      <c r="Y133" s="580"/>
    </row>
    <row r="134" spans="12:25" x14ac:dyDescent="0.2">
      <c r="L134" s="581"/>
      <c r="M134" s="581"/>
      <c r="N134" s="581"/>
      <c r="O134" s="581"/>
      <c r="P134" s="581"/>
      <c r="Q134" s="581"/>
      <c r="R134" s="581"/>
      <c r="S134" s="581">
        <v>132</v>
      </c>
      <c r="T134" s="581">
        <v>150</v>
      </c>
      <c r="U134" s="581"/>
      <c r="V134" s="581"/>
      <c r="W134" s="581"/>
      <c r="X134" s="581"/>
      <c r="Y134" s="580"/>
    </row>
    <row r="135" spans="12:25" x14ac:dyDescent="0.2">
      <c r="L135" s="581"/>
      <c r="M135" s="581"/>
      <c r="N135" s="581"/>
      <c r="O135" s="581"/>
      <c r="P135" s="581"/>
      <c r="Q135" s="581"/>
      <c r="R135" s="581"/>
      <c r="S135" s="581">
        <v>133</v>
      </c>
      <c r="T135" s="581">
        <v>150</v>
      </c>
      <c r="U135" s="581"/>
      <c r="V135" s="581"/>
      <c r="W135" s="581"/>
      <c r="X135" s="581"/>
      <c r="Y135" s="580"/>
    </row>
    <row r="136" spans="12:25" x14ac:dyDescent="0.2">
      <c r="L136" s="581"/>
      <c r="M136" s="581"/>
      <c r="N136" s="581"/>
      <c r="O136" s="581"/>
      <c r="P136" s="581"/>
      <c r="Q136" s="581"/>
      <c r="R136" s="581"/>
      <c r="S136" s="581">
        <v>134</v>
      </c>
      <c r="T136" s="581">
        <v>150</v>
      </c>
      <c r="U136" s="581"/>
      <c r="V136" s="581"/>
      <c r="W136" s="581"/>
      <c r="X136" s="581"/>
      <c r="Y136" s="580"/>
    </row>
    <row r="137" spans="12:25" x14ac:dyDescent="0.2">
      <c r="L137" s="581"/>
      <c r="M137" s="581"/>
      <c r="N137" s="581"/>
      <c r="O137" s="581"/>
      <c r="P137" s="581"/>
      <c r="Q137" s="581"/>
      <c r="R137" s="581"/>
      <c r="S137" s="581">
        <v>135</v>
      </c>
      <c r="T137" s="581">
        <v>150</v>
      </c>
      <c r="U137" s="581"/>
      <c r="V137" s="581"/>
      <c r="W137" s="581"/>
      <c r="X137" s="581"/>
      <c r="Y137" s="580"/>
    </row>
    <row r="138" spans="12:25" x14ac:dyDescent="0.2">
      <c r="L138" s="581"/>
      <c r="M138" s="581"/>
      <c r="N138" s="581"/>
      <c r="O138" s="581"/>
      <c r="P138" s="581"/>
      <c r="Q138" s="581"/>
      <c r="R138" s="581"/>
      <c r="S138" s="581">
        <v>136</v>
      </c>
      <c r="T138" s="581">
        <v>150</v>
      </c>
      <c r="U138" s="581"/>
      <c r="V138" s="581"/>
      <c r="W138" s="581"/>
      <c r="X138" s="581"/>
      <c r="Y138" s="580"/>
    </row>
    <row r="139" spans="12:25" x14ac:dyDescent="0.2">
      <c r="L139" s="581"/>
      <c r="M139" s="581"/>
      <c r="N139" s="581"/>
      <c r="O139" s="581"/>
      <c r="P139" s="581"/>
      <c r="Q139" s="581"/>
      <c r="R139" s="581"/>
      <c r="S139" s="581">
        <v>137</v>
      </c>
      <c r="T139" s="581">
        <v>150</v>
      </c>
      <c r="U139" s="581"/>
      <c r="V139" s="581"/>
      <c r="W139" s="581"/>
      <c r="X139" s="581"/>
      <c r="Y139" s="580"/>
    </row>
    <row r="140" spans="12:25" x14ac:dyDescent="0.2">
      <c r="L140" s="581"/>
      <c r="M140" s="581"/>
      <c r="N140" s="581"/>
      <c r="O140" s="581"/>
      <c r="P140" s="581"/>
      <c r="Q140" s="581"/>
      <c r="R140" s="581"/>
      <c r="S140" s="581">
        <v>138</v>
      </c>
      <c r="T140" s="581">
        <v>150</v>
      </c>
      <c r="U140" s="581"/>
      <c r="V140" s="581"/>
      <c r="W140" s="581"/>
      <c r="X140" s="581"/>
      <c r="Y140" s="580"/>
    </row>
    <row r="141" spans="12:25" x14ac:dyDescent="0.2">
      <c r="L141" s="581"/>
      <c r="M141" s="581"/>
      <c r="N141" s="581"/>
      <c r="O141" s="581"/>
      <c r="P141" s="581"/>
      <c r="Q141" s="581"/>
      <c r="R141" s="581"/>
      <c r="S141" s="581">
        <v>139</v>
      </c>
      <c r="T141" s="581">
        <v>150</v>
      </c>
      <c r="U141" s="581"/>
      <c r="V141" s="581"/>
      <c r="W141" s="581"/>
      <c r="X141" s="581"/>
      <c r="Y141" s="580"/>
    </row>
    <row r="142" spans="12:25" x14ac:dyDescent="0.2">
      <c r="L142" s="581"/>
      <c r="M142" s="581"/>
      <c r="N142" s="581"/>
      <c r="O142" s="581"/>
      <c r="P142" s="581"/>
      <c r="Q142" s="581"/>
      <c r="R142" s="581"/>
      <c r="S142" s="581">
        <v>140</v>
      </c>
      <c r="T142" s="581">
        <v>150</v>
      </c>
      <c r="U142" s="581"/>
      <c r="V142" s="581"/>
      <c r="W142" s="581"/>
      <c r="X142" s="581"/>
      <c r="Y142" s="580"/>
    </row>
    <row r="143" spans="12:25" x14ac:dyDescent="0.2">
      <c r="L143" s="581"/>
      <c r="M143" s="581"/>
      <c r="N143" s="581"/>
      <c r="O143" s="581"/>
      <c r="P143" s="581"/>
      <c r="Q143" s="581"/>
      <c r="R143" s="581"/>
      <c r="S143" s="581">
        <v>141</v>
      </c>
      <c r="T143" s="581">
        <v>150</v>
      </c>
      <c r="U143" s="581"/>
      <c r="V143" s="581"/>
      <c r="W143" s="581"/>
      <c r="X143" s="581"/>
      <c r="Y143" s="580"/>
    </row>
    <row r="144" spans="12:25" x14ac:dyDescent="0.2">
      <c r="L144" s="581"/>
      <c r="M144" s="581"/>
      <c r="N144" s="581"/>
      <c r="O144" s="581"/>
      <c r="P144" s="581"/>
      <c r="Q144" s="581"/>
      <c r="R144" s="581"/>
      <c r="S144" s="581">
        <v>142</v>
      </c>
      <c r="T144" s="581">
        <v>150</v>
      </c>
      <c r="U144" s="581"/>
      <c r="V144" s="581"/>
      <c r="W144" s="581"/>
      <c r="X144" s="581"/>
      <c r="Y144" s="580"/>
    </row>
    <row r="145" spans="12:25" x14ac:dyDescent="0.2">
      <c r="L145" s="581"/>
      <c r="M145" s="581"/>
      <c r="N145" s="581"/>
      <c r="O145" s="581"/>
      <c r="P145" s="581"/>
      <c r="Q145" s="581"/>
      <c r="R145" s="581"/>
      <c r="S145" s="581">
        <v>143</v>
      </c>
      <c r="T145" s="581">
        <v>150</v>
      </c>
      <c r="U145" s="581"/>
      <c r="V145" s="581"/>
      <c r="W145" s="581"/>
      <c r="X145" s="581"/>
      <c r="Y145" s="580"/>
    </row>
    <row r="146" spans="12:25" x14ac:dyDescent="0.2">
      <c r="L146" s="581"/>
      <c r="M146" s="581"/>
      <c r="N146" s="581"/>
      <c r="O146" s="581"/>
      <c r="P146" s="581"/>
      <c r="Q146" s="581"/>
      <c r="R146" s="581"/>
      <c r="S146" s="581">
        <v>144</v>
      </c>
      <c r="T146" s="581">
        <v>150</v>
      </c>
      <c r="U146" s="581"/>
      <c r="V146" s="581"/>
      <c r="W146" s="581"/>
      <c r="X146" s="581"/>
      <c r="Y146" s="580"/>
    </row>
    <row r="147" spans="12:25" x14ac:dyDescent="0.2">
      <c r="L147" s="581"/>
      <c r="M147" s="581"/>
      <c r="N147" s="581"/>
      <c r="O147" s="581"/>
      <c r="P147" s="581"/>
      <c r="Q147" s="581"/>
      <c r="R147" s="581"/>
      <c r="S147" s="581">
        <v>145</v>
      </c>
      <c r="T147" s="581">
        <v>150</v>
      </c>
      <c r="U147" s="581"/>
      <c r="V147" s="581"/>
      <c r="W147" s="581"/>
      <c r="X147" s="581"/>
      <c r="Y147" s="580"/>
    </row>
    <row r="148" spans="12:25" x14ac:dyDescent="0.2">
      <c r="L148" s="581"/>
      <c r="M148" s="581"/>
      <c r="N148" s="581"/>
      <c r="O148" s="581"/>
      <c r="P148" s="581"/>
      <c r="Q148" s="581"/>
      <c r="R148" s="581"/>
      <c r="S148" s="581">
        <v>146</v>
      </c>
      <c r="T148" s="581">
        <v>150</v>
      </c>
      <c r="U148" s="581"/>
      <c r="V148" s="581"/>
      <c r="W148" s="581"/>
      <c r="X148" s="581"/>
      <c r="Y148" s="580"/>
    </row>
    <row r="149" spans="12:25" x14ac:dyDescent="0.2">
      <c r="L149" s="581"/>
      <c r="M149" s="581"/>
      <c r="N149" s="581"/>
      <c r="O149" s="581"/>
      <c r="P149" s="581"/>
      <c r="Q149" s="581"/>
      <c r="R149" s="581"/>
      <c r="S149" s="581">
        <v>147</v>
      </c>
      <c r="T149" s="581">
        <v>150</v>
      </c>
      <c r="U149" s="581"/>
      <c r="V149" s="581"/>
      <c r="W149" s="581"/>
      <c r="X149" s="581"/>
      <c r="Y149" s="580"/>
    </row>
    <row r="150" spans="12:25" x14ac:dyDescent="0.2">
      <c r="L150" s="581"/>
      <c r="M150" s="581"/>
      <c r="N150" s="581"/>
      <c r="O150" s="581"/>
      <c r="P150" s="581"/>
      <c r="Q150" s="581"/>
      <c r="R150" s="581"/>
      <c r="S150" s="581">
        <v>148</v>
      </c>
      <c r="T150" s="581">
        <v>150</v>
      </c>
      <c r="U150" s="581"/>
      <c r="V150" s="581"/>
      <c r="W150" s="581"/>
      <c r="X150" s="581"/>
      <c r="Y150" s="580"/>
    </row>
    <row r="151" spans="12:25" x14ac:dyDescent="0.2">
      <c r="L151" s="581"/>
      <c r="M151" s="581"/>
      <c r="N151" s="581"/>
      <c r="O151" s="581"/>
      <c r="P151" s="581"/>
      <c r="Q151" s="581"/>
      <c r="R151" s="581"/>
      <c r="S151" s="581">
        <v>149</v>
      </c>
      <c r="T151" s="581">
        <v>150</v>
      </c>
      <c r="U151" s="581"/>
      <c r="V151" s="581"/>
      <c r="W151" s="581"/>
      <c r="X151" s="581"/>
      <c r="Y151" s="580"/>
    </row>
    <row r="152" spans="12:25" x14ac:dyDescent="0.2">
      <c r="L152" s="581"/>
      <c r="M152" s="581"/>
      <c r="N152" s="581"/>
      <c r="O152" s="581"/>
      <c r="P152" s="581"/>
      <c r="Q152" s="581"/>
      <c r="R152" s="581"/>
      <c r="S152" s="581">
        <v>150</v>
      </c>
      <c r="T152" s="581">
        <v>150</v>
      </c>
      <c r="U152" s="581">
        <v>150</v>
      </c>
      <c r="V152" s="581"/>
      <c r="W152" s="581"/>
      <c r="X152" s="581"/>
      <c r="Y152" s="580"/>
    </row>
    <row r="153" spans="12:25" x14ac:dyDescent="0.2">
      <c r="L153" s="581"/>
      <c r="M153" s="581"/>
      <c r="N153" s="581"/>
      <c r="O153" s="581"/>
      <c r="P153" s="581"/>
      <c r="Q153" s="581"/>
      <c r="R153" s="581"/>
      <c r="S153" s="581">
        <v>151</v>
      </c>
      <c r="T153" s="581">
        <v>150</v>
      </c>
      <c r="U153" s="581"/>
      <c r="V153" s="581"/>
      <c r="W153" s="581"/>
      <c r="X153" s="581"/>
      <c r="Y153" s="580"/>
    </row>
    <row r="154" spans="12:25" x14ac:dyDescent="0.2">
      <c r="L154" s="581"/>
      <c r="M154" s="581"/>
      <c r="N154" s="581"/>
      <c r="O154" s="581"/>
      <c r="P154" s="581"/>
      <c r="Q154" s="581"/>
      <c r="R154" s="581"/>
      <c r="S154" s="581">
        <v>152</v>
      </c>
      <c r="T154" s="581">
        <v>150</v>
      </c>
      <c r="U154" s="581"/>
      <c r="V154" s="581"/>
      <c r="W154" s="581"/>
      <c r="X154" s="581"/>
      <c r="Y154" s="580"/>
    </row>
    <row r="155" spans="12:25" x14ac:dyDescent="0.2">
      <c r="L155" s="581"/>
      <c r="M155" s="581"/>
      <c r="N155" s="581"/>
      <c r="O155" s="581"/>
      <c r="P155" s="581"/>
      <c r="Q155" s="581"/>
      <c r="R155" s="581"/>
      <c r="S155" s="581">
        <v>153</v>
      </c>
      <c r="T155" s="581">
        <v>150</v>
      </c>
      <c r="U155" s="581"/>
      <c r="V155" s="581"/>
      <c r="W155" s="581"/>
      <c r="X155" s="581"/>
      <c r="Y155" s="580"/>
    </row>
    <row r="156" spans="12:25" x14ac:dyDescent="0.2">
      <c r="L156" s="581"/>
      <c r="M156" s="581"/>
      <c r="N156" s="581"/>
      <c r="O156" s="581"/>
      <c r="P156" s="581"/>
      <c r="Q156" s="581"/>
      <c r="R156" s="581"/>
      <c r="S156" s="581">
        <v>154</v>
      </c>
      <c r="T156" s="581">
        <v>150</v>
      </c>
      <c r="U156" s="581"/>
      <c r="V156" s="581"/>
      <c r="W156" s="581"/>
      <c r="X156" s="581"/>
      <c r="Y156" s="580"/>
    </row>
    <row r="157" spans="12:25" x14ac:dyDescent="0.2">
      <c r="L157" s="581"/>
      <c r="M157" s="581"/>
      <c r="N157" s="581"/>
      <c r="O157" s="581"/>
      <c r="P157" s="581"/>
      <c r="Q157" s="581"/>
      <c r="R157" s="581"/>
      <c r="S157" s="581">
        <v>155</v>
      </c>
      <c r="T157" s="581">
        <v>150</v>
      </c>
      <c r="U157" s="581"/>
      <c r="V157" s="581"/>
      <c r="W157" s="581"/>
      <c r="X157" s="581"/>
      <c r="Y157" s="580"/>
    </row>
    <row r="158" spans="12:25" x14ac:dyDescent="0.2">
      <c r="L158" s="581"/>
      <c r="M158" s="581"/>
      <c r="N158" s="581"/>
      <c r="O158" s="581"/>
      <c r="P158" s="581"/>
      <c r="Q158" s="581"/>
      <c r="R158" s="581"/>
      <c r="S158" s="581">
        <v>156</v>
      </c>
      <c r="T158" s="581">
        <v>150</v>
      </c>
      <c r="U158" s="581"/>
      <c r="V158" s="581"/>
      <c r="W158" s="581"/>
      <c r="X158" s="581"/>
      <c r="Y158" s="580"/>
    </row>
    <row r="159" spans="12:25" x14ac:dyDescent="0.2">
      <c r="L159" s="581"/>
      <c r="M159" s="581"/>
      <c r="N159" s="581"/>
      <c r="O159" s="581"/>
      <c r="P159" s="581"/>
      <c r="Q159" s="581"/>
      <c r="R159" s="581"/>
      <c r="S159" s="581">
        <v>157</v>
      </c>
      <c r="T159" s="581">
        <v>150</v>
      </c>
      <c r="U159" s="581"/>
      <c r="V159" s="581"/>
      <c r="W159" s="581"/>
      <c r="X159" s="581"/>
      <c r="Y159" s="580"/>
    </row>
    <row r="160" spans="12:25" x14ac:dyDescent="0.2">
      <c r="L160" s="581"/>
      <c r="M160" s="581"/>
      <c r="N160" s="581"/>
      <c r="O160" s="581"/>
      <c r="P160" s="581"/>
      <c r="Q160" s="581"/>
      <c r="R160" s="581"/>
      <c r="S160" s="581">
        <v>158</v>
      </c>
      <c r="T160" s="581">
        <v>150</v>
      </c>
      <c r="U160" s="581"/>
      <c r="V160" s="581"/>
      <c r="W160" s="581"/>
      <c r="X160" s="581"/>
      <c r="Y160" s="580"/>
    </row>
    <row r="161" spans="12:25" x14ac:dyDescent="0.2">
      <c r="L161" s="581"/>
      <c r="M161" s="581"/>
      <c r="N161" s="581"/>
      <c r="O161" s="581"/>
      <c r="P161" s="581"/>
      <c r="Q161" s="581"/>
      <c r="R161" s="581"/>
      <c r="S161" s="581">
        <v>159</v>
      </c>
      <c r="T161" s="581">
        <v>150</v>
      </c>
      <c r="U161" s="581"/>
      <c r="V161" s="581"/>
      <c r="W161" s="581"/>
      <c r="X161" s="581"/>
      <c r="Y161" s="580"/>
    </row>
    <row r="162" spans="12:25" x14ac:dyDescent="0.2">
      <c r="L162" s="581"/>
      <c r="M162" s="581"/>
      <c r="N162" s="581"/>
      <c r="O162" s="581"/>
      <c r="P162" s="581"/>
      <c r="Q162" s="581"/>
      <c r="R162" s="581"/>
      <c r="S162" s="581">
        <v>160</v>
      </c>
      <c r="T162" s="581">
        <v>150</v>
      </c>
      <c r="U162" s="581"/>
      <c r="V162" s="581"/>
      <c r="W162" s="581"/>
      <c r="X162" s="581"/>
      <c r="Y162" s="580"/>
    </row>
    <row r="163" spans="12:25" x14ac:dyDescent="0.2">
      <c r="L163" s="581"/>
      <c r="M163" s="581"/>
      <c r="N163" s="581"/>
      <c r="O163" s="581"/>
      <c r="P163" s="581"/>
      <c r="Q163" s="581"/>
      <c r="R163" s="581"/>
      <c r="S163" s="581">
        <v>161</v>
      </c>
      <c r="T163" s="581">
        <v>150</v>
      </c>
      <c r="U163" s="581"/>
      <c r="V163" s="581"/>
      <c r="W163" s="581"/>
      <c r="X163" s="581"/>
      <c r="Y163" s="580"/>
    </row>
    <row r="164" spans="12:25" x14ac:dyDescent="0.2">
      <c r="L164" s="581"/>
      <c r="M164" s="581"/>
      <c r="N164" s="581"/>
      <c r="O164" s="581"/>
      <c r="P164" s="581"/>
      <c r="Q164" s="581"/>
      <c r="R164" s="581"/>
      <c r="S164" s="581">
        <v>162</v>
      </c>
      <c r="T164" s="581">
        <v>150</v>
      </c>
      <c r="U164" s="581"/>
      <c r="V164" s="581"/>
      <c r="W164" s="581"/>
      <c r="X164" s="581"/>
      <c r="Y164" s="580"/>
    </row>
    <row r="165" spans="12:25" x14ac:dyDescent="0.2">
      <c r="L165" s="581"/>
      <c r="M165" s="581"/>
      <c r="N165" s="581"/>
      <c r="O165" s="581"/>
      <c r="P165" s="581"/>
      <c r="Q165" s="581"/>
      <c r="R165" s="581"/>
      <c r="S165" s="581">
        <v>163</v>
      </c>
      <c r="T165" s="581">
        <v>150</v>
      </c>
      <c r="U165" s="581"/>
      <c r="V165" s="581"/>
      <c r="W165" s="581"/>
      <c r="X165" s="581"/>
      <c r="Y165" s="580"/>
    </row>
    <row r="166" spans="12:25" x14ac:dyDescent="0.2">
      <c r="L166" s="581"/>
      <c r="M166" s="581"/>
      <c r="N166" s="581"/>
      <c r="O166" s="581"/>
      <c r="P166" s="581"/>
      <c r="Q166" s="581"/>
      <c r="R166" s="581"/>
      <c r="S166" s="581">
        <v>164</v>
      </c>
      <c r="T166" s="581">
        <v>150</v>
      </c>
      <c r="U166" s="581"/>
      <c r="V166" s="581"/>
      <c r="W166" s="581"/>
      <c r="X166" s="581"/>
      <c r="Y166" s="580"/>
    </row>
    <row r="167" spans="12:25" x14ac:dyDescent="0.2">
      <c r="L167" s="581"/>
      <c r="M167" s="581"/>
      <c r="N167" s="581"/>
      <c r="O167" s="581"/>
      <c r="P167" s="581"/>
      <c r="Q167" s="581"/>
      <c r="R167" s="581"/>
      <c r="S167" s="581">
        <v>165</v>
      </c>
      <c r="T167" s="581">
        <v>150</v>
      </c>
      <c r="U167" s="581"/>
      <c r="V167" s="581"/>
      <c r="W167" s="581"/>
      <c r="X167" s="581"/>
      <c r="Y167" s="580"/>
    </row>
    <row r="168" spans="12:25" x14ac:dyDescent="0.2">
      <c r="L168" s="581"/>
      <c r="M168" s="581"/>
      <c r="N168" s="581"/>
      <c r="O168" s="581"/>
      <c r="P168" s="581"/>
      <c r="Q168" s="581"/>
      <c r="R168" s="581"/>
      <c r="S168" s="581">
        <v>166</v>
      </c>
      <c r="T168" s="581">
        <v>150</v>
      </c>
      <c r="U168" s="581"/>
      <c r="V168" s="581"/>
      <c r="W168" s="581"/>
      <c r="X168" s="581"/>
      <c r="Y168" s="580"/>
    </row>
    <row r="169" spans="12:25" x14ac:dyDescent="0.2">
      <c r="L169" s="581"/>
      <c r="M169" s="581"/>
      <c r="N169" s="581"/>
      <c r="O169" s="581"/>
      <c r="P169" s="581"/>
      <c r="Q169" s="581"/>
      <c r="R169" s="581"/>
      <c r="S169" s="581">
        <v>167</v>
      </c>
      <c r="T169" s="581">
        <v>150</v>
      </c>
      <c r="U169" s="581"/>
      <c r="V169" s="581"/>
      <c r="W169" s="581"/>
      <c r="X169" s="581"/>
      <c r="Y169" s="580"/>
    </row>
    <row r="170" spans="12:25" x14ac:dyDescent="0.2">
      <c r="L170" s="581"/>
      <c r="M170" s="581"/>
      <c r="N170" s="581"/>
      <c r="O170" s="581"/>
      <c r="P170" s="581"/>
      <c r="Q170" s="581"/>
      <c r="R170" s="581"/>
      <c r="S170" s="581">
        <v>168</v>
      </c>
      <c r="T170" s="581">
        <v>150</v>
      </c>
      <c r="U170" s="581"/>
      <c r="V170" s="581"/>
      <c r="W170" s="581"/>
      <c r="X170" s="581"/>
      <c r="Y170" s="580"/>
    </row>
    <row r="171" spans="12:25" x14ac:dyDescent="0.2">
      <c r="L171" s="581"/>
      <c r="M171" s="581"/>
      <c r="N171" s="581"/>
      <c r="O171" s="581"/>
      <c r="P171" s="581"/>
      <c r="Q171" s="581"/>
      <c r="R171" s="581"/>
      <c r="S171" s="581">
        <v>169</v>
      </c>
      <c r="T171" s="581">
        <v>150</v>
      </c>
      <c r="U171" s="581"/>
      <c r="V171" s="581"/>
      <c r="W171" s="581"/>
      <c r="X171" s="581"/>
      <c r="Y171" s="580"/>
    </row>
    <row r="172" spans="12:25" x14ac:dyDescent="0.2">
      <c r="L172" s="581"/>
      <c r="M172" s="581"/>
      <c r="N172" s="581"/>
      <c r="O172" s="581"/>
      <c r="P172" s="581"/>
      <c r="Q172" s="581"/>
      <c r="R172" s="581"/>
      <c r="S172" s="581">
        <v>170</v>
      </c>
      <c r="T172" s="581">
        <v>150</v>
      </c>
      <c r="U172" s="581"/>
      <c r="V172" s="581"/>
      <c r="W172" s="581"/>
      <c r="X172" s="581"/>
      <c r="Y172" s="580"/>
    </row>
    <row r="173" spans="12:25" x14ac:dyDescent="0.2">
      <c r="L173" s="581"/>
      <c r="M173" s="581"/>
      <c r="N173" s="581"/>
      <c r="O173" s="581"/>
      <c r="P173" s="581"/>
      <c r="Q173" s="581"/>
      <c r="R173" s="581"/>
      <c r="S173" s="581">
        <v>171</v>
      </c>
      <c r="T173" s="581">
        <v>150</v>
      </c>
      <c r="U173" s="581"/>
      <c r="V173" s="581"/>
      <c r="W173" s="581"/>
      <c r="X173" s="581"/>
      <c r="Y173" s="580"/>
    </row>
    <row r="174" spans="12:25" x14ac:dyDescent="0.2">
      <c r="L174" s="581"/>
      <c r="M174" s="581"/>
      <c r="N174" s="581"/>
      <c r="O174" s="581"/>
      <c r="P174" s="581"/>
      <c r="Q174" s="581"/>
      <c r="R174" s="581"/>
      <c r="S174" s="581">
        <v>172</v>
      </c>
      <c r="T174" s="581">
        <v>150</v>
      </c>
      <c r="U174" s="581"/>
      <c r="V174" s="581"/>
      <c r="W174" s="581"/>
      <c r="X174" s="581"/>
      <c r="Y174" s="580"/>
    </row>
    <row r="175" spans="12:25" x14ac:dyDescent="0.2">
      <c r="L175" s="581"/>
      <c r="M175" s="581"/>
      <c r="N175" s="581"/>
      <c r="O175" s="581"/>
      <c r="P175" s="581"/>
      <c r="Q175" s="581"/>
      <c r="R175" s="581"/>
      <c r="S175" s="581">
        <v>173</v>
      </c>
      <c r="T175" s="581">
        <v>150</v>
      </c>
      <c r="U175" s="581"/>
      <c r="V175" s="581"/>
      <c r="W175" s="581"/>
      <c r="X175" s="581"/>
      <c r="Y175" s="580"/>
    </row>
    <row r="176" spans="12:25" x14ac:dyDescent="0.2">
      <c r="L176" s="581"/>
      <c r="M176" s="581"/>
      <c r="N176" s="581"/>
      <c r="O176" s="581"/>
      <c r="P176" s="581"/>
      <c r="Q176" s="581"/>
      <c r="R176" s="581"/>
      <c r="S176" s="581">
        <v>174</v>
      </c>
      <c r="T176" s="581">
        <v>150</v>
      </c>
      <c r="U176" s="581"/>
      <c r="V176" s="581"/>
      <c r="W176" s="581"/>
      <c r="X176" s="581"/>
      <c r="Y176" s="580"/>
    </row>
    <row r="177" spans="12:25" x14ac:dyDescent="0.2">
      <c r="L177" s="581"/>
      <c r="M177" s="581"/>
      <c r="N177" s="581"/>
      <c r="O177" s="581"/>
      <c r="P177" s="581"/>
      <c r="Q177" s="581"/>
      <c r="R177" s="581"/>
      <c r="S177" s="581">
        <v>175</v>
      </c>
      <c r="T177" s="581">
        <v>150</v>
      </c>
      <c r="U177" s="581"/>
      <c r="V177" s="581"/>
      <c r="W177" s="581"/>
      <c r="X177" s="581"/>
      <c r="Y177" s="580"/>
    </row>
    <row r="178" spans="12:25" x14ac:dyDescent="0.2">
      <c r="L178" s="581"/>
      <c r="M178" s="581"/>
      <c r="N178" s="581"/>
      <c r="O178" s="581"/>
      <c r="P178" s="581"/>
      <c r="Q178" s="581"/>
      <c r="R178" s="581"/>
      <c r="S178" s="581">
        <v>176</v>
      </c>
      <c r="T178" s="581">
        <v>150</v>
      </c>
      <c r="U178" s="581"/>
      <c r="V178" s="581"/>
      <c r="W178" s="581"/>
      <c r="X178" s="581"/>
      <c r="Y178" s="580"/>
    </row>
    <row r="179" spans="12:25" x14ac:dyDescent="0.2">
      <c r="L179" s="581"/>
      <c r="M179" s="581"/>
      <c r="N179" s="581"/>
      <c r="O179" s="581"/>
      <c r="P179" s="581"/>
      <c r="Q179" s="581"/>
      <c r="R179" s="581"/>
      <c r="S179" s="581">
        <v>177</v>
      </c>
      <c r="T179" s="581">
        <v>150</v>
      </c>
      <c r="U179" s="581"/>
      <c r="V179" s="581"/>
      <c r="W179" s="581"/>
      <c r="X179" s="581"/>
      <c r="Y179" s="580"/>
    </row>
    <row r="180" spans="12:25" x14ac:dyDescent="0.2">
      <c r="L180" s="581"/>
      <c r="M180" s="581"/>
      <c r="N180" s="581"/>
      <c r="O180" s="581"/>
      <c r="P180" s="581"/>
      <c r="Q180" s="581"/>
      <c r="R180" s="581"/>
      <c r="S180" s="581">
        <v>178</v>
      </c>
      <c r="T180" s="581">
        <v>150</v>
      </c>
      <c r="U180" s="581"/>
      <c r="V180" s="581"/>
      <c r="W180" s="581"/>
      <c r="X180" s="581"/>
      <c r="Y180" s="580"/>
    </row>
    <row r="181" spans="12:25" x14ac:dyDescent="0.2">
      <c r="L181" s="581"/>
      <c r="M181" s="581"/>
      <c r="N181" s="581"/>
      <c r="O181" s="581"/>
      <c r="P181" s="581"/>
      <c r="Q181" s="581"/>
      <c r="R181" s="581"/>
      <c r="S181" s="581">
        <v>179</v>
      </c>
      <c r="T181" s="581">
        <v>150</v>
      </c>
      <c r="U181" s="581"/>
      <c r="V181" s="581"/>
      <c r="W181" s="581"/>
      <c r="X181" s="581"/>
      <c r="Y181" s="580"/>
    </row>
    <row r="182" spans="12:25" x14ac:dyDescent="0.2">
      <c r="L182" s="581"/>
      <c r="M182" s="581"/>
      <c r="N182" s="581"/>
      <c r="O182" s="581"/>
      <c r="P182" s="581"/>
      <c r="Q182" s="581"/>
      <c r="R182" s="581"/>
      <c r="S182" s="581">
        <v>180</v>
      </c>
      <c r="T182" s="581">
        <v>150</v>
      </c>
      <c r="U182" s="581"/>
      <c r="V182" s="581"/>
      <c r="W182" s="581"/>
      <c r="X182" s="581"/>
      <c r="Y182" s="580"/>
    </row>
    <row r="183" spans="12:25" x14ac:dyDescent="0.2">
      <c r="L183" s="581"/>
      <c r="M183" s="581"/>
      <c r="N183" s="581"/>
      <c r="O183" s="581"/>
      <c r="P183" s="581"/>
      <c r="Q183" s="581"/>
      <c r="R183" s="581"/>
      <c r="S183" s="581">
        <v>181</v>
      </c>
      <c r="T183" s="581">
        <v>150</v>
      </c>
      <c r="U183" s="581"/>
      <c r="V183" s="581"/>
      <c r="W183" s="581"/>
      <c r="X183" s="581"/>
      <c r="Y183" s="580"/>
    </row>
    <row r="184" spans="12:25" x14ac:dyDescent="0.2">
      <c r="L184" s="581"/>
      <c r="M184" s="581"/>
      <c r="N184" s="581"/>
      <c r="O184" s="581"/>
      <c r="P184" s="581"/>
      <c r="Q184" s="581"/>
      <c r="R184" s="581"/>
      <c r="S184" s="581">
        <v>182</v>
      </c>
      <c r="T184" s="581">
        <v>150</v>
      </c>
      <c r="U184" s="581"/>
      <c r="V184" s="581"/>
      <c r="W184" s="581"/>
      <c r="X184" s="581"/>
      <c r="Y184" s="580"/>
    </row>
    <row r="185" spans="12:25" x14ac:dyDescent="0.2">
      <c r="L185" s="581"/>
      <c r="M185" s="581"/>
      <c r="N185" s="581"/>
      <c r="O185" s="581"/>
      <c r="P185" s="581"/>
      <c r="Q185" s="581"/>
      <c r="R185" s="581"/>
      <c r="S185" s="581">
        <v>183</v>
      </c>
      <c r="T185" s="581">
        <v>150</v>
      </c>
      <c r="U185" s="581"/>
      <c r="V185" s="581"/>
      <c r="W185" s="581"/>
      <c r="X185" s="581"/>
      <c r="Y185" s="580"/>
    </row>
    <row r="186" spans="12:25" x14ac:dyDescent="0.2">
      <c r="L186" s="581"/>
      <c r="M186" s="581"/>
      <c r="N186" s="581"/>
      <c r="O186" s="581"/>
      <c r="P186" s="581"/>
      <c r="Q186" s="581"/>
      <c r="R186" s="581"/>
      <c r="S186" s="581">
        <v>184</v>
      </c>
      <c r="T186" s="581">
        <v>150</v>
      </c>
      <c r="U186" s="581"/>
      <c r="V186" s="581"/>
      <c r="W186" s="581"/>
      <c r="X186" s="581"/>
      <c r="Y186" s="580"/>
    </row>
    <row r="187" spans="12:25" x14ac:dyDescent="0.2">
      <c r="L187" s="581"/>
      <c r="M187" s="581"/>
      <c r="N187" s="581"/>
      <c r="O187" s="581"/>
      <c r="P187" s="581"/>
      <c r="Q187" s="581"/>
      <c r="R187" s="581"/>
      <c r="S187" s="581">
        <v>185</v>
      </c>
      <c r="T187" s="581">
        <v>150</v>
      </c>
      <c r="U187" s="581"/>
      <c r="V187" s="581"/>
      <c r="W187" s="581"/>
      <c r="X187" s="581"/>
      <c r="Y187" s="580"/>
    </row>
    <row r="188" spans="12:25" x14ac:dyDescent="0.2">
      <c r="L188" s="581"/>
      <c r="M188" s="581"/>
      <c r="N188" s="581"/>
      <c r="O188" s="581"/>
      <c r="P188" s="581"/>
      <c r="Q188" s="581"/>
      <c r="R188" s="581"/>
      <c r="S188" s="581">
        <v>186</v>
      </c>
      <c r="T188" s="581">
        <v>150</v>
      </c>
      <c r="U188" s="581"/>
      <c r="V188" s="581"/>
      <c r="W188" s="581"/>
      <c r="X188" s="581"/>
      <c r="Y188" s="580"/>
    </row>
    <row r="189" spans="12:25" x14ac:dyDescent="0.2">
      <c r="L189" s="581"/>
      <c r="M189" s="581"/>
      <c r="N189" s="581"/>
      <c r="O189" s="581"/>
      <c r="P189" s="581"/>
      <c r="Q189" s="581"/>
      <c r="R189" s="581"/>
      <c r="S189" s="581">
        <v>187</v>
      </c>
      <c r="T189" s="581">
        <v>150</v>
      </c>
      <c r="U189" s="581"/>
      <c r="V189" s="581"/>
      <c r="W189" s="581"/>
      <c r="X189" s="581"/>
      <c r="Y189" s="580"/>
    </row>
    <row r="190" spans="12:25" x14ac:dyDescent="0.2">
      <c r="L190" s="581"/>
      <c r="M190" s="581"/>
      <c r="N190" s="581"/>
      <c r="O190" s="581"/>
      <c r="P190" s="581"/>
      <c r="Q190" s="581"/>
      <c r="R190" s="581"/>
      <c r="S190" s="581">
        <v>188</v>
      </c>
      <c r="T190" s="581">
        <v>150</v>
      </c>
      <c r="U190" s="581"/>
      <c r="V190" s="581"/>
      <c r="W190" s="581"/>
      <c r="X190" s="581"/>
      <c r="Y190" s="580"/>
    </row>
    <row r="191" spans="12:25" x14ac:dyDescent="0.2">
      <c r="L191" s="581"/>
      <c r="M191" s="581"/>
      <c r="N191" s="581"/>
      <c r="O191" s="581"/>
      <c r="P191" s="581"/>
      <c r="Q191" s="581"/>
      <c r="R191" s="581"/>
      <c r="S191" s="581">
        <v>189</v>
      </c>
      <c r="T191" s="581">
        <v>150</v>
      </c>
      <c r="U191" s="581"/>
      <c r="V191" s="581"/>
      <c r="W191" s="581"/>
      <c r="X191" s="581"/>
      <c r="Y191" s="580"/>
    </row>
    <row r="192" spans="12:25" x14ac:dyDescent="0.2">
      <c r="L192" s="581"/>
      <c r="M192" s="581"/>
      <c r="N192" s="581"/>
      <c r="O192" s="581"/>
      <c r="P192" s="581"/>
      <c r="Q192" s="581"/>
      <c r="R192" s="581"/>
      <c r="S192" s="581">
        <v>190</v>
      </c>
      <c r="T192" s="581">
        <v>150</v>
      </c>
      <c r="U192" s="581"/>
      <c r="V192" s="581"/>
      <c r="W192" s="581"/>
      <c r="X192" s="581"/>
      <c r="Y192" s="580"/>
    </row>
    <row r="193" spans="12:25" x14ac:dyDescent="0.2">
      <c r="L193" s="581"/>
      <c r="M193" s="581"/>
      <c r="N193" s="581"/>
      <c r="O193" s="581"/>
      <c r="P193" s="581"/>
      <c r="Q193" s="581"/>
      <c r="R193" s="581"/>
      <c r="S193" s="581">
        <v>191</v>
      </c>
      <c r="T193" s="581">
        <v>150</v>
      </c>
      <c r="U193" s="581"/>
      <c r="V193" s="581"/>
      <c r="W193" s="581"/>
      <c r="X193" s="581"/>
      <c r="Y193" s="580"/>
    </row>
    <row r="194" spans="12:25" x14ac:dyDescent="0.2">
      <c r="L194" s="581"/>
      <c r="M194" s="581"/>
      <c r="N194" s="581"/>
      <c r="O194" s="581"/>
      <c r="P194" s="581"/>
      <c r="Q194" s="581"/>
      <c r="R194" s="581"/>
      <c r="S194" s="581">
        <v>192</v>
      </c>
      <c r="T194" s="581">
        <v>150</v>
      </c>
      <c r="U194" s="581"/>
      <c r="V194" s="581"/>
      <c r="W194" s="581"/>
      <c r="X194" s="581"/>
      <c r="Y194" s="580"/>
    </row>
    <row r="195" spans="12:25" x14ac:dyDescent="0.2">
      <c r="L195" s="581"/>
      <c r="M195" s="581"/>
      <c r="N195" s="581"/>
      <c r="O195" s="581"/>
      <c r="P195" s="581"/>
      <c r="Q195" s="581"/>
      <c r="R195" s="581"/>
      <c r="S195" s="581">
        <v>193</v>
      </c>
      <c r="T195" s="581">
        <v>150</v>
      </c>
      <c r="U195" s="581"/>
      <c r="V195" s="581"/>
      <c r="W195" s="581"/>
      <c r="X195" s="581"/>
      <c r="Y195" s="580"/>
    </row>
    <row r="196" spans="12:25" x14ac:dyDescent="0.2">
      <c r="L196" s="581"/>
      <c r="M196" s="581"/>
      <c r="N196" s="581"/>
      <c r="O196" s="581"/>
      <c r="P196" s="581"/>
      <c r="Q196" s="581"/>
      <c r="R196" s="581"/>
      <c r="S196" s="581">
        <v>194</v>
      </c>
      <c r="T196" s="581">
        <v>150</v>
      </c>
      <c r="U196" s="581"/>
      <c r="V196" s="581"/>
      <c r="W196" s="581"/>
      <c r="X196" s="581"/>
      <c r="Y196" s="580"/>
    </row>
    <row r="197" spans="12:25" x14ac:dyDescent="0.2">
      <c r="L197" s="581"/>
      <c r="M197" s="581"/>
      <c r="N197" s="581"/>
      <c r="O197" s="581"/>
      <c r="P197" s="581"/>
      <c r="Q197" s="581"/>
      <c r="R197" s="581"/>
      <c r="S197" s="581">
        <v>195</v>
      </c>
      <c r="T197" s="581">
        <v>150</v>
      </c>
      <c r="U197" s="581"/>
      <c r="V197" s="581"/>
      <c r="W197" s="581"/>
      <c r="X197" s="581"/>
      <c r="Y197" s="580"/>
    </row>
    <row r="198" spans="12:25" x14ac:dyDescent="0.2">
      <c r="L198" s="581"/>
      <c r="M198" s="581"/>
      <c r="N198" s="581"/>
      <c r="O198" s="581"/>
      <c r="P198" s="581"/>
      <c r="Q198" s="581"/>
      <c r="R198" s="581"/>
      <c r="S198" s="581">
        <v>196</v>
      </c>
      <c r="T198" s="581">
        <v>150</v>
      </c>
      <c r="U198" s="581"/>
      <c r="V198" s="581"/>
      <c r="W198" s="581"/>
      <c r="X198" s="581"/>
      <c r="Y198" s="580"/>
    </row>
    <row r="199" spans="12:25" x14ac:dyDescent="0.2">
      <c r="L199" s="581"/>
      <c r="M199" s="581"/>
      <c r="N199" s="581"/>
      <c r="O199" s="581"/>
      <c r="P199" s="581"/>
      <c r="Q199" s="581"/>
      <c r="R199" s="581"/>
      <c r="S199" s="581">
        <v>197</v>
      </c>
      <c r="T199" s="581">
        <v>150</v>
      </c>
      <c r="U199" s="581"/>
      <c r="V199" s="581"/>
      <c r="W199" s="581"/>
      <c r="X199" s="581"/>
      <c r="Y199" s="580"/>
    </row>
    <row r="200" spans="12:25" x14ac:dyDescent="0.2">
      <c r="L200" s="581"/>
      <c r="M200" s="581"/>
      <c r="N200" s="581"/>
      <c r="O200" s="581"/>
      <c r="P200" s="581"/>
      <c r="Q200" s="581"/>
      <c r="R200" s="581"/>
      <c r="S200" s="581">
        <v>198</v>
      </c>
      <c r="T200" s="581">
        <v>150</v>
      </c>
      <c r="U200" s="581"/>
      <c r="V200" s="581"/>
      <c r="W200" s="581"/>
      <c r="X200" s="581"/>
      <c r="Y200" s="580"/>
    </row>
    <row r="201" spans="12:25" x14ac:dyDescent="0.2">
      <c r="L201" s="581"/>
      <c r="M201" s="581"/>
      <c r="N201" s="581"/>
      <c r="O201" s="581"/>
      <c r="P201" s="581"/>
      <c r="Q201" s="581"/>
      <c r="R201" s="581"/>
      <c r="S201" s="581">
        <v>199</v>
      </c>
      <c r="T201" s="581">
        <v>150</v>
      </c>
      <c r="U201" s="581"/>
      <c r="V201" s="581"/>
      <c r="W201" s="581"/>
      <c r="X201" s="581"/>
      <c r="Y201" s="580"/>
    </row>
    <row r="202" spans="12:25" x14ac:dyDescent="0.2">
      <c r="L202" s="581"/>
      <c r="M202" s="581"/>
      <c r="N202" s="581"/>
      <c r="O202" s="581"/>
      <c r="P202" s="581"/>
      <c r="Q202" s="581"/>
      <c r="R202" s="581"/>
      <c r="S202" s="581">
        <v>200</v>
      </c>
      <c r="T202" s="581">
        <v>150</v>
      </c>
      <c r="U202" s="581">
        <v>200</v>
      </c>
      <c r="V202" s="581"/>
      <c r="W202" s="581"/>
      <c r="X202" s="581"/>
      <c r="Y202" s="580"/>
    </row>
    <row r="203" spans="12:25" x14ac:dyDescent="0.2">
      <c r="L203" s="581"/>
      <c r="M203" s="581"/>
      <c r="N203" s="581"/>
      <c r="O203" s="581"/>
      <c r="P203" s="581"/>
      <c r="Q203" s="581"/>
      <c r="R203" s="581"/>
      <c r="S203" s="581">
        <v>201</v>
      </c>
      <c r="T203" s="581">
        <v>150</v>
      </c>
      <c r="U203" s="581"/>
      <c r="V203" s="581"/>
      <c r="W203" s="581"/>
      <c r="X203" s="581"/>
      <c r="Y203" s="580"/>
    </row>
    <row r="204" spans="12:25" x14ac:dyDescent="0.2">
      <c r="L204" s="581"/>
      <c r="M204" s="581"/>
      <c r="N204" s="581"/>
      <c r="O204" s="581"/>
      <c r="P204" s="581"/>
      <c r="Q204" s="581"/>
      <c r="R204" s="581"/>
      <c r="S204" s="581">
        <v>202</v>
      </c>
      <c r="T204" s="581">
        <v>150</v>
      </c>
      <c r="U204" s="581"/>
      <c r="V204" s="581"/>
      <c r="W204" s="581"/>
      <c r="X204" s="581"/>
      <c r="Y204" s="580"/>
    </row>
    <row r="205" spans="12:25" x14ac:dyDescent="0.2">
      <c r="L205" s="581"/>
      <c r="M205" s="581"/>
      <c r="N205" s="581"/>
      <c r="O205" s="581"/>
      <c r="P205" s="581"/>
      <c r="Q205" s="581"/>
      <c r="R205" s="581"/>
      <c r="S205" s="581">
        <v>203</v>
      </c>
      <c r="T205" s="581">
        <v>150</v>
      </c>
      <c r="U205" s="581"/>
      <c r="V205" s="581"/>
      <c r="W205" s="581"/>
      <c r="X205" s="581"/>
      <c r="Y205" s="580"/>
    </row>
    <row r="206" spans="12:25" x14ac:dyDescent="0.2">
      <c r="L206" s="581"/>
      <c r="M206" s="581"/>
      <c r="N206" s="581"/>
      <c r="O206" s="581"/>
      <c r="P206" s="581"/>
      <c r="Q206" s="581"/>
      <c r="R206" s="581"/>
      <c r="S206" s="581">
        <v>204</v>
      </c>
      <c r="T206" s="581">
        <v>150</v>
      </c>
      <c r="U206" s="581"/>
      <c r="V206" s="581"/>
      <c r="W206" s="581"/>
      <c r="X206" s="581"/>
      <c r="Y206" s="580"/>
    </row>
    <row r="207" spans="12:25" x14ac:dyDescent="0.2">
      <c r="L207" s="581"/>
      <c r="M207" s="581"/>
      <c r="N207" s="581"/>
      <c r="O207" s="581"/>
      <c r="P207" s="581"/>
      <c r="Q207" s="581"/>
      <c r="R207" s="581"/>
      <c r="S207" s="581">
        <v>205</v>
      </c>
      <c r="T207" s="581">
        <v>150</v>
      </c>
      <c r="U207" s="581"/>
      <c r="V207" s="581"/>
      <c r="W207" s="581"/>
      <c r="X207" s="581"/>
      <c r="Y207" s="580"/>
    </row>
    <row r="208" spans="12:25" x14ac:dyDescent="0.2">
      <c r="L208" s="581"/>
      <c r="M208" s="581"/>
      <c r="N208" s="581"/>
      <c r="O208" s="581"/>
      <c r="P208" s="581"/>
      <c r="Q208" s="581"/>
      <c r="R208" s="581"/>
      <c r="S208" s="581">
        <v>206</v>
      </c>
      <c r="T208" s="581">
        <v>150</v>
      </c>
      <c r="U208" s="581"/>
      <c r="V208" s="581"/>
      <c r="W208" s="581"/>
      <c r="X208" s="581"/>
      <c r="Y208" s="580"/>
    </row>
    <row r="209" spans="12:25" x14ac:dyDescent="0.2">
      <c r="L209" s="581"/>
      <c r="M209" s="581"/>
      <c r="N209" s="581"/>
      <c r="O209" s="581"/>
      <c r="P209" s="581"/>
      <c r="Q209" s="581"/>
      <c r="R209" s="581"/>
      <c r="S209" s="581">
        <v>207</v>
      </c>
      <c r="T209" s="581">
        <v>150</v>
      </c>
      <c r="U209" s="581"/>
      <c r="V209" s="581"/>
      <c r="W209" s="581"/>
      <c r="X209" s="581"/>
      <c r="Y209" s="580"/>
    </row>
    <row r="210" spans="12:25" x14ac:dyDescent="0.2">
      <c r="L210" s="581"/>
      <c r="M210" s="581"/>
      <c r="N210" s="581"/>
      <c r="O210" s="581"/>
      <c r="P210" s="581"/>
      <c r="Q210" s="581"/>
      <c r="R210" s="581"/>
      <c r="S210" s="581">
        <v>208</v>
      </c>
      <c r="T210" s="581">
        <v>150</v>
      </c>
      <c r="U210" s="581"/>
      <c r="V210" s="581"/>
      <c r="W210" s="581"/>
      <c r="X210" s="581"/>
      <c r="Y210" s="580"/>
    </row>
    <row r="211" spans="12:25" x14ac:dyDescent="0.2">
      <c r="L211" s="581"/>
      <c r="M211" s="581"/>
      <c r="N211" s="581"/>
      <c r="O211" s="581"/>
      <c r="P211" s="581"/>
      <c r="Q211" s="581"/>
      <c r="R211" s="581"/>
      <c r="S211" s="581">
        <v>209</v>
      </c>
      <c r="T211" s="581">
        <v>150</v>
      </c>
      <c r="U211" s="581"/>
      <c r="V211" s="581"/>
      <c r="W211" s="581"/>
      <c r="X211" s="581"/>
      <c r="Y211" s="580"/>
    </row>
    <row r="212" spans="12:25" x14ac:dyDescent="0.2">
      <c r="L212" s="581"/>
      <c r="M212" s="581"/>
      <c r="N212" s="581"/>
      <c r="O212" s="581"/>
      <c r="P212" s="581"/>
      <c r="Q212" s="581"/>
      <c r="R212" s="581"/>
      <c r="S212" s="581">
        <v>210</v>
      </c>
      <c r="T212" s="581">
        <v>150</v>
      </c>
      <c r="U212" s="581"/>
      <c r="V212" s="581"/>
      <c r="W212" s="581"/>
      <c r="X212" s="581"/>
      <c r="Y212" s="580"/>
    </row>
    <row r="213" spans="12:25" x14ac:dyDescent="0.2">
      <c r="L213" s="581"/>
      <c r="M213" s="581"/>
      <c r="N213" s="581"/>
      <c r="O213" s="581"/>
      <c r="P213" s="581"/>
      <c r="Q213" s="581"/>
      <c r="R213" s="581"/>
      <c r="S213" s="581">
        <v>211</v>
      </c>
      <c r="T213" s="581">
        <v>150</v>
      </c>
      <c r="U213" s="581"/>
      <c r="V213" s="581"/>
      <c r="W213" s="581"/>
      <c r="X213" s="581"/>
      <c r="Y213" s="580"/>
    </row>
    <row r="214" spans="12:25" x14ac:dyDescent="0.2">
      <c r="L214" s="581"/>
      <c r="M214" s="581"/>
      <c r="N214" s="581"/>
      <c r="O214" s="581"/>
      <c r="P214" s="581"/>
      <c r="Q214" s="581"/>
      <c r="R214" s="581"/>
      <c r="S214" s="581">
        <v>212</v>
      </c>
      <c r="T214" s="581">
        <v>150</v>
      </c>
      <c r="U214" s="581"/>
      <c r="V214" s="581"/>
      <c r="W214" s="581"/>
      <c r="X214" s="581"/>
      <c r="Y214" s="580"/>
    </row>
    <row r="215" spans="12:25" x14ac:dyDescent="0.2">
      <c r="L215" s="581"/>
      <c r="M215" s="581"/>
      <c r="N215" s="581"/>
      <c r="O215" s="581"/>
      <c r="P215" s="581"/>
      <c r="Q215" s="581"/>
      <c r="R215" s="581"/>
      <c r="S215" s="581">
        <v>213</v>
      </c>
      <c r="T215" s="581">
        <v>150</v>
      </c>
      <c r="U215" s="581"/>
      <c r="V215" s="581"/>
      <c r="W215" s="581"/>
      <c r="X215" s="581"/>
      <c r="Y215" s="580"/>
    </row>
    <row r="216" spans="12:25" x14ac:dyDescent="0.2">
      <c r="L216" s="581"/>
      <c r="M216" s="581"/>
      <c r="N216" s="581"/>
      <c r="O216" s="581"/>
      <c r="P216" s="581"/>
      <c r="Q216" s="581"/>
      <c r="R216" s="581"/>
      <c r="S216" s="581">
        <v>214</v>
      </c>
      <c r="T216" s="581">
        <v>150</v>
      </c>
      <c r="U216" s="581"/>
      <c r="V216" s="581"/>
      <c r="W216" s="581"/>
      <c r="X216" s="581"/>
      <c r="Y216" s="580"/>
    </row>
    <row r="217" spans="12:25" x14ac:dyDescent="0.2">
      <c r="L217" s="581"/>
      <c r="M217" s="581"/>
      <c r="N217" s="581"/>
      <c r="O217" s="581"/>
      <c r="P217" s="581"/>
      <c r="Q217" s="581"/>
      <c r="R217" s="581"/>
      <c r="S217" s="581">
        <v>215</v>
      </c>
      <c r="T217" s="581">
        <v>150</v>
      </c>
      <c r="U217" s="581"/>
      <c r="V217" s="581"/>
      <c r="W217" s="581"/>
      <c r="X217" s="581"/>
      <c r="Y217" s="580"/>
    </row>
    <row r="218" spans="12:25" x14ac:dyDescent="0.2">
      <c r="L218" s="581"/>
      <c r="M218" s="581"/>
      <c r="N218" s="581"/>
      <c r="O218" s="581"/>
      <c r="P218" s="581"/>
      <c r="Q218" s="581"/>
      <c r="R218" s="581"/>
      <c r="S218" s="581">
        <v>216</v>
      </c>
      <c r="T218" s="581">
        <v>150</v>
      </c>
      <c r="U218" s="581"/>
      <c r="V218" s="581"/>
      <c r="W218" s="581"/>
      <c r="X218" s="581"/>
      <c r="Y218" s="580"/>
    </row>
    <row r="219" spans="12:25" x14ac:dyDescent="0.2">
      <c r="L219" s="581"/>
      <c r="M219" s="581"/>
      <c r="N219" s="581"/>
      <c r="O219" s="581"/>
      <c r="P219" s="581"/>
      <c r="Q219" s="581"/>
      <c r="R219" s="581"/>
      <c r="S219" s="581">
        <v>217</v>
      </c>
      <c r="T219" s="581">
        <v>150</v>
      </c>
      <c r="U219" s="581"/>
      <c r="V219" s="581"/>
      <c r="W219" s="581"/>
      <c r="X219" s="581"/>
      <c r="Y219" s="580"/>
    </row>
    <row r="220" spans="12:25" x14ac:dyDescent="0.2">
      <c r="L220" s="581"/>
      <c r="M220" s="581"/>
      <c r="N220" s="581"/>
      <c r="O220" s="581"/>
      <c r="P220" s="581"/>
      <c r="Q220" s="581"/>
      <c r="R220" s="581"/>
      <c r="S220" s="581">
        <v>218</v>
      </c>
      <c r="T220" s="581">
        <v>150</v>
      </c>
      <c r="U220" s="581"/>
      <c r="V220" s="581"/>
      <c r="W220" s="581"/>
      <c r="X220" s="581"/>
      <c r="Y220" s="580"/>
    </row>
    <row r="221" spans="12:25" x14ac:dyDescent="0.2">
      <c r="L221" s="581"/>
      <c r="M221" s="581"/>
      <c r="N221" s="581"/>
      <c r="O221" s="581"/>
      <c r="P221" s="581"/>
      <c r="Q221" s="581"/>
      <c r="R221" s="581"/>
      <c r="S221" s="581">
        <v>219</v>
      </c>
      <c r="T221" s="581">
        <v>150</v>
      </c>
      <c r="U221" s="581"/>
      <c r="V221" s="581"/>
      <c r="W221" s="581"/>
      <c r="X221" s="581"/>
      <c r="Y221" s="580"/>
    </row>
    <row r="222" spans="12:25" x14ac:dyDescent="0.2">
      <c r="L222" s="581"/>
      <c r="M222" s="581"/>
      <c r="N222" s="581"/>
      <c r="O222" s="581"/>
      <c r="P222" s="581"/>
      <c r="Q222" s="581"/>
      <c r="R222" s="581"/>
      <c r="S222" s="581">
        <v>220</v>
      </c>
      <c r="T222" s="581">
        <v>150</v>
      </c>
      <c r="U222" s="581"/>
      <c r="V222" s="581"/>
      <c r="W222" s="581"/>
      <c r="X222" s="581"/>
      <c r="Y222" s="580"/>
    </row>
    <row r="223" spans="12:25" x14ac:dyDescent="0.2">
      <c r="L223" s="581"/>
      <c r="M223" s="581"/>
      <c r="N223" s="581"/>
      <c r="O223" s="581"/>
      <c r="P223" s="581"/>
      <c r="Q223" s="581"/>
      <c r="R223" s="581"/>
      <c r="S223" s="581">
        <v>221</v>
      </c>
      <c r="T223" s="581">
        <v>150</v>
      </c>
      <c r="U223" s="581"/>
      <c r="V223" s="581"/>
      <c r="W223" s="581"/>
      <c r="X223" s="581"/>
      <c r="Y223" s="580"/>
    </row>
    <row r="224" spans="12:25" x14ac:dyDescent="0.2">
      <c r="L224" s="581"/>
      <c r="M224" s="581"/>
      <c r="N224" s="581"/>
      <c r="O224" s="581"/>
      <c r="P224" s="581"/>
      <c r="Q224" s="581"/>
      <c r="R224" s="581"/>
      <c r="S224" s="581">
        <v>222</v>
      </c>
      <c r="T224" s="581">
        <v>150</v>
      </c>
      <c r="U224" s="581"/>
      <c r="V224" s="581"/>
      <c r="W224" s="581"/>
      <c r="X224" s="581"/>
      <c r="Y224" s="580"/>
    </row>
    <row r="225" spans="12:25" x14ac:dyDescent="0.2">
      <c r="L225" s="581"/>
      <c r="M225" s="581"/>
      <c r="N225" s="581"/>
      <c r="O225" s="581"/>
      <c r="P225" s="581"/>
      <c r="Q225" s="581"/>
      <c r="R225" s="581"/>
      <c r="S225" s="581">
        <v>223</v>
      </c>
      <c r="T225" s="581">
        <v>150</v>
      </c>
      <c r="U225" s="581"/>
      <c r="V225" s="581"/>
      <c r="W225" s="581"/>
      <c r="X225" s="581"/>
      <c r="Y225" s="580"/>
    </row>
    <row r="226" spans="12:25" x14ac:dyDescent="0.2">
      <c r="L226" s="581"/>
      <c r="M226" s="581"/>
      <c r="N226" s="581"/>
      <c r="O226" s="581"/>
      <c r="P226" s="581"/>
      <c r="Q226" s="581"/>
      <c r="R226" s="581"/>
      <c r="S226" s="581">
        <v>224</v>
      </c>
      <c r="T226" s="581">
        <v>150</v>
      </c>
      <c r="U226" s="581"/>
      <c r="V226" s="581"/>
      <c r="W226" s="581"/>
      <c r="X226" s="581"/>
      <c r="Y226" s="580"/>
    </row>
    <row r="227" spans="12:25" x14ac:dyDescent="0.2">
      <c r="L227" s="581"/>
      <c r="M227" s="581"/>
      <c r="N227" s="581"/>
      <c r="O227" s="581"/>
      <c r="P227" s="581"/>
      <c r="Q227" s="581"/>
      <c r="R227" s="581"/>
      <c r="S227" s="581">
        <v>225</v>
      </c>
      <c r="T227" s="581">
        <v>150</v>
      </c>
      <c r="U227" s="581"/>
      <c r="V227" s="581"/>
      <c r="W227" s="581"/>
      <c r="X227" s="581"/>
      <c r="Y227" s="580"/>
    </row>
    <row r="228" spans="12:25" x14ac:dyDescent="0.2">
      <c r="L228" s="581"/>
      <c r="M228" s="581"/>
      <c r="N228" s="581"/>
      <c r="O228" s="581"/>
      <c r="P228" s="581"/>
      <c r="Q228" s="581"/>
      <c r="R228" s="581"/>
      <c r="S228" s="581">
        <v>226</v>
      </c>
      <c r="T228" s="581">
        <v>150</v>
      </c>
      <c r="U228" s="581"/>
      <c r="V228" s="581"/>
      <c r="W228" s="581"/>
      <c r="X228" s="581"/>
      <c r="Y228" s="580"/>
    </row>
    <row r="229" spans="12:25" x14ac:dyDescent="0.2">
      <c r="L229" s="581"/>
      <c r="M229" s="581"/>
      <c r="N229" s="581"/>
      <c r="O229" s="581"/>
      <c r="P229" s="581"/>
      <c r="Q229" s="581"/>
      <c r="R229" s="581"/>
      <c r="S229" s="581">
        <v>227</v>
      </c>
      <c r="T229" s="581">
        <v>150</v>
      </c>
      <c r="U229" s="581"/>
      <c r="V229" s="581"/>
      <c r="W229" s="581"/>
      <c r="X229" s="581"/>
      <c r="Y229" s="580"/>
    </row>
    <row r="230" spans="12:25" x14ac:dyDescent="0.2">
      <c r="L230" s="581"/>
      <c r="M230" s="581"/>
      <c r="N230" s="581"/>
      <c r="O230" s="581"/>
      <c r="P230" s="581"/>
      <c r="Q230" s="581"/>
      <c r="R230" s="581"/>
      <c r="S230" s="581">
        <v>228</v>
      </c>
      <c r="T230" s="581">
        <v>150</v>
      </c>
      <c r="U230" s="581"/>
      <c r="V230" s="581"/>
      <c r="W230" s="581"/>
      <c r="X230" s="581"/>
      <c r="Y230" s="580"/>
    </row>
    <row r="231" spans="12:25" x14ac:dyDescent="0.2">
      <c r="L231" s="581"/>
      <c r="M231" s="581"/>
      <c r="N231" s="581"/>
      <c r="O231" s="581"/>
      <c r="P231" s="581"/>
      <c r="Q231" s="581"/>
      <c r="R231" s="581"/>
      <c r="S231" s="581">
        <v>229</v>
      </c>
      <c r="T231" s="581">
        <v>150</v>
      </c>
      <c r="U231" s="581"/>
      <c r="V231" s="581"/>
      <c r="W231" s="581"/>
      <c r="X231" s="581"/>
      <c r="Y231" s="580"/>
    </row>
    <row r="232" spans="12:25" x14ac:dyDescent="0.2">
      <c r="L232" s="581"/>
      <c r="M232" s="581"/>
      <c r="N232" s="581"/>
      <c r="O232" s="581"/>
      <c r="P232" s="581"/>
      <c r="Q232" s="581"/>
      <c r="R232" s="581"/>
      <c r="S232" s="581">
        <v>230</v>
      </c>
      <c r="T232" s="581">
        <v>150</v>
      </c>
      <c r="U232" s="581"/>
      <c r="V232" s="581"/>
      <c r="W232" s="581"/>
      <c r="X232" s="581"/>
      <c r="Y232" s="580"/>
    </row>
    <row r="233" spans="12:25" x14ac:dyDescent="0.2">
      <c r="L233" s="581"/>
      <c r="M233" s="581"/>
      <c r="N233" s="581"/>
      <c r="O233" s="581"/>
      <c r="P233" s="581"/>
      <c r="Q233" s="581"/>
      <c r="R233" s="581"/>
      <c r="S233" s="581">
        <v>231</v>
      </c>
      <c r="T233" s="581">
        <v>150</v>
      </c>
      <c r="U233" s="581"/>
      <c r="V233" s="581"/>
      <c r="W233" s="581"/>
      <c r="X233" s="581"/>
      <c r="Y233" s="580"/>
    </row>
    <row r="234" spans="12:25" x14ac:dyDescent="0.2">
      <c r="L234" s="581"/>
      <c r="M234" s="581"/>
      <c r="N234" s="581"/>
      <c r="O234" s="581"/>
      <c r="P234" s="581"/>
      <c r="Q234" s="581"/>
      <c r="R234" s="581"/>
      <c r="S234" s="581">
        <v>232</v>
      </c>
      <c r="T234" s="581">
        <v>150</v>
      </c>
      <c r="U234" s="581"/>
      <c r="V234" s="581"/>
      <c r="W234" s="581"/>
      <c r="X234" s="581"/>
      <c r="Y234" s="580"/>
    </row>
    <row r="235" spans="12:25" x14ac:dyDescent="0.2">
      <c r="L235" s="581"/>
      <c r="M235" s="581"/>
      <c r="N235" s="581"/>
      <c r="O235" s="581"/>
      <c r="P235" s="581"/>
      <c r="Q235" s="581"/>
      <c r="R235" s="581"/>
      <c r="S235" s="581">
        <v>233</v>
      </c>
      <c r="T235" s="581">
        <v>150</v>
      </c>
      <c r="U235" s="581"/>
      <c r="V235" s="581"/>
      <c r="W235" s="581"/>
      <c r="X235" s="581"/>
      <c r="Y235" s="580"/>
    </row>
    <row r="236" spans="12:25" x14ac:dyDescent="0.2">
      <c r="L236" s="581"/>
      <c r="M236" s="581"/>
      <c r="N236" s="581"/>
      <c r="O236" s="581"/>
      <c r="P236" s="581"/>
      <c r="Q236" s="581"/>
      <c r="R236" s="581"/>
      <c r="S236" s="581">
        <v>234</v>
      </c>
      <c r="T236" s="581">
        <v>150</v>
      </c>
      <c r="U236" s="581"/>
      <c r="V236" s="581"/>
      <c r="W236" s="581"/>
      <c r="X236" s="581"/>
      <c r="Y236" s="580"/>
    </row>
    <row r="237" spans="12:25" x14ac:dyDescent="0.2">
      <c r="L237" s="581"/>
      <c r="M237" s="581"/>
      <c r="N237" s="581"/>
      <c r="O237" s="581"/>
      <c r="P237" s="581"/>
      <c r="Q237" s="581"/>
      <c r="R237" s="581"/>
      <c r="S237" s="581">
        <v>235</v>
      </c>
      <c r="T237" s="581">
        <v>150</v>
      </c>
      <c r="U237" s="581"/>
      <c r="V237" s="581"/>
      <c r="W237" s="581"/>
      <c r="X237" s="581"/>
      <c r="Y237" s="580"/>
    </row>
    <row r="238" spans="12:25" x14ac:dyDescent="0.2">
      <c r="L238" s="581"/>
      <c r="M238" s="581"/>
      <c r="N238" s="581"/>
      <c r="O238" s="581"/>
      <c r="P238" s="581"/>
      <c r="Q238" s="581"/>
      <c r="R238" s="581"/>
      <c r="S238" s="581">
        <v>236</v>
      </c>
      <c r="T238" s="581">
        <v>150</v>
      </c>
      <c r="U238" s="581"/>
      <c r="V238" s="581"/>
      <c r="W238" s="581"/>
      <c r="X238" s="581"/>
      <c r="Y238" s="580"/>
    </row>
    <row r="239" spans="12:25" x14ac:dyDescent="0.2">
      <c r="L239" s="581"/>
      <c r="M239" s="581"/>
      <c r="N239" s="581"/>
      <c r="O239" s="581"/>
      <c r="P239" s="581"/>
      <c r="Q239" s="581"/>
      <c r="R239" s="581"/>
      <c r="S239" s="581">
        <v>237</v>
      </c>
      <c r="T239" s="581">
        <v>150</v>
      </c>
      <c r="U239" s="581"/>
      <c r="V239" s="581"/>
      <c r="W239" s="581"/>
      <c r="X239" s="581"/>
      <c r="Y239" s="580"/>
    </row>
    <row r="240" spans="12:25" x14ac:dyDescent="0.2">
      <c r="L240" s="581"/>
      <c r="M240" s="581"/>
      <c r="N240" s="581"/>
      <c r="O240" s="581"/>
      <c r="P240" s="581"/>
      <c r="Q240" s="581"/>
      <c r="R240" s="581"/>
      <c r="S240" s="581">
        <v>238</v>
      </c>
      <c r="T240" s="581">
        <v>150</v>
      </c>
      <c r="U240" s="581"/>
      <c r="V240" s="581"/>
      <c r="W240" s="581"/>
      <c r="X240" s="581"/>
      <c r="Y240" s="580"/>
    </row>
    <row r="241" spans="12:25" x14ac:dyDescent="0.2">
      <c r="L241" s="581"/>
      <c r="M241" s="581"/>
      <c r="N241" s="581"/>
      <c r="O241" s="581"/>
      <c r="P241" s="581"/>
      <c r="Q241" s="581"/>
      <c r="R241" s="581"/>
      <c r="S241" s="581">
        <v>239</v>
      </c>
      <c r="T241" s="581">
        <v>150</v>
      </c>
      <c r="U241" s="581"/>
      <c r="V241" s="581"/>
      <c r="W241" s="581"/>
      <c r="X241" s="581"/>
      <c r="Y241" s="580"/>
    </row>
    <row r="242" spans="12:25" x14ac:dyDescent="0.2">
      <c r="L242" s="581"/>
      <c r="M242" s="581"/>
      <c r="N242" s="581"/>
      <c r="O242" s="581"/>
      <c r="P242" s="581"/>
      <c r="Q242" s="581"/>
      <c r="R242" s="581"/>
      <c r="S242" s="581">
        <v>240</v>
      </c>
      <c r="T242" s="581">
        <v>150</v>
      </c>
      <c r="U242" s="581"/>
      <c r="V242" s="581"/>
      <c r="W242" s="581"/>
      <c r="X242" s="581"/>
      <c r="Y242" s="580"/>
    </row>
    <row r="243" spans="12:25" x14ac:dyDescent="0.2">
      <c r="L243" s="581"/>
      <c r="M243" s="581"/>
      <c r="N243" s="581"/>
      <c r="O243" s="581"/>
      <c r="P243" s="581"/>
      <c r="Q243" s="581"/>
      <c r="R243" s="581"/>
      <c r="S243" s="581">
        <v>241</v>
      </c>
      <c r="T243" s="581">
        <v>150</v>
      </c>
      <c r="U243" s="581"/>
      <c r="V243" s="581"/>
      <c r="W243" s="581"/>
      <c r="X243" s="581"/>
      <c r="Y243" s="580"/>
    </row>
    <row r="244" spans="12:25" x14ac:dyDescent="0.2">
      <c r="L244" s="581"/>
      <c r="M244" s="581"/>
      <c r="N244" s="581"/>
      <c r="O244" s="581"/>
      <c r="P244" s="581"/>
      <c r="Q244" s="581"/>
      <c r="R244" s="581"/>
      <c r="S244" s="581">
        <v>242</v>
      </c>
      <c r="T244" s="581">
        <v>150</v>
      </c>
      <c r="U244" s="581"/>
      <c r="V244" s="581"/>
      <c r="W244" s="581"/>
      <c r="X244" s="581"/>
      <c r="Y244" s="580"/>
    </row>
    <row r="245" spans="12:25" x14ac:dyDescent="0.2">
      <c r="L245" s="581"/>
      <c r="M245" s="581"/>
      <c r="N245" s="581"/>
      <c r="O245" s="581"/>
      <c r="P245" s="581"/>
      <c r="Q245" s="581"/>
      <c r="R245" s="581"/>
      <c r="S245" s="581">
        <v>243</v>
      </c>
      <c r="T245" s="581">
        <v>150</v>
      </c>
      <c r="U245" s="581"/>
      <c r="V245" s="581"/>
      <c r="W245" s="581"/>
      <c r="X245" s="581"/>
      <c r="Y245" s="580"/>
    </row>
    <row r="246" spans="12:25" x14ac:dyDescent="0.2">
      <c r="L246" s="581"/>
      <c r="M246" s="581"/>
      <c r="N246" s="581"/>
      <c r="O246" s="581"/>
      <c r="P246" s="581"/>
      <c r="Q246" s="581"/>
      <c r="R246" s="581"/>
      <c r="S246" s="581">
        <v>244</v>
      </c>
      <c r="T246" s="581">
        <v>150</v>
      </c>
      <c r="U246" s="581"/>
      <c r="V246" s="581"/>
      <c r="W246" s="581"/>
      <c r="X246" s="581"/>
      <c r="Y246" s="580"/>
    </row>
    <row r="247" spans="12:25" x14ac:dyDescent="0.2">
      <c r="L247" s="581"/>
      <c r="M247" s="581"/>
      <c r="N247" s="581"/>
      <c r="O247" s="581"/>
      <c r="P247" s="581"/>
      <c r="Q247" s="581"/>
      <c r="R247" s="581"/>
      <c r="S247" s="581">
        <v>245</v>
      </c>
      <c r="T247" s="581">
        <v>150</v>
      </c>
      <c r="U247" s="581"/>
      <c r="V247" s="581"/>
      <c r="W247" s="581"/>
      <c r="X247" s="581"/>
      <c r="Y247" s="580"/>
    </row>
    <row r="248" spans="12:25" x14ac:dyDescent="0.2">
      <c r="L248" s="581"/>
      <c r="M248" s="581"/>
      <c r="N248" s="581"/>
      <c r="O248" s="581"/>
      <c r="P248" s="581"/>
      <c r="Q248" s="581"/>
      <c r="R248" s="581"/>
      <c r="S248" s="581">
        <v>246</v>
      </c>
      <c r="T248" s="581">
        <v>150</v>
      </c>
      <c r="U248" s="581"/>
      <c r="V248" s="581"/>
      <c r="W248" s="581"/>
      <c r="X248" s="581"/>
      <c r="Y248" s="580"/>
    </row>
    <row r="249" spans="12:25" x14ac:dyDescent="0.2">
      <c r="L249" s="581"/>
      <c r="M249" s="581"/>
      <c r="N249" s="581"/>
      <c r="O249" s="581"/>
      <c r="P249" s="581"/>
      <c r="Q249" s="581"/>
      <c r="R249" s="581"/>
      <c r="S249" s="581">
        <v>247</v>
      </c>
      <c r="T249" s="581">
        <v>150</v>
      </c>
      <c r="U249" s="581"/>
      <c r="V249" s="581"/>
      <c r="W249" s="581"/>
      <c r="X249" s="581"/>
      <c r="Y249" s="580"/>
    </row>
    <row r="250" spans="12:25" x14ac:dyDescent="0.2">
      <c r="L250" s="581"/>
      <c r="M250" s="581"/>
      <c r="N250" s="581"/>
      <c r="O250" s="581"/>
      <c r="P250" s="581"/>
      <c r="Q250" s="581"/>
      <c r="R250" s="581"/>
      <c r="S250" s="581">
        <v>248</v>
      </c>
      <c r="T250" s="581">
        <v>150</v>
      </c>
      <c r="U250" s="581"/>
      <c r="V250" s="581"/>
      <c r="W250" s="581"/>
      <c r="X250" s="581"/>
      <c r="Y250" s="580"/>
    </row>
    <row r="251" spans="12:25" x14ac:dyDescent="0.2">
      <c r="L251" s="581"/>
      <c r="M251" s="581"/>
      <c r="N251" s="581"/>
      <c r="O251" s="581"/>
      <c r="P251" s="581"/>
      <c r="Q251" s="581"/>
      <c r="R251" s="581"/>
      <c r="S251" s="581">
        <v>249</v>
      </c>
      <c r="T251" s="581">
        <v>150</v>
      </c>
      <c r="U251" s="581"/>
      <c r="V251" s="581"/>
      <c r="W251" s="581"/>
      <c r="X251" s="581"/>
      <c r="Y251" s="580"/>
    </row>
    <row r="252" spans="12:25" x14ac:dyDescent="0.2">
      <c r="L252" s="581"/>
      <c r="M252" s="581"/>
      <c r="N252" s="581"/>
      <c r="O252" s="581"/>
      <c r="P252" s="581"/>
      <c r="Q252" s="581"/>
      <c r="R252" s="581"/>
      <c r="S252" s="581">
        <v>250</v>
      </c>
      <c r="T252" s="581">
        <v>150</v>
      </c>
      <c r="U252" s="581"/>
      <c r="V252" s="581"/>
      <c r="W252" s="581"/>
      <c r="X252" s="581"/>
      <c r="Y252" s="580"/>
    </row>
    <row r="253" spans="12:25" x14ac:dyDescent="0.2">
      <c r="L253" s="581"/>
      <c r="M253" s="581"/>
      <c r="N253" s="581"/>
      <c r="O253" s="581"/>
      <c r="P253" s="581"/>
      <c r="Q253" s="581"/>
      <c r="R253" s="581"/>
      <c r="S253" s="581">
        <v>251</v>
      </c>
      <c r="T253" s="581">
        <v>150</v>
      </c>
      <c r="U253" s="581"/>
      <c r="V253" s="581"/>
      <c r="W253" s="581"/>
      <c r="X253" s="581"/>
      <c r="Y253" s="580"/>
    </row>
    <row r="254" spans="12:25" x14ac:dyDescent="0.2">
      <c r="L254" s="581"/>
      <c r="M254" s="581"/>
      <c r="N254" s="581"/>
      <c r="O254" s="581"/>
      <c r="P254" s="581"/>
      <c r="Q254" s="581"/>
      <c r="R254" s="581"/>
      <c r="S254" s="581">
        <v>252</v>
      </c>
      <c r="T254" s="581">
        <v>150</v>
      </c>
      <c r="U254" s="581"/>
      <c r="V254" s="581"/>
      <c r="W254" s="581"/>
      <c r="X254" s="581"/>
      <c r="Y254" s="580"/>
    </row>
    <row r="255" spans="12:25" x14ac:dyDescent="0.2">
      <c r="L255" s="581"/>
      <c r="M255" s="581"/>
      <c r="N255" s="581"/>
      <c r="O255" s="581"/>
      <c r="P255" s="581"/>
      <c r="Q255" s="581"/>
      <c r="R255" s="581"/>
      <c r="S255" s="581">
        <v>253</v>
      </c>
      <c r="T255" s="581">
        <v>150</v>
      </c>
      <c r="U255" s="581"/>
      <c r="V255" s="581"/>
      <c r="W255" s="581"/>
      <c r="X255" s="581"/>
      <c r="Y255" s="580"/>
    </row>
    <row r="256" spans="12:25" x14ac:dyDescent="0.2">
      <c r="L256" s="581"/>
      <c r="M256" s="581"/>
      <c r="N256" s="581"/>
      <c r="O256" s="581"/>
      <c r="P256" s="581"/>
      <c r="Q256" s="581"/>
      <c r="R256" s="581"/>
      <c r="S256" s="581">
        <v>254</v>
      </c>
      <c r="T256" s="581">
        <v>150</v>
      </c>
      <c r="U256" s="581"/>
      <c r="V256" s="581"/>
      <c r="W256" s="581"/>
      <c r="X256" s="581"/>
      <c r="Y256" s="580"/>
    </row>
    <row r="257" spans="12:25" x14ac:dyDescent="0.2">
      <c r="L257" s="581"/>
      <c r="M257" s="581"/>
      <c r="N257" s="581"/>
      <c r="O257" s="581"/>
      <c r="P257" s="581"/>
      <c r="Q257" s="581"/>
      <c r="R257" s="581"/>
      <c r="S257" s="581">
        <v>255</v>
      </c>
      <c r="T257" s="581">
        <v>150</v>
      </c>
      <c r="U257" s="581"/>
      <c r="V257" s="581"/>
      <c r="W257" s="581"/>
      <c r="X257" s="581"/>
      <c r="Y257" s="580"/>
    </row>
    <row r="258" spans="12:25" x14ac:dyDescent="0.2">
      <c r="L258" s="581"/>
      <c r="M258" s="581"/>
      <c r="N258" s="581"/>
      <c r="O258" s="581"/>
      <c r="P258" s="581"/>
      <c r="Q258" s="581"/>
      <c r="R258" s="581"/>
      <c r="S258" s="581">
        <v>256</v>
      </c>
      <c r="T258" s="581">
        <v>150</v>
      </c>
      <c r="U258" s="581"/>
      <c r="V258" s="581"/>
      <c r="W258" s="581"/>
      <c r="X258" s="581"/>
      <c r="Y258" s="580"/>
    </row>
    <row r="259" spans="12:25" x14ac:dyDescent="0.2">
      <c r="L259" s="581"/>
      <c r="M259" s="581"/>
      <c r="N259" s="581"/>
      <c r="O259" s="581"/>
      <c r="P259" s="581"/>
      <c r="Q259" s="581"/>
      <c r="R259" s="581"/>
      <c r="S259" s="581">
        <v>257</v>
      </c>
      <c r="T259" s="581">
        <v>150</v>
      </c>
      <c r="U259" s="581"/>
      <c r="V259" s="581"/>
      <c r="W259" s="581"/>
      <c r="X259" s="581"/>
      <c r="Y259" s="580"/>
    </row>
    <row r="260" spans="12:25" x14ac:dyDescent="0.2">
      <c r="L260" s="581"/>
      <c r="M260" s="581"/>
      <c r="N260" s="581"/>
      <c r="O260" s="581"/>
      <c r="P260" s="581"/>
      <c r="Q260" s="581"/>
      <c r="R260" s="581"/>
      <c r="S260" s="581">
        <v>258</v>
      </c>
      <c r="T260" s="581">
        <v>150</v>
      </c>
      <c r="U260" s="581"/>
      <c r="V260" s="581"/>
      <c r="W260" s="581"/>
      <c r="X260" s="581"/>
      <c r="Y260" s="580"/>
    </row>
    <row r="261" spans="12:25" x14ac:dyDescent="0.2">
      <c r="L261" s="581"/>
      <c r="M261" s="581"/>
      <c r="N261" s="581"/>
      <c r="O261" s="581"/>
      <c r="P261" s="581"/>
      <c r="Q261" s="581"/>
      <c r="R261" s="581"/>
      <c r="S261" s="581">
        <v>259</v>
      </c>
      <c r="T261" s="581">
        <v>150</v>
      </c>
      <c r="U261" s="581"/>
      <c r="V261" s="581"/>
      <c r="W261" s="581"/>
      <c r="X261" s="581"/>
      <c r="Y261" s="580"/>
    </row>
    <row r="262" spans="12:25" x14ac:dyDescent="0.2">
      <c r="L262" s="581"/>
      <c r="M262" s="581"/>
      <c r="N262" s="581"/>
      <c r="O262" s="581"/>
      <c r="P262" s="581"/>
      <c r="Q262" s="581"/>
      <c r="R262" s="581"/>
      <c r="S262" s="581">
        <v>260</v>
      </c>
      <c r="T262" s="581">
        <v>150</v>
      </c>
      <c r="U262" s="581"/>
      <c r="V262" s="581"/>
      <c r="W262" s="581"/>
      <c r="X262" s="581"/>
      <c r="Y262" s="580"/>
    </row>
    <row r="263" spans="12:25" x14ac:dyDescent="0.2">
      <c r="L263" s="581"/>
      <c r="M263" s="581"/>
      <c r="N263" s="581"/>
      <c r="O263" s="581"/>
      <c r="P263" s="581"/>
      <c r="Q263" s="581"/>
      <c r="R263" s="581"/>
      <c r="S263" s="581">
        <v>261</v>
      </c>
      <c r="T263" s="581">
        <v>150</v>
      </c>
      <c r="U263" s="581"/>
      <c r="V263" s="581"/>
      <c r="W263" s="581"/>
      <c r="X263" s="581"/>
      <c r="Y263" s="580"/>
    </row>
    <row r="264" spans="12:25" x14ac:dyDescent="0.2">
      <c r="L264" s="581"/>
      <c r="M264" s="581"/>
      <c r="N264" s="581"/>
      <c r="O264" s="581"/>
      <c r="P264" s="581"/>
      <c r="Q264" s="581"/>
      <c r="R264" s="581"/>
      <c r="S264" s="581">
        <v>262</v>
      </c>
      <c r="T264" s="581">
        <v>150</v>
      </c>
      <c r="U264" s="581"/>
      <c r="V264" s="581"/>
      <c r="W264" s="581"/>
      <c r="X264" s="581"/>
      <c r="Y264" s="580"/>
    </row>
    <row r="265" spans="12:25" x14ac:dyDescent="0.2">
      <c r="L265" s="581"/>
      <c r="M265" s="581"/>
      <c r="N265" s="581"/>
      <c r="O265" s="581"/>
      <c r="P265" s="581"/>
      <c r="Q265" s="581"/>
      <c r="R265" s="581"/>
      <c r="S265" s="581">
        <v>263</v>
      </c>
      <c r="T265" s="581">
        <v>150</v>
      </c>
      <c r="U265" s="581"/>
      <c r="V265" s="581"/>
      <c r="W265" s="581"/>
      <c r="X265" s="581"/>
      <c r="Y265" s="580"/>
    </row>
    <row r="266" spans="12:25" x14ac:dyDescent="0.2">
      <c r="L266" s="581"/>
      <c r="M266" s="581"/>
      <c r="N266" s="581"/>
      <c r="O266" s="581"/>
      <c r="P266" s="581"/>
      <c r="Q266" s="581"/>
      <c r="R266" s="581"/>
      <c r="S266" s="581">
        <v>264</v>
      </c>
      <c r="T266" s="581">
        <v>150</v>
      </c>
      <c r="U266" s="581"/>
      <c r="V266" s="581"/>
      <c r="W266" s="581"/>
      <c r="X266" s="581"/>
      <c r="Y266" s="580"/>
    </row>
    <row r="267" spans="12:25" x14ac:dyDescent="0.2">
      <c r="L267" s="581"/>
      <c r="M267" s="581"/>
      <c r="N267" s="581"/>
      <c r="O267" s="581"/>
      <c r="P267" s="581"/>
      <c r="Q267" s="581"/>
      <c r="R267" s="581"/>
      <c r="S267" s="581">
        <v>265</v>
      </c>
      <c r="T267" s="581">
        <v>150</v>
      </c>
      <c r="U267" s="581"/>
      <c r="V267" s="581"/>
      <c r="W267" s="581"/>
      <c r="X267" s="581"/>
      <c r="Y267" s="580"/>
    </row>
    <row r="268" spans="12:25" x14ac:dyDescent="0.2">
      <c r="L268" s="581"/>
      <c r="M268" s="581"/>
      <c r="N268" s="581"/>
      <c r="O268" s="581"/>
      <c r="P268" s="581"/>
      <c r="Q268" s="581"/>
      <c r="R268" s="581"/>
      <c r="S268" s="581">
        <v>266</v>
      </c>
      <c r="T268" s="581">
        <v>150</v>
      </c>
      <c r="U268" s="581"/>
      <c r="V268" s="581"/>
      <c r="W268" s="581"/>
      <c r="X268" s="581"/>
      <c r="Y268" s="580"/>
    </row>
    <row r="269" spans="12:25" x14ac:dyDescent="0.2">
      <c r="L269" s="581"/>
      <c r="M269" s="581"/>
      <c r="N269" s="581"/>
      <c r="O269" s="581"/>
      <c r="P269" s="581"/>
      <c r="Q269" s="581"/>
      <c r="R269" s="581"/>
      <c r="S269" s="581">
        <v>267</v>
      </c>
      <c r="T269" s="581">
        <v>150</v>
      </c>
      <c r="U269" s="581"/>
      <c r="V269" s="581"/>
      <c r="W269" s="581"/>
      <c r="X269" s="581"/>
      <c r="Y269" s="580"/>
    </row>
    <row r="270" spans="12:25" x14ac:dyDescent="0.2">
      <c r="L270" s="581"/>
      <c r="M270" s="581"/>
      <c r="N270" s="581"/>
      <c r="O270" s="581"/>
      <c r="P270" s="581"/>
      <c r="Q270" s="581"/>
      <c r="R270" s="581"/>
      <c r="S270" s="581">
        <v>268</v>
      </c>
      <c r="T270" s="581">
        <v>150</v>
      </c>
      <c r="U270" s="581"/>
      <c r="V270" s="581"/>
      <c r="W270" s="581"/>
      <c r="X270" s="581"/>
      <c r="Y270" s="580"/>
    </row>
    <row r="271" spans="12:25" x14ac:dyDescent="0.2">
      <c r="L271" s="581"/>
      <c r="M271" s="581"/>
      <c r="N271" s="581"/>
      <c r="O271" s="581"/>
      <c r="P271" s="581"/>
      <c r="Q271" s="581"/>
      <c r="R271" s="581"/>
      <c r="S271" s="581">
        <v>269</v>
      </c>
      <c r="T271" s="581">
        <v>150</v>
      </c>
      <c r="U271" s="581"/>
      <c r="V271" s="581"/>
      <c r="W271" s="581"/>
      <c r="X271" s="581"/>
      <c r="Y271" s="580"/>
    </row>
    <row r="272" spans="12:25" x14ac:dyDescent="0.2">
      <c r="L272" s="581"/>
      <c r="M272" s="581"/>
      <c r="N272" s="581"/>
      <c r="O272" s="581"/>
      <c r="P272" s="581"/>
      <c r="Q272" s="581"/>
      <c r="R272" s="581"/>
      <c r="S272" s="581">
        <v>270</v>
      </c>
      <c r="T272" s="581">
        <v>150</v>
      </c>
      <c r="U272" s="581"/>
      <c r="V272" s="581"/>
      <c r="W272" s="581"/>
      <c r="X272" s="581"/>
      <c r="Y272" s="580"/>
    </row>
    <row r="273" spans="12:25" x14ac:dyDescent="0.2">
      <c r="L273" s="581"/>
      <c r="M273" s="581"/>
      <c r="N273" s="581"/>
      <c r="O273" s="581"/>
      <c r="P273" s="581"/>
      <c r="Q273" s="581"/>
      <c r="R273" s="581"/>
      <c r="S273" s="581">
        <v>271</v>
      </c>
      <c r="T273" s="581">
        <v>150</v>
      </c>
      <c r="U273" s="581"/>
      <c r="V273" s="581"/>
      <c r="W273" s="581"/>
      <c r="X273" s="581"/>
      <c r="Y273" s="580"/>
    </row>
    <row r="274" spans="12:25" x14ac:dyDescent="0.2">
      <c r="L274" s="581"/>
      <c r="M274" s="581"/>
      <c r="N274" s="581"/>
      <c r="O274" s="581"/>
      <c r="P274" s="581"/>
      <c r="Q274" s="581"/>
      <c r="R274" s="581"/>
      <c r="S274" s="581">
        <v>272</v>
      </c>
      <c r="T274" s="581">
        <v>150</v>
      </c>
      <c r="U274" s="581"/>
      <c r="V274" s="581"/>
      <c r="W274" s="581"/>
      <c r="X274" s="581"/>
      <c r="Y274" s="580"/>
    </row>
    <row r="275" spans="12:25" x14ac:dyDescent="0.2">
      <c r="L275" s="581"/>
      <c r="M275" s="581"/>
      <c r="N275" s="581"/>
      <c r="O275" s="581"/>
      <c r="P275" s="581"/>
      <c r="Q275" s="581"/>
      <c r="R275" s="581"/>
      <c r="S275" s="581">
        <v>273</v>
      </c>
      <c r="T275" s="581">
        <v>150</v>
      </c>
      <c r="U275" s="581"/>
      <c r="V275" s="581"/>
      <c r="W275" s="581"/>
      <c r="X275" s="581"/>
      <c r="Y275" s="580"/>
    </row>
    <row r="276" spans="12:25" x14ac:dyDescent="0.2">
      <c r="L276" s="581"/>
      <c r="M276" s="581"/>
      <c r="N276" s="581"/>
      <c r="O276" s="581"/>
      <c r="P276" s="581"/>
      <c r="Q276" s="581"/>
      <c r="R276" s="581"/>
      <c r="S276" s="581">
        <v>274</v>
      </c>
      <c r="T276" s="581">
        <v>150</v>
      </c>
      <c r="U276" s="581"/>
      <c r="V276" s="581"/>
      <c r="W276" s="581"/>
      <c r="X276" s="581"/>
      <c r="Y276" s="580"/>
    </row>
    <row r="277" spans="12:25" x14ac:dyDescent="0.2">
      <c r="L277" s="581"/>
      <c r="M277" s="581"/>
      <c r="N277" s="581"/>
      <c r="O277" s="581"/>
      <c r="P277" s="581"/>
      <c r="Q277" s="581"/>
      <c r="R277" s="581"/>
      <c r="S277" s="581">
        <v>275</v>
      </c>
      <c r="T277" s="581">
        <v>150</v>
      </c>
      <c r="U277" s="581"/>
      <c r="V277" s="581"/>
      <c r="W277" s="581"/>
      <c r="X277" s="581"/>
      <c r="Y277" s="580"/>
    </row>
    <row r="278" spans="12:25" x14ac:dyDescent="0.2">
      <c r="L278" s="581"/>
      <c r="M278" s="581"/>
      <c r="N278" s="581"/>
      <c r="O278" s="581"/>
      <c r="P278" s="581"/>
      <c r="Q278" s="581"/>
      <c r="R278" s="581"/>
      <c r="S278" s="581">
        <v>276</v>
      </c>
      <c r="T278" s="581">
        <v>150</v>
      </c>
      <c r="U278" s="581"/>
      <c r="V278" s="581"/>
      <c r="W278" s="581"/>
      <c r="X278" s="581"/>
      <c r="Y278" s="580"/>
    </row>
    <row r="279" spans="12:25" x14ac:dyDescent="0.2">
      <c r="L279" s="581"/>
      <c r="M279" s="581"/>
      <c r="N279" s="581"/>
      <c r="O279" s="581"/>
      <c r="P279" s="581"/>
      <c r="Q279" s="581"/>
      <c r="R279" s="581"/>
      <c r="S279" s="581">
        <v>277</v>
      </c>
      <c r="T279" s="581">
        <v>150</v>
      </c>
      <c r="U279" s="581"/>
      <c r="V279" s="581"/>
      <c r="W279" s="581"/>
      <c r="X279" s="581"/>
      <c r="Y279" s="580"/>
    </row>
    <row r="280" spans="12:25" x14ac:dyDescent="0.2">
      <c r="L280" s="581"/>
      <c r="M280" s="581"/>
      <c r="N280" s="581"/>
      <c r="O280" s="581"/>
      <c r="P280" s="581"/>
      <c r="Q280" s="581"/>
      <c r="R280" s="581"/>
      <c r="S280" s="581">
        <v>278</v>
      </c>
      <c r="T280" s="581">
        <v>150</v>
      </c>
      <c r="U280" s="581"/>
      <c r="V280" s="581"/>
      <c r="W280" s="581"/>
      <c r="X280" s="581"/>
      <c r="Y280" s="580"/>
    </row>
    <row r="281" spans="12:25" x14ac:dyDescent="0.2">
      <c r="L281" s="581"/>
      <c r="M281" s="581"/>
      <c r="N281" s="581"/>
      <c r="O281" s="581"/>
      <c r="P281" s="581"/>
      <c r="Q281" s="581"/>
      <c r="R281" s="581"/>
      <c r="S281" s="581">
        <v>279</v>
      </c>
      <c r="T281" s="581">
        <v>150</v>
      </c>
      <c r="U281" s="581"/>
      <c r="V281" s="581"/>
      <c r="W281" s="581"/>
      <c r="X281" s="581"/>
      <c r="Y281" s="580"/>
    </row>
    <row r="282" spans="12:25" x14ac:dyDescent="0.2">
      <c r="L282" s="581"/>
      <c r="M282" s="581"/>
      <c r="N282" s="581"/>
      <c r="O282" s="581"/>
      <c r="P282" s="581"/>
      <c r="Q282" s="581"/>
      <c r="R282" s="581"/>
      <c r="S282" s="581">
        <v>280</v>
      </c>
      <c r="T282" s="581">
        <v>150</v>
      </c>
      <c r="U282" s="581"/>
      <c r="V282" s="581"/>
      <c r="W282" s="581"/>
      <c r="X282" s="581"/>
      <c r="Y282" s="580"/>
    </row>
    <row r="283" spans="12:25" x14ac:dyDescent="0.2">
      <c r="L283" s="581"/>
      <c r="M283" s="581"/>
      <c r="N283" s="581"/>
      <c r="O283" s="581"/>
      <c r="P283" s="581"/>
      <c r="Q283" s="581"/>
      <c r="R283" s="581"/>
      <c r="S283" s="581">
        <v>281</v>
      </c>
      <c r="T283" s="581">
        <v>150</v>
      </c>
      <c r="U283" s="581"/>
      <c r="V283" s="581"/>
      <c r="W283" s="581"/>
      <c r="X283" s="581"/>
      <c r="Y283" s="580"/>
    </row>
    <row r="284" spans="12:25" x14ac:dyDescent="0.2">
      <c r="L284" s="581"/>
      <c r="M284" s="581"/>
      <c r="N284" s="581"/>
      <c r="O284" s="581"/>
      <c r="P284" s="581"/>
      <c r="Q284" s="581"/>
      <c r="R284" s="581"/>
      <c r="S284" s="581">
        <v>282</v>
      </c>
      <c r="T284" s="581">
        <v>150</v>
      </c>
      <c r="U284" s="581"/>
      <c r="V284" s="581"/>
      <c r="W284" s="581"/>
      <c r="X284" s="581"/>
      <c r="Y284" s="580"/>
    </row>
    <row r="285" spans="12:25" x14ac:dyDescent="0.2">
      <c r="L285" s="581"/>
      <c r="M285" s="581"/>
      <c r="N285" s="581"/>
      <c r="O285" s="581"/>
      <c r="P285" s="581"/>
      <c r="Q285" s="581"/>
      <c r="R285" s="581"/>
      <c r="S285" s="581">
        <v>283</v>
      </c>
      <c r="T285" s="581">
        <v>150</v>
      </c>
      <c r="U285" s="581"/>
      <c r="V285" s="581"/>
      <c r="W285" s="581"/>
      <c r="X285" s="581"/>
      <c r="Y285" s="580"/>
    </row>
    <row r="286" spans="12:25" x14ac:dyDescent="0.2">
      <c r="L286" s="581"/>
      <c r="M286" s="581"/>
      <c r="N286" s="581"/>
      <c r="O286" s="581"/>
      <c r="P286" s="581"/>
      <c r="Q286" s="581"/>
      <c r="R286" s="581"/>
      <c r="S286" s="581">
        <v>284</v>
      </c>
      <c r="T286" s="581">
        <v>150</v>
      </c>
      <c r="U286" s="581"/>
      <c r="V286" s="581"/>
      <c r="W286" s="581"/>
      <c r="X286" s="581"/>
      <c r="Y286" s="580"/>
    </row>
    <row r="287" spans="12:25" x14ac:dyDescent="0.2">
      <c r="L287" s="581"/>
      <c r="M287" s="581"/>
      <c r="N287" s="581"/>
      <c r="O287" s="581"/>
      <c r="P287" s="581"/>
      <c r="Q287" s="581"/>
      <c r="R287" s="581"/>
      <c r="S287" s="581">
        <v>285</v>
      </c>
      <c r="T287" s="581">
        <v>150</v>
      </c>
      <c r="U287" s="581"/>
      <c r="V287" s="581"/>
      <c r="W287" s="581"/>
      <c r="X287" s="581"/>
      <c r="Y287" s="580"/>
    </row>
    <row r="288" spans="12:25" x14ac:dyDescent="0.2">
      <c r="L288" s="581"/>
      <c r="M288" s="581"/>
      <c r="N288" s="581"/>
      <c r="O288" s="581"/>
      <c r="P288" s="581"/>
      <c r="Q288" s="581"/>
      <c r="R288" s="581"/>
      <c r="S288" s="581">
        <v>286</v>
      </c>
      <c r="T288" s="581">
        <v>150</v>
      </c>
      <c r="U288" s="581"/>
      <c r="V288" s="581"/>
      <c r="W288" s="581"/>
      <c r="X288" s="581"/>
      <c r="Y288" s="580"/>
    </row>
    <row r="289" spans="12:25" x14ac:dyDescent="0.2">
      <c r="L289" s="581"/>
      <c r="M289" s="581"/>
      <c r="N289" s="581"/>
      <c r="O289" s="581"/>
      <c r="P289" s="581"/>
      <c r="Q289" s="581"/>
      <c r="R289" s="581"/>
      <c r="S289" s="581">
        <v>287</v>
      </c>
      <c r="T289" s="581">
        <v>150</v>
      </c>
      <c r="U289" s="581"/>
      <c r="V289" s="581"/>
      <c r="W289" s="581"/>
      <c r="X289" s="581"/>
      <c r="Y289" s="580"/>
    </row>
    <row r="290" spans="12:25" x14ac:dyDescent="0.2">
      <c r="L290" s="581"/>
      <c r="M290" s="581"/>
      <c r="N290" s="581"/>
      <c r="O290" s="581"/>
      <c r="P290" s="581"/>
      <c r="Q290" s="581"/>
      <c r="R290" s="581"/>
      <c r="S290" s="581">
        <v>288</v>
      </c>
      <c r="T290" s="581">
        <v>150</v>
      </c>
      <c r="U290" s="581"/>
      <c r="V290" s="581"/>
      <c r="W290" s="581"/>
      <c r="X290" s="581"/>
      <c r="Y290" s="580"/>
    </row>
    <row r="291" spans="12:25" x14ac:dyDescent="0.2">
      <c r="L291" s="581"/>
      <c r="M291" s="581"/>
      <c r="N291" s="581"/>
      <c r="O291" s="581"/>
      <c r="P291" s="581"/>
      <c r="Q291" s="581"/>
      <c r="R291" s="581"/>
      <c r="S291" s="581">
        <v>289</v>
      </c>
      <c r="T291" s="581">
        <v>150</v>
      </c>
      <c r="U291" s="581"/>
      <c r="V291" s="581"/>
      <c r="W291" s="581"/>
      <c r="X291" s="581"/>
      <c r="Y291" s="580"/>
    </row>
    <row r="292" spans="12:25" x14ac:dyDescent="0.2">
      <c r="L292" s="581"/>
      <c r="M292" s="581"/>
      <c r="N292" s="581"/>
      <c r="O292" s="581"/>
      <c r="P292" s="581"/>
      <c r="Q292" s="581"/>
      <c r="R292" s="581"/>
      <c r="S292" s="581">
        <v>290</v>
      </c>
      <c r="T292" s="581">
        <v>150</v>
      </c>
      <c r="U292" s="581"/>
      <c r="V292" s="581"/>
      <c r="W292" s="581"/>
      <c r="X292" s="581"/>
      <c r="Y292" s="580"/>
    </row>
    <row r="293" spans="12:25" x14ac:dyDescent="0.2">
      <c r="L293" s="581"/>
      <c r="M293" s="581"/>
      <c r="N293" s="581"/>
      <c r="O293" s="581"/>
      <c r="P293" s="581"/>
      <c r="Q293" s="581"/>
      <c r="R293" s="581"/>
      <c r="S293" s="581">
        <v>291</v>
      </c>
      <c r="T293" s="581">
        <v>150</v>
      </c>
      <c r="U293" s="581"/>
      <c r="V293" s="581"/>
      <c r="W293" s="581"/>
      <c r="X293" s="581"/>
      <c r="Y293" s="580"/>
    </row>
    <row r="294" spans="12:25" x14ac:dyDescent="0.2">
      <c r="L294" s="581"/>
      <c r="M294" s="581"/>
      <c r="N294" s="581"/>
      <c r="O294" s="581"/>
      <c r="P294" s="581"/>
      <c r="Q294" s="581"/>
      <c r="R294" s="581"/>
      <c r="S294" s="581">
        <v>292</v>
      </c>
      <c r="T294" s="581">
        <v>150</v>
      </c>
      <c r="U294" s="581"/>
      <c r="V294" s="581"/>
      <c r="W294" s="581"/>
      <c r="X294" s="581"/>
      <c r="Y294" s="580"/>
    </row>
    <row r="295" spans="12:25" x14ac:dyDescent="0.2">
      <c r="L295" s="581"/>
      <c r="M295" s="581"/>
      <c r="N295" s="581"/>
      <c r="O295" s="581"/>
      <c r="P295" s="581"/>
      <c r="Q295" s="581"/>
      <c r="R295" s="581"/>
      <c r="S295" s="581">
        <v>293</v>
      </c>
      <c r="T295" s="581">
        <v>150</v>
      </c>
      <c r="U295" s="581"/>
      <c r="V295" s="581"/>
      <c r="W295" s="581"/>
      <c r="X295" s="581"/>
      <c r="Y295" s="580"/>
    </row>
    <row r="296" spans="12:25" x14ac:dyDescent="0.2">
      <c r="L296" s="581"/>
      <c r="M296" s="581"/>
      <c r="N296" s="581"/>
      <c r="O296" s="581"/>
      <c r="P296" s="581"/>
      <c r="Q296" s="581"/>
      <c r="R296" s="581"/>
      <c r="S296" s="581">
        <v>294</v>
      </c>
      <c r="T296" s="581">
        <v>150</v>
      </c>
      <c r="U296" s="581"/>
      <c r="V296" s="581"/>
      <c r="W296" s="581"/>
      <c r="X296" s="581"/>
      <c r="Y296" s="580"/>
    </row>
    <row r="297" spans="12:25" x14ac:dyDescent="0.2">
      <c r="L297" s="581"/>
      <c r="M297" s="581"/>
      <c r="N297" s="581"/>
      <c r="O297" s="581"/>
      <c r="P297" s="581"/>
      <c r="Q297" s="581"/>
      <c r="R297" s="581"/>
      <c r="S297" s="581">
        <v>295</v>
      </c>
      <c r="T297" s="581">
        <v>150</v>
      </c>
      <c r="U297" s="581"/>
      <c r="V297" s="581"/>
      <c r="W297" s="581"/>
      <c r="X297" s="581"/>
      <c r="Y297" s="580"/>
    </row>
    <row r="298" spans="12:25" x14ac:dyDescent="0.2">
      <c r="L298" s="581"/>
      <c r="M298" s="581"/>
      <c r="N298" s="581"/>
      <c r="O298" s="581"/>
      <c r="P298" s="581"/>
      <c r="Q298" s="581"/>
      <c r="R298" s="581"/>
      <c r="S298" s="581">
        <v>296</v>
      </c>
      <c r="T298" s="581">
        <v>150</v>
      </c>
      <c r="U298" s="581"/>
      <c r="V298" s="581"/>
      <c r="W298" s="581"/>
      <c r="X298" s="581"/>
      <c r="Y298" s="580"/>
    </row>
    <row r="299" spans="12:25" x14ac:dyDescent="0.2">
      <c r="L299" s="581"/>
      <c r="M299" s="581"/>
      <c r="N299" s="581"/>
      <c r="O299" s="581"/>
      <c r="P299" s="581"/>
      <c r="Q299" s="581"/>
      <c r="R299" s="581"/>
      <c r="S299" s="581">
        <v>297</v>
      </c>
      <c r="T299" s="581">
        <v>150</v>
      </c>
      <c r="U299" s="581"/>
      <c r="V299" s="581"/>
      <c r="W299" s="581"/>
      <c r="X299" s="581"/>
      <c r="Y299" s="580"/>
    </row>
    <row r="300" spans="12:25" x14ac:dyDescent="0.2">
      <c r="L300" s="581"/>
      <c r="M300" s="581"/>
      <c r="N300" s="581"/>
      <c r="O300" s="581"/>
      <c r="P300" s="581"/>
      <c r="Q300" s="581"/>
      <c r="R300" s="581"/>
      <c r="S300" s="581">
        <v>298</v>
      </c>
      <c r="T300" s="581">
        <v>150</v>
      </c>
      <c r="U300" s="581"/>
      <c r="V300" s="581"/>
      <c r="W300" s="581"/>
      <c r="X300" s="581"/>
      <c r="Y300" s="580"/>
    </row>
    <row r="301" spans="12:25" x14ac:dyDescent="0.2">
      <c r="L301" s="581"/>
      <c r="M301" s="581"/>
      <c r="N301" s="581"/>
      <c r="O301" s="581"/>
      <c r="P301" s="581"/>
      <c r="Q301" s="581"/>
      <c r="R301" s="581"/>
      <c r="S301" s="581">
        <v>299</v>
      </c>
      <c r="T301" s="581">
        <v>150</v>
      </c>
      <c r="U301" s="581"/>
      <c r="V301" s="581"/>
      <c r="W301" s="581"/>
      <c r="X301" s="581"/>
      <c r="Y301" s="580"/>
    </row>
    <row r="302" spans="12:25" x14ac:dyDescent="0.2">
      <c r="L302" s="581"/>
      <c r="M302" s="581"/>
      <c r="N302" s="581"/>
      <c r="O302" s="581"/>
      <c r="P302" s="581"/>
      <c r="Q302" s="581"/>
      <c r="R302" s="581"/>
      <c r="S302" s="581">
        <v>300</v>
      </c>
      <c r="T302" s="581">
        <v>150</v>
      </c>
      <c r="U302" s="581">
        <v>300</v>
      </c>
      <c r="V302" s="581"/>
      <c r="W302" s="581"/>
      <c r="X302" s="581"/>
      <c r="Y302" s="580"/>
    </row>
    <row r="303" spans="12:25" x14ac:dyDescent="0.2">
      <c r="L303" s="581"/>
      <c r="M303" s="581"/>
      <c r="N303" s="581"/>
      <c r="O303" s="581"/>
      <c r="P303" s="581"/>
      <c r="Q303" s="581"/>
      <c r="R303" s="581"/>
      <c r="S303" s="581">
        <v>301</v>
      </c>
      <c r="T303" s="581">
        <v>150</v>
      </c>
      <c r="U303" s="581"/>
      <c r="V303" s="581"/>
      <c r="W303" s="581"/>
      <c r="X303" s="581"/>
      <c r="Y303" s="580"/>
    </row>
    <row r="304" spans="12:25" x14ac:dyDescent="0.2">
      <c r="L304" s="581"/>
      <c r="M304" s="581"/>
      <c r="N304" s="581"/>
      <c r="O304" s="581"/>
      <c r="P304" s="581"/>
      <c r="Q304" s="581"/>
      <c r="R304" s="581"/>
      <c r="S304" s="581">
        <v>302</v>
      </c>
      <c r="T304" s="581">
        <v>150</v>
      </c>
      <c r="U304" s="581"/>
      <c r="V304" s="581"/>
      <c r="W304" s="581"/>
      <c r="X304" s="581"/>
      <c r="Y304" s="580"/>
    </row>
    <row r="305" spans="12:25" x14ac:dyDescent="0.2">
      <c r="L305" s="581"/>
      <c r="M305" s="581"/>
      <c r="N305" s="581"/>
      <c r="O305" s="581"/>
      <c r="P305" s="581"/>
      <c r="Q305" s="581"/>
      <c r="R305" s="581"/>
      <c r="S305" s="581">
        <v>303</v>
      </c>
      <c r="T305" s="581">
        <v>150</v>
      </c>
      <c r="U305" s="581"/>
      <c r="V305" s="581"/>
      <c r="W305" s="581"/>
      <c r="X305" s="581"/>
      <c r="Y305" s="580"/>
    </row>
    <row r="306" spans="12:25" x14ac:dyDescent="0.2">
      <c r="L306" s="581"/>
      <c r="M306" s="581"/>
      <c r="N306" s="581"/>
      <c r="O306" s="581"/>
      <c r="P306" s="581"/>
      <c r="Q306" s="581"/>
      <c r="R306" s="581"/>
      <c r="S306" s="581">
        <v>304</v>
      </c>
      <c r="T306" s="581">
        <v>150</v>
      </c>
      <c r="U306" s="581"/>
      <c r="V306" s="581"/>
      <c r="W306" s="581"/>
      <c r="X306" s="581"/>
      <c r="Y306" s="580"/>
    </row>
    <row r="307" spans="12:25" x14ac:dyDescent="0.2">
      <c r="L307" s="581"/>
      <c r="M307" s="581"/>
      <c r="N307" s="581"/>
      <c r="O307" s="581"/>
      <c r="P307" s="581"/>
      <c r="Q307" s="581"/>
      <c r="R307" s="581"/>
      <c r="S307" s="581">
        <v>305</v>
      </c>
      <c r="T307" s="581">
        <v>150</v>
      </c>
      <c r="U307" s="581"/>
      <c r="V307" s="581"/>
      <c r="W307" s="581"/>
      <c r="X307" s="581"/>
      <c r="Y307" s="580"/>
    </row>
    <row r="308" spans="12:25" x14ac:dyDescent="0.2">
      <c r="L308" s="581"/>
      <c r="M308" s="581"/>
      <c r="N308" s="581"/>
      <c r="O308" s="581"/>
      <c r="P308" s="581"/>
      <c r="Q308" s="581"/>
      <c r="R308" s="581"/>
      <c r="S308" s="581">
        <v>306</v>
      </c>
      <c r="T308" s="581">
        <v>150</v>
      </c>
      <c r="U308" s="581"/>
      <c r="V308" s="581"/>
      <c r="W308" s="581"/>
      <c r="X308" s="581"/>
      <c r="Y308" s="580"/>
    </row>
    <row r="309" spans="12:25" x14ac:dyDescent="0.2">
      <c r="L309" s="581"/>
      <c r="M309" s="581"/>
      <c r="N309" s="581"/>
      <c r="O309" s="581"/>
      <c r="P309" s="581"/>
      <c r="Q309" s="581"/>
      <c r="R309" s="581"/>
      <c r="S309" s="581">
        <v>307</v>
      </c>
      <c r="T309" s="581">
        <v>150</v>
      </c>
      <c r="U309" s="581"/>
      <c r="V309" s="581"/>
      <c r="W309" s="581"/>
      <c r="X309" s="581"/>
      <c r="Y309" s="580"/>
    </row>
    <row r="310" spans="12:25" x14ac:dyDescent="0.2">
      <c r="L310" s="581"/>
      <c r="M310" s="581"/>
      <c r="N310" s="581"/>
      <c r="O310" s="581"/>
      <c r="P310" s="581"/>
      <c r="Q310" s="581"/>
      <c r="R310" s="581"/>
      <c r="S310" s="581">
        <v>308</v>
      </c>
      <c r="T310" s="581">
        <v>150</v>
      </c>
      <c r="U310" s="581"/>
      <c r="V310" s="581"/>
      <c r="W310" s="581"/>
      <c r="X310" s="581"/>
      <c r="Y310" s="580"/>
    </row>
    <row r="311" spans="12:25" x14ac:dyDescent="0.2">
      <c r="L311" s="581"/>
      <c r="M311" s="581"/>
      <c r="N311" s="581"/>
      <c r="O311" s="581"/>
      <c r="P311" s="581"/>
      <c r="Q311" s="581"/>
      <c r="R311" s="581"/>
      <c r="S311" s="581">
        <v>309</v>
      </c>
      <c r="T311" s="581">
        <v>150</v>
      </c>
      <c r="U311" s="581"/>
      <c r="V311" s="581"/>
      <c r="W311" s="581"/>
      <c r="X311" s="581"/>
      <c r="Y311" s="580"/>
    </row>
    <row r="312" spans="12:25" x14ac:dyDescent="0.2">
      <c r="L312" s="581"/>
      <c r="M312" s="581"/>
      <c r="N312" s="581"/>
      <c r="O312" s="581"/>
      <c r="P312" s="581"/>
      <c r="Q312" s="581"/>
      <c r="R312" s="581"/>
      <c r="S312" s="581">
        <v>310</v>
      </c>
      <c r="T312" s="581">
        <v>150</v>
      </c>
      <c r="U312" s="581"/>
      <c r="V312" s="581"/>
      <c r="W312" s="581"/>
      <c r="X312" s="581"/>
      <c r="Y312" s="580"/>
    </row>
    <row r="313" spans="12:25" x14ac:dyDescent="0.2">
      <c r="L313" s="581"/>
      <c r="M313" s="581"/>
      <c r="N313" s="581"/>
      <c r="O313" s="581"/>
      <c r="P313" s="581"/>
      <c r="Q313" s="581"/>
      <c r="R313" s="581"/>
      <c r="S313" s="581">
        <v>311</v>
      </c>
      <c r="T313" s="581">
        <v>150</v>
      </c>
      <c r="U313" s="581"/>
      <c r="V313" s="581"/>
      <c r="W313" s="581"/>
      <c r="X313" s="581"/>
      <c r="Y313" s="580"/>
    </row>
    <row r="314" spans="12:25" x14ac:dyDescent="0.2">
      <c r="L314" s="581"/>
      <c r="M314" s="581"/>
      <c r="N314" s="581"/>
      <c r="O314" s="581"/>
      <c r="P314" s="581"/>
      <c r="Q314" s="581"/>
      <c r="R314" s="581"/>
      <c r="S314" s="581">
        <v>312</v>
      </c>
      <c r="T314" s="581">
        <v>150</v>
      </c>
      <c r="U314" s="581"/>
      <c r="V314" s="581"/>
      <c r="W314" s="581"/>
      <c r="X314" s="581"/>
      <c r="Y314" s="580"/>
    </row>
    <row r="315" spans="12:25" x14ac:dyDescent="0.2">
      <c r="L315" s="581"/>
      <c r="M315" s="581"/>
      <c r="N315" s="581"/>
      <c r="O315" s="581"/>
      <c r="P315" s="581"/>
      <c r="Q315" s="581"/>
      <c r="R315" s="581"/>
      <c r="S315" s="581">
        <v>313</v>
      </c>
      <c r="T315" s="581">
        <v>150</v>
      </c>
      <c r="U315" s="581"/>
      <c r="V315" s="581"/>
      <c r="W315" s="581"/>
      <c r="X315" s="581"/>
      <c r="Y315" s="580"/>
    </row>
    <row r="316" spans="12:25" x14ac:dyDescent="0.2">
      <c r="L316" s="581"/>
      <c r="M316" s="581"/>
      <c r="N316" s="581"/>
      <c r="O316" s="581"/>
      <c r="P316" s="581"/>
      <c r="Q316" s="581"/>
      <c r="R316" s="581"/>
      <c r="S316" s="581">
        <v>314</v>
      </c>
      <c r="T316" s="581">
        <v>150</v>
      </c>
      <c r="U316" s="581"/>
      <c r="V316" s="581"/>
      <c r="W316" s="581"/>
      <c r="X316" s="581"/>
      <c r="Y316" s="580"/>
    </row>
    <row r="317" spans="12:25" x14ac:dyDescent="0.2">
      <c r="L317" s="581"/>
      <c r="M317" s="581"/>
      <c r="N317" s="581"/>
      <c r="O317" s="581"/>
      <c r="P317" s="581"/>
      <c r="Q317" s="581"/>
      <c r="R317" s="581"/>
      <c r="S317" s="581">
        <v>315</v>
      </c>
      <c r="T317" s="581">
        <v>150</v>
      </c>
      <c r="U317" s="581"/>
      <c r="V317" s="581"/>
      <c r="W317" s="581"/>
      <c r="X317" s="581"/>
      <c r="Y317" s="580"/>
    </row>
    <row r="318" spans="12:25" x14ac:dyDescent="0.2">
      <c r="L318" s="581"/>
      <c r="M318" s="581"/>
      <c r="N318" s="581"/>
      <c r="O318" s="581"/>
      <c r="P318" s="581"/>
      <c r="Q318" s="581"/>
      <c r="R318" s="581"/>
      <c r="S318" s="581">
        <v>316</v>
      </c>
      <c r="T318" s="581">
        <v>150</v>
      </c>
      <c r="U318" s="581"/>
      <c r="V318" s="581"/>
      <c r="W318" s="581"/>
      <c r="X318" s="581"/>
      <c r="Y318" s="580"/>
    </row>
    <row r="319" spans="12:25" x14ac:dyDescent="0.2">
      <c r="L319" s="581"/>
      <c r="M319" s="581"/>
      <c r="N319" s="581"/>
      <c r="O319" s="581"/>
      <c r="P319" s="581"/>
      <c r="Q319" s="581"/>
      <c r="R319" s="581"/>
      <c r="S319" s="581">
        <v>317</v>
      </c>
      <c r="T319" s="581">
        <v>150</v>
      </c>
      <c r="U319" s="581"/>
      <c r="V319" s="581"/>
      <c r="W319" s="581"/>
      <c r="X319" s="581"/>
      <c r="Y319" s="580"/>
    </row>
    <row r="320" spans="12:25" x14ac:dyDescent="0.2">
      <c r="L320" s="581"/>
      <c r="M320" s="581"/>
      <c r="N320" s="581"/>
      <c r="O320" s="581"/>
      <c r="P320" s="581"/>
      <c r="Q320" s="581"/>
      <c r="R320" s="581"/>
      <c r="S320" s="581">
        <v>318</v>
      </c>
      <c r="T320" s="581">
        <v>150</v>
      </c>
      <c r="U320" s="581"/>
      <c r="V320" s="581"/>
      <c r="W320" s="581"/>
      <c r="X320" s="581"/>
      <c r="Y320" s="580"/>
    </row>
    <row r="321" spans="12:25" x14ac:dyDescent="0.2">
      <c r="L321" s="581"/>
      <c r="M321" s="581"/>
      <c r="N321" s="581"/>
      <c r="O321" s="581"/>
      <c r="P321" s="581"/>
      <c r="Q321" s="581"/>
      <c r="R321" s="581"/>
      <c r="S321" s="581">
        <v>319</v>
      </c>
      <c r="T321" s="581">
        <v>150</v>
      </c>
      <c r="U321" s="581"/>
      <c r="V321" s="581"/>
      <c r="W321" s="581"/>
      <c r="X321" s="581"/>
      <c r="Y321" s="580"/>
    </row>
    <row r="322" spans="12:25" x14ac:dyDescent="0.2">
      <c r="L322" s="581"/>
      <c r="M322" s="581"/>
      <c r="N322" s="581"/>
      <c r="O322" s="581"/>
      <c r="P322" s="581"/>
      <c r="Q322" s="581"/>
      <c r="R322" s="581"/>
      <c r="S322" s="581">
        <v>320</v>
      </c>
      <c r="T322" s="581">
        <v>150</v>
      </c>
      <c r="U322" s="581"/>
      <c r="V322" s="581"/>
      <c r="W322" s="581"/>
      <c r="X322" s="581"/>
      <c r="Y322" s="580"/>
    </row>
    <row r="323" spans="12:25" x14ac:dyDescent="0.2">
      <c r="L323" s="581"/>
      <c r="M323" s="581"/>
      <c r="N323" s="581"/>
      <c r="O323" s="581"/>
      <c r="P323" s="581"/>
      <c r="Q323" s="581"/>
      <c r="R323" s="581"/>
      <c r="S323" s="581">
        <v>321</v>
      </c>
      <c r="T323" s="581">
        <v>150</v>
      </c>
      <c r="U323" s="581"/>
      <c r="V323" s="581"/>
      <c r="W323" s="581"/>
      <c r="X323" s="581"/>
      <c r="Y323" s="580"/>
    </row>
    <row r="324" spans="12:25" x14ac:dyDescent="0.2">
      <c r="L324" s="581"/>
      <c r="M324" s="581"/>
      <c r="N324" s="581"/>
      <c r="O324" s="581"/>
      <c r="P324" s="581"/>
      <c r="Q324" s="581"/>
      <c r="R324" s="581"/>
      <c r="S324" s="581">
        <v>322</v>
      </c>
      <c r="T324" s="581">
        <v>150</v>
      </c>
      <c r="U324" s="581"/>
      <c r="V324" s="581"/>
      <c r="W324" s="581"/>
      <c r="X324" s="581"/>
      <c r="Y324" s="580"/>
    </row>
    <row r="325" spans="12:25" x14ac:dyDescent="0.2">
      <c r="L325" s="581"/>
      <c r="M325" s="581"/>
      <c r="N325" s="581"/>
      <c r="O325" s="581"/>
      <c r="P325" s="581"/>
      <c r="Q325" s="581"/>
      <c r="R325" s="581"/>
      <c r="S325" s="581">
        <v>323</v>
      </c>
      <c r="T325" s="581">
        <v>150</v>
      </c>
      <c r="U325" s="581"/>
      <c r="V325" s="581"/>
      <c r="W325" s="581"/>
      <c r="X325" s="581"/>
      <c r="Y325" s="580"/>
    </row>
    <row r="326" spans="12:25" x14ac:dyDescent="0.2">
      <c r="L326" s="581"/>
      <c r="M326" s="581"/>
      <c r="N326" s="581"/>
      <c r="O326" s="581"/>
      <c r="P326" s="581"/>
      <c r="Q326" s="581"/>
      <c r="R326" s="581"/>
      <c r="S326" s="581">
        <v>324</v>
      </c>
      <c r="T326" s="581">
        <v>150</v>
      </c>
      <c r="U326" s="581"/>
      <c r="V326" s="581"/>
      <c r="W326" s="581"/>
      <c r="X326" s="581"/>
      <c r="Y326" s="580"/>
    </row>
    <row r="327" spans="12:25" x14ac:dyDescent="0.2">
      <c r="L327" s="581"/>
      <c r="M327" s="581"/>
      <c r="N327" s="581"/>
      <c r="O327" s="581"/>
      <c r="P327" s="581"/>
      <c r="Q327" s="581"/>
      <c r="R327" s="581"/>
      <c r="S327" s="581">
        <v>325</v>
      </c>
      <c r="T327" s="581">
        <v>150</v>
      </c>
      <c r="U327" s="581"/>
      <c r="V327" s="581"/>
      <c r="W327" s="581"/>
      <c r="X327" s="581"/>
      <c r="Y327" s="580"/>
    </row>
    <row r="328" spans="12:25" x14ac:dyDescent="0.2">
      <c r="L328" s="581"/>
      <c r="M328" s="581"/>
      <c r="N328" s="581"/>
      <c r="O328" s="581"/>
      <c r="P328" s="581"/>
      <c r="Q328" s="581"/>
      <c r="R328" s="581"/>
      <c r="S328" s="581">
        <v>326</v>
      </c>
      <c r="T328" s="581">
        <v>150</v>
      </c>
      <c r="U328" s="581"/>
      <c r="V328" s="581"/>
      <c r="W328" s="581"/>
      <c r="X328" s="581"/>
      <c r="Y328" s="580"/>
    </row>
    <row r="329" spans="12:25" x14ac:dyDescent="0.2">
      <c r="L329" s="581"/>
      <c r="M329" s="581"/>
      <c r="N329" s="581"/>
      <c r="O329" s="581"/>
      <c r="P329" s="581"/>
      <c r="Q329" s="581"/>
      <c r="R329" s="581"/>
      <c r="S329" s="581">
        <v>327</v>
      </c>
      <c r="T329" s="581">
        <v>150</v>
      </c>
      <c r="U329" s="581"/>
      <c r="V329" s="581"/>
      <c r="W329" s="581"/>
      <c r="X329" s="581"/>
      <c r="Y329" s="580"/>
    </row>
    <row r="330" spans="12:25" x14ac:dyDescent="0.2">
      <c r="L330" s="581"/>
      <c r="M330" s="581"/>
      <c r="N330" s="581"/>
      <c r="O330" s="581"/>
      <c r="P330" s="581"/>
      <c r="Q330" s="581"/>
      <c r="R330" s="581"/>
      <c r="S330" s="581">
        <v>328</v>
      </c>
      <c r="T330" s="581">
        <v>150</v>
      </c>
      <c r="U330" s="581"/>
      <c r="V330" s="581"/>
      <c r="W330" s="581"/>
      <c r="X330" s="581"/>
      <c r="Y330" s="580"/>
    </row>
    <row r="331" spans="12:25" x14ac:dyDescent="0.2">
      <c r="L331" s="581"/>
      <c r="M331" s="581"/>
      <c r="N331" s="581"/>
      <c r="O331" s="581"/>
      <c r="P331" s="581"/>
      <c r="Q331" s="581"/>
      <c r="R331" s="581"/>
      <c r="S331" s="581">
        <v>329</v>
      </c>
      <c r="T331" s="581">
        <v>150</v>
      </c>
      <c r="U331" s="581"/>
      <c r="V331" s="581"/>
      <c r="W331" s="581"/>
      <c r="X331" s="581"/>
      <c r="Y331" s="580"/>
    </row>
    <row r="332" spans="12:25" x14ac:dyDescent="0.2">
      <c r="L332" s="581"/>
      <c r="M332" s="581"/>
      <c r="N332" s="581"/>
      <c r="O332" s="581"/>
      <c r="P332" s="581"/>
      <c r="Q332" s="581"/>
      <c r="R332" s="581"/>
      <c r="S332" s="581">
        <v>330</v>
      </c>
      <c r="T332" s="581">
        <v>150</v>
      </c>
      <c r="U332" s="581"/>
      <c r="V332" s="581"/>
      <c r="W332" s="581"/>
      <c r="X332" s="581"/>
      <c r="Y332" s="580"/>
    </row>
    <row r="333" spans="12:25" x14ac:dyDescent="0.2">
      <c r="L333" s="581"/>
      <c r="M333" s="581"/>
      <c r="N333" s="581"/>
      <c r="O333" s="581"/>
      <c r="P333" s="581"/>
      <c r="Q333" s="581"/>
      <c r="R333" s="581"/>
      <c r="S333" s="581">
        <v>331</v>
      </c>
      <c r="T333" s="581">
        <v>150</v>
      </c>
      <c r="U333" s="581"/>
      <c r="V333" s="581"/>
      <c r="W333" s="581"/>
      <c r="X333" s="581"/>
      <c r="Y333" s="580"/>
    </row>
    <row r="334" spans="12:25" x14ac:dyDescent="0.2">
      <c r="L334" s="581"/>
      <c r="M334" s="581"/>
      <c r="N334" s="581"/>
      <c r="O334" s="581"/>
      <c r="P334" s="581"/>
      <c r="Q334" s="581"/>
      <c r="R334" s="581"/>
      <c r="S334" s="581">
        <v>332</v>
      </c>
      <c r="T334" s="581">
        <v>150</v>
      </c>
      <c r="U334" s="581"/>
      <c r="V334" s="581"/>
      <c r="W334" s="581"/>
      <c r="X334" s="581"/>
      <c r="Y334" s="580"/>
    </row>
    <row r="335" spans="12:25" x14ac:dyDescent="0.2">
      <c r="L335" s="581"/>
      <c r="M335" s="581"/>
      <c r="N335" s="581"/>
      <c r="O335" s="581"/>
      <c r="P335" s="581"/>
      <c r="Q335" s="581"/>
      <c r="R335" s="581"/>
      <c r="S335" s="581">
        <v>333</v>
      </c>
      <c r="T335" s="581">
        <v>150</v>
      </c>
      <c r="U335" s="581"/>
      <c r="V335" s="581"/>
      <c r="W335" s="581"/>
      <c r="X335" s="581"/>
      <c r="Y335" s="580"/>
    </row>
    <row r="336" spans="12:25" x14ac:dyDescent="0.2">
      <c r="L336" s="581"/>
      <c r="M336" s="581"/>
      <c r="N336" s="581"/>
      <c r="O336" s="581"/>
      <c r="P336" s="581"/>
      <c r="Q336" s="581"/>
      <c r="R336" s="581"/>
      <c r="S336" s="581">
        <v>334</v>
      </c>
      <c r="T336" s="581">
        <v>150</v>
      </c>
      <c r="U336" s="581"/>
      <c r="V336" s="581"/>
      <c r="W336" s="581"/>
      <c r="X336" s="581"/>
      <c r="Y336" s="580"/>
    </row>
    <row r="337" spans="12:25" x14ac:dyDescent="0.2">
      <c r="L337" s="581"/>
      <c r="M337" s="581"/>
      <c r="N337" s="581"/>
      <c r="O337" s="581"/>
      <c r="P337" s="581"/>
      <c r="Q337" s="581"/>
      <c r="R337" s="581"/>
      <c r="S337" s="581">
        <v>335</v>
      </c>
      <c r="T337" s="581">
        <v>150</v>
      </c>
      <c r="U337" s="581"/>
      <c r="V337" s="581"/>
      <c r="W337" s="581"/>
      <c r="X337" s="581"/>
      <c r="Y337" s="580"/>
    </row>
    <row r="338" spans="12:25" x14ac:dyDescent="0.2">
      <c r="L338" s="581"/>
      <c r="M338" s="581"/>
      <c r="N338" s="581"/>
      <c r="O338" s="581"/>
      <c r="P338" s="581"/>
      <c r="Q338" s="581"/>
      <c r="R338" s="581"/>
      <c r="S338" s="581">
        <v>336</v>
      </c>
      <c r="T338" s="581">
        <v>150</v>
      </c>
      <c r="U338" s="581"/>
      <c r="V338" s="581"/>
      <c r="W338" s="581"/>
      <c r="X338" s="581"/>
      <c r="Y338" s="580"/>
    </row>
    <row r="339" spans="12:25" x14ac:dyDescent="0.2">
      <c r="L339" s="581"/>
      <c r="M339" s="581"/>
      <c r="N339" s="581"/>
      <c r="O339" s="581"/>
      <c r="P339" s="581"/>
      <c r="Q339" s="581"/>
      <c r="R339" s="581"/>
      <c r="S339" s="581">
        <v>337</v>
      </c>
      <c r="T339" s="581">
        <v>150</v>
      </c>
      <c r="U339" s="581"/>
      <c r="V339" s="581"/>
      <c r="W339" s="581"/>
      <c r="X339" s="581"/>
      <c r="Y339" s="580"/>
    </row>
    <row r="340" spans="12:25" x14ac:dyDescent="0.2">
      <c r="L340" s="581"/>
      <c r="M340" s="581"/>
      <c r="N340" s="581"/>
      <c r="O340" s="581"/>
      <c r="P340" s="581"/>
      <c r="Q340" s="581"/>
      <c r="R340" s="581"/>
      <c r="S340" s="581">
        <v>338</v>
      </c>
      <c r="T340" s="581">
        <v>150</v>
      </c>
      <c r="U340" s="581"/>
      <c r="V340" s="581"/>
      <c r="W340" s="581"/>
      <c r="X340" s="581"/>
      <c r="Y340" s="580"/>
    </row>
    <row r="341" spans="12:25" x14ac:dyDescent="0.2">
      <c r="L341" s="581"/>
      <c r="M341" s="581"/>
      <c r="N341" s="581"/>
      <c r="O341" s="581"/>
      <c r="P341" s="581"/>
      <c r="Q341" s="581"/>
      <c r="R341" s="581"/>
      <c r="S341" s="581">
        <v>339</v>
      </c>
      <c r="T341" s="581">
        <v>150</v>
      </c>
      <c r="U341" s="581"/>
      <c r="V341" s="581"/>
      <c r="W341" s="581"/>
      <c r="X341" s="581"/>
      <c r="Y341" s="580"/>
    </row>
    <row r="342" spans="12:25" x14ac:dyDescent="0.2">
      <c r="L342" s="581"/>
      <c r="M342" s="581"/>
      <c r="N342" s="581"/>
      <c r="O342" s="581"/>
      <c r="P342" s="581"/>
      <c r="Q342" s="581"/>
      <c r="R342" s="581"/>
      <c r="S342" s="581">
        <v>340</v>
      </c>
      <c r="T342" s="581">
        <v>150</v>
      </c>
      <c r="U342" s="581"/>
      <c r="V342" s="581"/>
      <c r="W342" s="581"/>
      <c r="X342" s="581"/>
      <c r="Y342" s="580"/>
    </row>
    <row r="343" spans="12:25" x14ac:dyDescent="0.2">
      <c r="L343" s="581"/>
      <c r="M343" s="581"/>
      <c r="N343" s="581"/>
      <c r="O343" s="581"/>
      <c r="P343" s="581"/>
      <c r="Q343" s="581"/>
      <c r="R343" s="581"/>
      <c r="S343" s="581">
        <v>341</v>
      </c>
      <c r="T343" s="581">
        <v>150</v>
      </c>
      <c r="U343" s="581"/>
      <c r="V343" s="581"/>
      <c r="W343" s="581"/>
      <c r="X343" s="581"/>
      <c r="Y343" s="580"/>
    </row>
    <row r="344" spans="12:25" x14ac:dyDescent="0.2">
      <c r="L344" s="581"/>
      <c r="M344" s="581"/>
      <c r="N344" s="581"/>
      <c r="O344" s="581"/>
      <c r="P344" s="581"/>
      <c r="Q344" s="581"/>
      <c r="R344" s="581"/>
      <c r="S344" s="581">
        <v>342</v>
      </c>
      <c r="T344" s="581">
        <v>150</v>
      </c>
      <c r="U344" s="581"/>
      <c r="V344" s="581"/>
      <c r="W344" s="581"/>
      <c r="X344" s="581"/>
      <c r="Y344" s="580"/>
    </row>
    <row r="345" spans="12:25" x14ac:dyDescent="0.2">
      <c r="L345" s="581"/>
      <c r="M345" s="581"/>
      <c r="N345" s="581"/>
      <c r="O345" s="581"/>
      <c r="P345" s="581"/>
      <c r="Q345" s="581"/>
      <c r="R345" s="581"/>
      <c r="S345" s="581">
        <v>343</v>
      </c>
      <c r="T345" s="581">
        <v>150</v>
      </c>
      <c r="U345" s="581"/>
      <c r="V345" s="581"/>
      <c r="W345" s="581"/>
      <c r="X345" s="581"/>
      <c r="Y345" s="580"/>
    </row>
    <row r="346" spans="12:25" x14ac:dyDescent="0.2">
      <c r="L346" s="581"/>
      <c r="M346" s="581"/>
      <c r="N346" s="581"/>
      <c r="O346" s="581"/>
      <c r="P346" s="581"/>
      <c r="Q346" s="581"/>
      <c r="R346" s="581"/>
      <c r="S346" s="581">
        <v>344</v>
      </c>
      <c r="T346" s="581">
        <v>150</v>
      </c>
      <c r="U346" s="581"/>
      <c r="V346" s="581"/>
      <c r="W346" s="581"/>
      <c r="X346" s="581"/>
      <c r="Y346" s="580"/>
    </row>
    <row r="347" spans="12:25" x14ac:dyDescent="0.2">
      <c r="L347" s="581"/>
      <c r="M347" s="581"/>
      <c r="N347" s="581"/>
      <c r="O347" s="581"/>
      <c r="P347" s="581"/>
      <c r="Q347" s="581"/>
      <c r="R347" s="581"/>
      <c r="S347" s="581">
        <v>345</v>
      </c>
      <c r="T347" s="581">
        <v>150</v>
      </c>
      <c r="U347" s="581"/>
      <c r="V347" s="581"/>
      <c r="W347" s="581"/>
      <c r="X347" s="581"/>
      <c r="Y347" s="580"/>
    </row>
    <row r="348" spans="12:25" x14ac:dyDescent="0.2">
      <c r="L348" s="581"/>
      <c r="M348" s="581"/>
      <c r="N348" s="581"/>
      <c r="O348" s="581"/>
      <c r="P348" s="581"/>
      <c r="Q348" s="581"/>
      <c r="R348" s="581"/>
      <c r="S348" s="581">
        <v>346</v>
      </c>
      <c r="T348" s="581">
        <v>150</v>
      </c>
      <c r="U348" s="581"/>
      <c r="V348" s="581"/>
      <c r="W348" s="581"/>
      <c r="X348" s="581"/>
      <c r="Y348" s="580"/>
    </row>
    <row r="349" spans="12:25" x14ac:dyDescent="0.2">
      <c r="L349" s="581"/>
      <c r="M349" s="581"/>
      <c r="N349" s="581"/>
      <c r="O349" s="581"/>
      <c r="P349" s="581"/>
      <c r="Q349" s="581"/>
      <c r="R349" s="581"/>
      <c r="S349" s="581">
        <v>347</v>
      </c>
      <c r="T349" s="581">
        <v>150</v>
      </c>
      <c r="U349" s="581"/>
      <c r="V349" s="581"/>
      <c r="W349" s="581"/>
      <c r="X349" s="581"/>
      <c r="Y349" s="580"/>
    </row>
    <row r="350" spans="12:25" x14ac:dyDescent="0.2">
      <c r="L350" s="581"/>
      <c r="M350" s="581"/>
      <c r="N350" s="581"/>
      <c r="O350" s="581"/>
      <c r="P350" s="581"/>
      <c r="Q350" s="581"/>
      <c r="R350" s="581"/>
      <c r="S350" s="581">
        <v>348</v>
      </c>
      <c r="T350" s="581">
        <v>150</v>
      </c>
      <c r="U350" s="581"/>
      <c r="V350" s="581"/>
      <c r="W350" s="581"/>
      <c r="X350" s="581"/>
      <c r="Y350" s="580"/>
    </row>
    <row r="351" spans="12:25" x14ac:dyDescent="0.2">
      <c r="L351" s="581"/>
      <c r="M351" s="581"/>
      <c r="N351" s="581"/>
      <c r="O351" s="581"/>
      <c r="P351" s="581"/>
      <c r="Q351" s="581"/>
      <c r="R351" s="581"/>
      <c r="S351" s="581">
        <v>349</v>
      </c>
      <c r="T351" s="581">
        <v>150</v>
      </c>
      <c r="U351" s="581"/>
      <c r="V351" s="581"/>
      <c r="W351" s="581"/>
      <c r="X351" s="581"/>
      <c r="Y351" s="580"/>
    </row>
    <row r="352" spans="12:25" x14ac:dyDescent="0.2">
      <c r="L352" s="581"/>
      <c r="M352" s="581"/>
      <c r="N352" s="581"/>
      <c r="O352" s="581"/>
      <c r="P352" s="581"/>
      <c r="Q352" s="581"/>
      <c r="R352" s="581"/>
      <c r="S352" s="581">
        <v>350</v>
      </c>
      <c r="T352" s="581">
        <v>150</v>
      </c>
      <c r="U352" s="581"/>
      <c r="V352" s="581"/>
      <c r="W352" s="581"/>
      <c r="X352" s="581"/>
      <c r="Y352" s="580"/>
    </row>
    <row r="353" spans="12:25" x14ac:dyDescent="0.2">
      <c r="L353" s="581"/>
      <c r="M353" s="581"/>
      <c r="N353" s="581"/>
      <c r="O353" s="581"/>
      <c r="P353" s="581"/>
      <c r="Q353" s="581"/>
      <c r="R353" s="581"/>
      <c r="S353" s="581">
        <v>351</v>
      </c>
      <c r="T353" s="581">
        <v>150</v>
      </c>
      <c r="U353" s="581"/>
      <c r="V353" s="581"/>
      <c r="W353" s="581"/>
      <c r="X353" s="581"/>
      <c r="Y353" s="580"/>
    </row>
    <row r="354" spans="12:25" x14ac:dyDescent="0.2">
      <c r="L354" s="581"/>
      <c r="M354" s="581"/>
      <c r="N354" s="581"/>
      <c r="O354" s="581"/>
      <c r="P354" s="581"/>
      <c r="Q354" s="581"/>
      <c r="R354" s="581"/>
      <c r="S354" s="581">
        <v>352</v>
      </c>
      <c r="T354" s="581">
        <v>150</v>
      </c>
      <c r="U354" s="581"/>
      <c r="V354" s="581"/>
      <c r="W354" s="581"/>
      <c r="X354" s="581"/>
      <c r="Y354" s="580"/>
    </row>
    <row r="355" spans="12:25" x14ac:dyDescent="0.2">
      <c r="L355" s="581"/>
      <c r="M355" s="581"/>
      <c r="N355" s="581"/>
      <c r="O355" s="581"/>
      <c r="P355" s="581"/>
      <c r="Q355" s="581"/>
      <c r="R355" s="581"/>
      <c r="S355" s="581">
        <v>353</v>
      </c>
      <c r="T355" s="581">
        <v>150</v>
      </c>
      <c r="U355" s="581"/>
      <c r="V355" s="581"/>
      <c r="W355" s="581"/>
      <c r="X355" s="581"/>
      <c r="Y355" s="580"/>
    </row>
    <row r="356" spans="12:25" x14ac:dyDescent="0.2">
      <c r="L356" s="581"/>
      <c r="M356" s="581"/>
      <c r="N356" s="581"/>
      <c r="O356" s="581"/>
      <c r="P356" s="581"/>
      <c r="Q356" s="581"/>
      <c r="R356" s="581"/>
      <c r="S356" s="581">
        <v>354</v>
      </c>
      <c r="T356" s="581">
        <v>150</v>
      </c>
      <c r="U356" s="581"/>
      <c r="V356" s="581"/>
      <c r="W356" s="581"/>
      <c r="X356" s="581"/>
      <c r="Y356" s="580"/>
    </row>
    <row r="357" spans="12:25" x14ac:dyDescent="0.2">
      <c r="L357" s="581"/>
      <c r="M357" s="581"/>
      <c r="N357" s="581"/>
      <c r="O357" s="581"/>
      <c r="P357" s="581"/>
      <c r="Q357" s="581"/>
      <c r="R357" s="581"/>
      <c r="S357" s="581">
        <v>355</v>
      </c>
      <c r="T357" s="581">
        <v>150</v>
      </c>
      <c r="U357" s="581"/>
      <c r="V357" s="581"/>
      <c r="W357" s="581"/>
      <c r="X357" s="581"/>
      <c r="Y357" s="580"/>
    </row>
    <row r="358" spans="12:25" x14ac:dyDescent="0.2">
      <c r="L358" s="581"/>
      <c r="M358" s="581"/>
      <c r="N358" s="581"/>
      <c r="O358" s="581"/>
      <c r="P358" s="581"/>
      <c r="Q358" s="581"/>
      <c r="R358" s="581"/>
      <c r="S358" s="581">
        <v>356</v>
      </c>
      <c r="T358" s="581">
        <v>150</v>
      </c>
      <c r="U358" s="581"/>
      <c r="V358" s="581"/>
      <c r="W358" s="581"/>
      <c r="X358" s="581"/>
      <c r="Y358" s="580"/>
    </row>
    <row r="359" spans="12:25" x14ac:dyDescent="0.2">
      <c r="L359" s="581"/>
      <c r="M359" s="581"/>
      <c r="N359" s="581"/>
      <c r="O359" s="581"/>
      <c r="P359" s="581"/>
      <c r="Q359" s="581"/>
      <c r="R359" s="581"/>
      <c r="S359" s="581">
        <v>357</v>
      </c>
      <c r="T359" s="581">
        <v>150</v>
      </c>
      <c r="U359" s="581"/>
      <c r="V359" s="581"/>
      <c r="W359" s="581"/>
      <c r="X359" s="581"/>
      <c r="Y359" s="580"/>
    </row>
    <row r="360" spans="12:25" x14ac:dyDescent="0.2">
      <c r="L360" s="581"/>
      <c r="M360" s="581"/>
      <c r="N360" s="581"/>
      <c r="O360" s="581"/>
      <c r="P360" s="581"/>
      <c r="Q360" s="581"/>
      <c r="R360" s="581"/>
      <c r="S360" s="581">
        <v>358</v>
      </c>
      <c r="T360" s="581">
        <v>150</v>
      </c>
      <c r="U360" s="581"/>
      <c r="V360" s="581"/>
      <c r="W360" s="581"/>
      <c r="X360" s="581"/>
      <c r="Y360" s="580"/>
    </row>
    <row r="361" spans="12:25" x14ac:dyDescent="0.2">
      <c r="L361" s="581"/>
      <c r="M361" s="581"/>
      <c r="N361" s="581"/>
      <c r="O361" s="581"/>
      <c r="P361" s="581"/>
      <c r="Q361" s="581"/>
      <c r="R361" s="581"/>
      <c r="S361" s="581">
        <v>359</v>
      </c>
      <c r="T361" s="581">
        <v>150</v>
      </c>
      <c r="U361" s="581"/>
      <c r="V361" s="581"/>
      <c r="W361" s="581"/>
      <c r="X361" s="581"/>
      <c r="Y361" s="580"/>
    </row>
    <row r="362" spans="12:25" x14ac:dyDescent="0.2">
      <c r="L362" s="581"/>
      <c r="M362" s="581"/>
      <c r="N362" s="581"/>
      <c r="O362" s="581"/>
      <c r="P362" s="581"/>
      <c r="Q362" s="581"/>
      <c r="R362" s="581"/>
      <c r="S362" s="581">
        <v>360</v>
      </c>
      <c r="T362" s="581">
        <v>150</v>
      </c>
      <c r="U362" s="581">
        <v>360</v>
      </c>
      <c r="V362" s="581"/>
      <c r="W362" s="581"/>
      <c r="X362" s="581"/>
      <c r="Y362" s="580"/>
    </row>
    <row r="363" spans="12:25" x14ac:dyDescent="0.2">
      <c r="L363" s="581"/>
      <c r="M363" s="581"/>
      <c r="N363" s="581"/>
      <c r="O363" s="581"/>
      <c r="P363" s="581"/>
      <c r="Q363" s="581"/>
      <c r="R363" s="581"/>
      <c r="S363" s="581"/>
      <c r="T363" s="581"/>
      <c r="U363" s="581"/>
      <c r="V363" s="581"/>
      <c r="W363" s="581"/>
      <c r="X363" s="581"/>
      <c r="Y363" s="580"/>
    </row>
    <row r="364" spans="12:25" x14ac:dyDescent="0.2">
      <c r="L364" s="581"/>
      <c r="M364" s="581"/>
      <c r="N364" s="581"/>
      <c r="O364" s="581"/>
      <c r="P364" s="581"/>
      <c r="Q364" s="581"/>
      <c r="R364" s="581"/>
      <c r="S364" s="581"/>
      <c r="T364" s="581"/>
      <c r="U364" s="581"/>
      <c r="V364" s="581"/>
      <c r="W364" s="581"/>
      <c r="X364" s="581"/>
      <c r="Y364" s="580"/>
    </row>
    <row r="365" spans="12:25" x14ac:dyDescent="0.2">
      <c r="L365" s="581"/>
      <c r="M365" s="581"/>
      <c r="N365" s="581"/>
      <c r="O365" s="581"/>
      <c r="P365" s="581"/>
      <c r="Q365" s="581"/>
      <c r="R365" s="581"/>
      <c r="S365" s="581"/>
      <c r="T365" s="581"/>
      <c r="U365" s="581"/>
      <c r="V365" s="581"/>
      <c r="W365" s="581"/>
      <c r="X365" s="581"/>
      <c r="Y365" s="580"/>
    </row>
    <row r="366" spans="12:25" x14ac:dyDescent="0.2">
      <c r="L366" s="581"/>
      <c r="M366" s="581"/>
      <c r="N366" s="581"/>
      <c r="O366" s="581"/>
      <c r="P366" s="581"/>
      <c r="Q366" s="581"/>
      <c r="R366" s="581"/>
      <c r="S366" s="581"/>
      <c r="T366" s="581"/>
      <c r="U366" s="581"/>
      <c r="V366" s="581"/>
      <c r="W366" s="581"/>
      <c r="X366" s="581"/>
      <c r="Y366" s="580"/>
    </row>
    <row r="367" spans="12:25" x14ac:dyDescent="0.2">
      <c r="L367" s="581"/>
      <c r="M367" s="581"/>
      <c r="N367" s="581"/>
      <c r="O367" s="581"/>
      <c r="P367" s="581"/>
      <c r="Q367" s="581"/>
      <c r="R367" s="581"/>
      <c r="S367" s="581"/>
      <c r="T367" s="581"/>
      <c r="U367" s="581"/>
      <c r="V367" s="581"/>
      <c r="W367" s="581"/>
      <c r="X367" s="581"/>
      <c r="Y367" s="580"/>
    </row>
    <row r="368" spans="12:25" x14ac:dyDescent="0.2">
      <c r="L368" s="581"/>
      <c r="M368" s="581"/>
      <c r="N368" s="581"/>
      <c r="O368" s="581"/>
      <c r="P368" s="581"/>
      <c r="Q368" s="581"/>
      <c r="R368" s="581"/>
      <c r="S368" s="581"/>
      <c r="T368" s="581"/>
      <c r="U368" s="581"/>
      <c r="V368" s="581"/>
      <c r="W368" s="581"/>
      <c r="X368" s="581"/>
      <c r="Y368" s="580"/>
    </row>
    <row r="369" spans="12:25" x14ac:dyDescent="0.2">
      <c r="L369" s="581"/>
      <c r="M369" s="581"/>
      <c r="N369" s="581"/>
      <c r="O369" s="581"/>
      <c r="P369" s="581"/>
      <c r="Q369" s="581"/>
      <c r="R369" s="581"/>
      <c r="S369" s="581"/>
      <c r="T369" s="581"/>
      <c r="U369" s="581"/>
      <c r="V369" s="581"/>
      <c r="W369" s="581"/>
      <c r="X369" s="581"/>
      <c r="Y369" s="580"/>
    </row>
    <row r="370" spans="12:25" x14ac:dyDescent="0.2">
      <c r="L370" s="581"/>
      <c r="M370" s="581"/>
      <c r="N370" s="581"/>
      <c r="O370" s="581"/>
      <c r="P370" s="581"/>
      <c r="Q370" s="581"/>
      <c r="R370" s="581"/>
      <c r="S370" s="581"/>
      <c r="T370" s="581"/>
      <c r="U370" s="581"/>
      <c r="V370" s="581"/>
      <c r="W370" s="581"/>
      <c r="X370" s="581"/>
      <c r="Y370" s="580"/>
    </row>
    <row r="371" spans="12:25" x14ac:dyDescent="0.2">
      <c r="L371" s="581"/>
      <c r="M371" s="581"/>
      <c r="N371" s="581"/>
      <c r="O371" s="581"/>
      <c r="P371" s="581"/>
      <c r="Q371" s="581"/>
      <c r="R371" s="581"/>
      <c r="S371" s="581"/>
      <c r="T371" s="581"/>
      <c r="U371" s="581"/>
      <c r="V371" s="581"/>
      <c r="W371" s="581"/>
      <c r="X371" s="581"/>
      <c r="Y371" s="580"/>
    </row>
    <row r="372" spans="12:25" x14ac:dyDescent="0.2">
      <c r="L372" s="581"/>
      <c r="M372" s="581"/>
      <c r="N372" s="581"/>
      <c r="O372" s="581"/>
      <c r="P372" s="581"/>
      <c r="Q372" s="581"/>
      <c r="R372" s="581"/>
      <c r="S372" s="581"/>
      <c r="T372" s="581"/>
      <c r="U372" s="581"/>
      <c r="V372" s="581"/>
      <c r="W372" s="581"/>
      <c r="X372" s="581"/>
      <c r="Y372" s="580"/>
    </row>
    <row r="373" spans="12:25" x14ac:dyDescent="0.2">
      <c r="L373" s="581"/>
      <c r="M373" s="581"/>
      <c r="N373" s="581"/>
      <c r="O373" s="581"/>
      <c r="P373" s="581"/>
      <c r="Q373" s="581"/>
      <c r="R373" s="581"/>
      <c r="S373" s="581"/>
      <c r="T373" s="581"/>
      <c r="U373" s="581"/>
      <c r="V373" s="581"/>
      <c r="W373" s="581"/>
      <c r="X373" s="581"/>
      <c r="Y373" s="580"/>
    </row>
    <row r="374" spans="12:25" x14ac:dyDescent="0.2">
      <c r="L374" s="581"/>
      <c r="M374" s="581"/>
      <c r="N374" s="581"/>
      <c r="O374" s="581"/>
      <c r="P374" s="581"/>
      <c r="Q374" s="581"/>
      <c r="R374" s="581"/>
      <c r="S374" s="581"/>
      <c r="T374" s="581"/>
      <c r="U374" s="581"/>
      <c r="V374" s="581"/>
      <c r="W374" s="581"/>
      <c r="X374" s="581"/>
      <c r="Y374" s="580"/>
    </row>
    <row r="375" spans="12:25" x14ac:dyDescent="0.2">
      <c r="L375" s="581"/>
      <c r="M375" s="581"/>
      <c r="N375" s="581"/>
      <c r="O375" s="581"/>
      <c r="P375" s="581"/>
      <c r="Q375" s="581"/>
      <c r="R375" s="581"/>
      <c r="S375" s="581"/>
      <c r="T375" s="581"/>
      <c r="U375" s="581"/>
      <c r="V375" s="581"/>
      <c r="W375" s="581"/>
      <c r="X375" s="581"/>
      <c r="Y375" s="580"/>
    </row>
    <row r="376" spans="12:25" x14ac:dyDescent="0.2">
      <c r="L376" s="581"/>
      <c r="M376" s="581"/>
      <c r="N376" s="581"/>
      <c r="O376" s="581"/>
      <c r="P376" s="581"/>
      <c r="Q376" s="581"/>
      <c r="R376" s="581"/>
      <c r="S376" s="581"/>
      <c r="T376" s="581"/>
      <c r="U376" s="581"/>
      <c r="V376" s="581"/>
      <c r="W376" s="581"/>
      <c r="X376" s="581"/>
      <c r="Y376" s="580"/>
    </row>
    <row r="377" spans="12:25" x14ac:dyDescent="0.2">
      <c r="L377" s="581"/>
      <c r="M377" s="581"/>
      <c r="N377" s="581"/>
      <c r="O377" s="581"/>
      <c r="P377" s="581"/>
      <c r="Q377" s="581"/>
      <c r="R377" s="581"/>
      <c r="S377" s="581"/>
      <c r="T377" s="581"/>
      <c r="U377" s="581"/>
      <c r="V377" s="581"/>
      <c r="W377" s="581"/>
      <c r="X377" s="581"/>
      <c r="Y377" s="580"/>
    </row>
    <row r="378" spans="12:25" x14ac:dyDescent="0.2">
      <c r="L378" s="581"/>
      <c r="M378" s="581"/>
      <c r="N378" s="581"/>
      <c r="O378" s="581"/>
      <c r="P378" s="581"/>
      <c r="Q378" s="581"/>
      <c r="R378" s="581"/>
      <c r="S378" s="581"/>
      <c r="T378" s="581"/>
      <c r="U378" s="581"/>
      <c r="V378" s="581"/>
      <c r="W378" s="581"/>
      <c r="X378" s="581"/>
      <c r="Y378" s="580"/>
    </row>
    <row r="379" spans="12:25" x14ac:dyDescent="0.2">
      <c r="L379" s="581"/>
      <c r="M379" s="581"/>
      <c r="N379" s="581"/>
      <c r="O379" s="581"/>
      <c r="P379" s="581"/>
      <c r="Q379" s="581"/>
      <c r="R379" s="581"/>
      <c r="S379" s="581"/>
      <c r="T379" s="581"/>
      <c r="U379" s="581"/>
      <c r="V379" s="581"/>
      <c r="W379" s="581"/>
      <c r="X379" s="581"/>
      <c r="Y379" s="580"/>
    </row>
    <row r="380" spans="12:25" x14ac:dyDescent="0.2">
      <c r="L380" s="581"/>
      <c r="M380" s="581"/>
      <c r="N380" s="581"/>
      <c r="O380" s="581"/>
      <c r="P380" s="581"/>
      <c r="Q380" s="581"/>
      <c r="R380" s="581"/>
      <c r="S380" s="581"/>
      <c r="T380" s="581"/>
      <c r="U380" s="581"/>
      <c r="V380" s="581"/>
      <c r="W380" s="581"/>
      <c r="X380" s="581"/>
      <c r="Y380" s="580"/>
    </row>
    <row r="381" spans="12:25" x14ac:dyDescent="0.2">
      <c r="L381" s="581"/>
      <c r="M381" s="581"/>
      <c r="N381" s="581"/>
      <c r="O381" s="581"/>
      <c r="P381" s="581"/>
      <c r="Q381" s="581"/>
      <c r="R381" s="581"/>
      <c r="S381" s="581"/>
      <c r="T381" s="581"/>
      <c r="U381" s="581"/>
      <c r="V381" s="581"/>
      <c r="W381" s="581"/>
      <c r="X381" s="581"/>
      <c r="Y381" s="580"/>
    </row>
    <row r="382" spans="12:25" x14ac:dyDescent="0.2">
      <c r="L382" s="581"/>
      <c r="M382" s="581"/>
      <c r="N382" s="581"/>
      <c r="O382" s="581"/>
      <c r="P382" s="581"/>
      <c r="Q382" s="581"/>
      <c r="R382" s="581"/>
      <c r="S382" s="581"/>
      <c r="T382" s="581"/>
      <c r="U382" s="581"/>
      <c r="V382" s="581"/>
      <c r="W382" s="581"/>
      <c r="X382" s="581"/>
      <c r="Y382" s="580"/>
    </row>
    <row r="383" spans="12:25" x14ac:dyDescent="0.2">
      <c r="L383" s="581"/>
      <c r="M383" s="581"/>
      <c r="N383" s="581"/>
      <c r="O383" s="581"/>
      <c r="P383" s="581"/>
      <c r="Q383" s="581"/>
      <c r="R383" s="581"/>
      <c r="S383" s="581"/>
      <c r="T383" s="581"/>
      <c r="U383" s="581"/>
      <c r="V383" s="581"/>
      <c r="W383" s="581"/>
      <c r="X383" s="581"/>
      <c r="Y383" s="580"/>
    </row>
    <row r="384" spans="12:25" x14ac:dyDescent="0.2">
      <c r="L384" s="581"/>
      <c r="M384" s="581"/>
      <c r="N384" s="581"/>
      <c r="O384" s="581"/>
      <c r="P384" s="581"/>
      <c r="Q384" s="581"/>
      <c r="R384" s="581"/>
      <c r="S384" s="581"/>
      <c r="T384" s="581"/>
      <c r="U384" s="581"/>
      <c r="V384" s="581"/>
      <c r="W384" s="581"/>
      <c r="X384" s="581"/>
      <c r="Y384" s="580"/>
    </row>
    <row r="385" spans="12:25" x14ac:dyDescent="0.2">
      <c r="L385" s="581"/>
      <c r="M385" s="581"/>
      <c r="N385" s="581"/>
      <c r="O385" s="581"/>
      <c r="P385" s="581"/>
      <c r="Q385" s="581"/>
      <c r="R385" s="581"/>
      <c r="S385" s="581"/>
      <c r="T385" s="581"/>
      <c r="U385" s="581"/>
      <c r="V385" s="581"/>
      <c r="W385" s="581"/>
      <c r="X385" s="581"/>
      <c r="Y385" s="580"/>
    </row>
    <row r="386" spans="12:25" x14ac:dyDescent="0.2">
      <c r="L386" s="581"/>
      <c r="M386" s="581"/>
      <c r="N386" s="581"/>
      <c r="O386" s="581"/>
      <c r="P386" s="581"/>
      <c r="Q386" s="581"/>
      <c r="R386" s="581"/>
      <c r="S386" s="581"/>
      <c r="T386" s="581"/>
      <c r="U386" s="581"/>
      <c r="V386" s="581"/>
      <c r="W386" s="581"/>
      <c r="X386" s="581"/>
      <c r="Y386" s="580"/>
    </row>
    <row r="387" spans="12:25" x14ac:dyDescent="0.2">
      <c r="L387" s="581"/>
      <c r="M387" s="581"/>
      <c r="N387" s="581"/>
      <c r="O387" s="581"/>
      <c r="P387" s="581"/>
      <c r="Q387" s="581"/>
      <c r="R387" s="581"/>
      <c r="S387" s="581"/>
      <c r="T387" s="581"/>
      <c r="U387" s="581"/>
      <c r="V387" s="581"/>
      <c r="W387" s="581"/>
      <c r="X387" s="581"/>
      <c r="Y387" s="580"/>
    </row>
    <row r="388" spans="12:25" x14ac:dyDescent="0.2">
      <c r="L388" s="581"/>
      <c r="M388" s="581"/>
      <c r="N388" s="581"/>
      <c r="O388" s="581"/>
      <c r="P388" s="581"/>
      <c r="Q388" s="581"/>
      <c r="R388" s="581"/>
      <c r="S388" s="581"/>
      <c r="T388" s="581"/>
      <c r="U388" s="581"/>
      <c r="V388" s="581"/>
      <c r="W388" s="581"/>
      <c r="X388" s="581"/>
      <c r="Y388" s="580"/>
    </row>
    <row r="389" spans="12:25" x14ac:dyDescent="0.2">
      <c r="L389" s="581"/>
      <c r="M389" s="581"/>
      <c r="N389" s="581"/>
      <c r="O389" s="581"/>
      <c r="P389" s="581"/>
      <c r="Q389" s="581"/>
      <c r="R389" s="581"/>
      <c r="S389" s="581"/>
      <c r="T389" s="581"/>
      <c r="U389" s="581"/>
      <c r="V389" s="581"/>
      <c r="W389" s="581"/>
      <c r="X389" s="581"/>
      <c r="Y389" s="580"/>
    </row>
    <row r="390" spans="12:25" x14ac:dyDescent="0.2">
      <c r="L390" s="581"/>
      <c r="M390" s="581"/>
      <c r="N390" s="581"/>
      <c r="O390" s="581"/>
      <c r="P390" s="581"/>
      <c r="Q390" s="581"/>
      <c r="R390" s="581"/>
      <c r="S390" s="581"/>
      <c r="T390" s="581"/>
      <c r="U390" s="581"/>
      <c r="V390" s="581"/>
      <c r="W390" s="581"/>
      <c r="X390" s="581"/>
      <c r="Y390" s="580"/>
    </row>
    <row r="391" spans="12:25" x14ac:dyDescent="0.2">
      <c r="L391" s="581"/>
      <c r="M391" s="581"/>
      <c r="N391" s="581"/>
      <c r="O391" s="581"/>
      <c r="P391" s="581"/>
      <c r="Q391" s="581"/>
      <c r="R391" s="581"/>
      <c r="S391" s="581"/>
      <c r="T391" s="581"/>
      <c r="U391" s="581"/>
      <c r="V391" s="581"/>
      <c r="W391" s="581"/>
      <c r="X391" s="581"/>
      <c r="Y391" s="580"/>
    </row>
    <row r="392" spans="12:25" x14ac:dyDescent="0.2">
      <c r="L392" s="581"/>
      <c r="M392" s="581"/>
      <c r="N392" s="581"/>
      <c r="O392" s="581"/>
      <c r="P392" s="581"/>
      <c r="Q392" s="581"/>
      <c r="R392" s="581"/>
      <c r="S392" s="581"/>
      <c r="T392" s="581"/>
      <c r="U392" s="581"/>
      <c r="V392" s="581"/>
      <c r="W392" s="581"/>
      <c r="X392" s="581"/>
      <c r="Y392" s="580"/>
    </row>
    <row r="393" spans="12:25" x14ac:dyDescent="0.2">
      <c r="L393" s="581"/>
      <c r="M393" s="581"/>
      <c r="N393" s="581"/>
      <c r="O393" s="581"/>
      <c r="P393" s="581"/>
      <c r="Q393" s="581"/>
      <c r="R393" s="581"/>
      <c r="S393" s="581"/>
      <c r="T393" s="581"/>
      <c r="U393" s="581"/>
      <c r="V393" s="581"/>
      <c r="W393" s="581"/>
      <c r="X393" s="581"/>
      <c r="Y393" s="580"/>
    </row>
    <row r="394" spans="12:25" x14ac:dyDescent="0.2">
      <c r="L394" s="581"/>
      <c r="M394" s="581"/>
      <c r="N394" s="581"/>
      <c r="O394" s="581"/>
      <c r="P394" s="581"/>
      <c r="Q394" s="581"/>
      <c r="R394" s="581"/>
      <c r="S394" s="581"/>
      <c r="T394" s="581"/>
      <c r="U394" s="581"/>
      <c r="V394" s="581"/>
      <c r="W394" s="581"/>
      <c r="X394" s="581"/>
      <c r="Y394" s="580"/>
    </row>
    <row r="395" spans="12:25" x14ac:dyDescent="0.2">
      <c r="L395" s="581"/>
      <c r="M395" s="581"/>
      <c r="N395" s="581"/>
      <c r="O395" s="581"/>
      <c r="P395" s="581"/>
      <c r="Q395" s="581"/>
      <c r="R395" s="581"/>
      <c r="S395" s="581"/>
      <c r="T395" s="581"/>
      <c r="U395" s="581"/>
      <c r="V395" s="581"/>
      <c r="W395" s="581"/>
      <c r="X395" s="581"/>
      <c r="Y395" s="580"/>
    </row>
    <row r="396" spans="12:25" x14ac:dyDescent="0.2">
      <c r="L396" s="581"/>
      <c r="M396" s="581"/>
      <c r="N396" s="581"/>
      <c r="O396" s="581"/>
      <c r="P396" s="581"/>
      <c r="Q396" s="581"/>
      <c r="R396" s="581"/>
      <c r="S396" s="581"/>
      <c r="T396" s="581"/>
      <c r="U396" s="581"/>
      <c r="V396" s="581"/>
      <c r="W396" s="581"/>
      <c r="X396" s="581"/>
      <c r="Y396" s="580"/>
    </row>
    <row r="397" spans="12:25" x14ac:dyDescent="0.2">
      <c r="L397" s="581"/>
      <c r="M397" s="581"/>
      <c r="N397" s="581"/>
      <c r="O397" s="581"/>
      <c r="P397" s="581"/>
      <c r="Q397" s="581"/>
      <c r="R397" s="581"/>
      <c r="S397" s="581"/>
      <c r="T397" s="581"/>
      <c r="U397" s="581"/>
      <c r="V397" s="581"/>
      <c r="W397" s="581"/>
      <c r="X397" s="581"/>
      <c r="Y397" s="580"/>
    </row>
    <row r="398" spans="12:25" x14ac:dyDescent="0.2">
      <c r="L398" s="581"/>
      <c r="M398" s="581"/>
      <c r="N398" s="581"/>
      <c r="O398" s="581"/>
      <c r="P398" s="581"/>
      <c r="Q398" s="581"/>
      <c r="R398" s="581"/>
      <c r="S398" s="581"/>
      <c r="T398" s="581"/>
      <c r="U398" s="581"/>
      <c r="V398" s="581"/>
      <c r="W398" s="581"/>
      <c r="X398" s="581"/>
      <c r="Y398" s="580"/>
    </row>
    <row r="399" spans="12:25" x14ac:dyDescent="0.2">
      <c r="L399" s="581"/>
      <c r="M399" s="581"/>
      <c r="N399" s="581"/>
      <c r="O399" s="581"/>
      <c r="P399" s="581"/>
      <c r="Q399" s="581"/>
      <c r="R399" s="581"/>
      <c r="S399" s="581"/>
      <c r="T399" s="581"/>
      <c r="U399" s="581"/>
      <c r="V399" s="581"/>
      <c r="W399" s="581"/>
      <c r="X399" s="581"/>
      <c r="Y399" s="580"/>
    </row>
    <row r="400" spans="12:25" x14ac:dyDescent="0.2">
      <c r="L400" s="581"/>
      <c r="M400" s="581"/>
      <c r="N400" s="581"/>
      <c r="O400" s="581"/>
      <c r="P400" s="581"/>
      <c r="Q400" s="581"/>
      <c r="R400" s="581"/>
      <c r="S400" s="581"/>
      <c r="T400" s="581"/>
      <c r="U400" s="581"/>
      <c r="V400" s="581"/>
      <c r="W400" s="581"/>
      <c r="X400" s="581"/>
      <c r="Y400" s="580"/>
    </row>
    <row r="401" spans="12:25" x14ac:dyDescent="0.2">
      <c r="L401" s="581"/>
      <c r="M401" s="581"/>
      <c r="N401" s="581"/>
      <c r="O401" s="581"/>
      <c r="P401" s="581"/>
      <c r="Q401" s="581"/>
      <c r="R401" s="581"/>
      <c r="S401" s="581"/>
      <c r="T401" s="581"/>
      <c r="U401" s="581"/>
      <c r="V401" s="581"/>
      <c r="W401" s="581"/>
      <c r="X401" s="581"/>
      <c r="Y401" s="580"/>
    </row>
    <row r="402" spans="12:25" x14ac:dyDescent="0.2">
      <c r="L402" s="580"/>
      <c r="M402" s="580"/>
      <c r="N402" s="580"/>
      <c r="O402" s="580"/>
      <c r="P402" s="580"/>
      <c r="Q402" s="580"/>
      <c r="R402" s="580"/>
      <c r="S402" s="580"/>
      <c r="T402" s="580"/>
      <c r="U402" s="580"/>
      <c r="V402" s="580"/>
      <c r="W402" s="580"/>
      <c r="X402" s="580"/>
      <c r="Y402" s="580"/>
    </row>
    <row r="403" spans="12:25" x14ac:dyDescent="0.2">
      <c r="L403" s="580"/>
      <c r="M403" s="580"/>
      <c r="N403" s="580"/>
      <c r="O403" s="580"/>
      <c r="P403" s="580"/>
      <c r="Q403" s="580"/>
      <c r="R403" s="580"/>
      <c r="S403" s="580"/>
      <c r="T403" s="580"/>
      <c r="U403" s="580"/>
      <c r="V403" s="580"/>
      <c r="W403" s="580"/>
      <c r="X403" s="580"/>
      <c r="Y403" s="580"/>
    </row>
    <row r="404" spans="12:25" x14ac:dyDescent="0.2">
      <c r="L404" s="580"/>
      <c r="M404" s="580"/>
      <c r="N404" s="580"/>
      <c r="O404" s="580"/>
      <c r="P404" s="580"/>
      <c r="Q404" s="580"/>
      <c r="R404" s="580"/>
      <c r="S404" s="580"/>
      <c r="T404" s="580"/>
      <c r="U404" s="580"/>
      <c r="V404" s="580"/>
      <c r="W404" s="580"/>
      <c r="X404" s="580"/>
      <c r="Y404" s="580"/>
    </row>
    <row r="405" spans="12:25" x14ac:dyDescent="0.2">
      <c r="L405" s="580"/>
      <c r="M405" s="580"/>
      <c r="N405" s="580"/>
      <c r="O405" s="580"/>
      <c r="P405" s="580"/>
      <c r="Q405" s="580"/>
      <c r="R405" s="580"/>
      <c r="S405" s="580"/>
      <c r="T405" s="580"/>
      <c r="U405" s="580"/>
      <c r="V405" s="580"/>
      <c r="W405" s="580"/>
      <c r="X405" s="580"/>
      <c r="Y405" s="580"/>
    </row>
    <row r="406" spans="12:25" x14ac:dyDescent="0.2">
      <c r="L406" s="580"/>
      <c r="M406" s="580"/>
      <c r="N406" s="580"/>
      <c r="O406" s="580"/>
      <c r="P406" s="580"/>
      <c r="Q406" s="580"/>
      <c r="R406" s="580"/>
      <c r="S406" s="580"/>
      <c r="T406" s="580"/>
      <c r="U406" s="580"/>
      <c r="V406" s="580"/>
      <c r="W406" s="580"/>
      <c r="X406" s="580"/>
      <c r="Y406" s="580"/>
    </row>
    <row r="407" spans="12:25" x14ac:dyDescent="0.2">
      <c r="L407" s="580"/>
      <c r="M407" s="580"/>
      <c r="N407" s="580"/>
      <c r="O407" s="580"/>
      <c r="P407" s="580"/>
      <c r="Q407" s="580"/>
      <c r="R407" s="580"/>
      <c r="S407" s="580"/>
      <c r="T407" s="580"/>
      <c r="U407" s="580"/>
      <c r="V407" s="580"/>
      <c r="W407" s="580"/>
      <c r="X407" s="580"/>
      <c r="Y407" s="580"/>
    </row>
    <row r="408" spans="12:25" x14ac:dyDescent="0.2">
      <c r="L408" s="580"/>
      <c r="M408" s="580"/>
      <c r="N408" s="580"/>
      <c r="O408" s="580"/>
      <c r="P408" s="580"/>
      <c r="Q408" s="580"/>
      <c r="R408" s="580"/>
      <c r="S408" s="580"/>
      <c r="T408" s="580"/>
      <c r="U408" s="580"/>
      <c r="V408" s="580"/>
      <c r="W408" s="580"/>
      <c r="X408" s="580"/>
      <c r="Y408" s="580"/>
    </row>
    <row r="409" spans="12:25" x14ac:dyDescent="0.2">
      <c r="L409" s="580"/>
      <c r="M409" s="580"/>
      <c r="N409" s="580"/>
      <c r="O409" s="580"/>
      <c r="P409" s="580"/>
      <c r="Q409" s="580"/>
      <c r="R409" s="580"/>
      <c r="S409" s="580"/>
      <c r="T409" s="580"/>
      <c r="U409" s="580"/>
      <c r="V409" s="580"/>
      <c r="W409" s="580"/>
      <c r="X409" s="580"/>
      <c r="Y409" s="580"/>
    </row>
    <row r="410" spans="12:25" x14ac:dyDescent="0.2">
      <c r="L410" s="580"/>
      <c r="M410" s="580"/>
      <c r="N410" s="580"/>
      <c r="O410" s="580"/>
      <c r="P410" s="580"/>
      <c r="Q410" s="580"/>
      <c r="R410" s="580"/>
      <c r="S410" s="580"/>
      <c r="T410" s="580"/>
      <c r="U410" s="580"/>
      <c r="V410" s="580"/>
      <c r="W410" s="580"/>
      <c r="X410" s="580"/>
      <c r="Y410" s="580"/>
    </row>
    <row r="411" spans="12:25" x14ac:dyDescent="0.2">
      <c r="L411" s="580"/>
      <c r="M411" s="580"/>
      <c r="N411" s="580"/>
      <c r="O411" s="580"/>
      <c r="P411" s="580"/>
      <c r="Q411" s="580"/>
      <c r="R411" s="580"/>
      <c r="S411" s="580"/>
      <c r="T411" s="580"/>
      <c r="U411" s="580"/>
      <c r="V411" s="580"/>
      <c r="W411" s="580"/>
      <c r="X411" s="580"/>
      <c r="Y411" s="580"/>
    </row>
    <row r="412" spans="12:25" x14ac:dyDescent="0.2">
      <c r="L412" s="580"/>
      <c r="M412" s="580"/>
      <c r="N412" s="580"/>
      <c r="O412" s="580"/>
      <c r="P412" s="580"/>
      <c r="Q412" s="580"/>
      <c r="R412" s="580"/>
      <c r="S412" s="580"/>
      <c r="T412" s="580"/>
      <c r="U412" s="580"/>
      <c r="V412" s="580"/>
      <c r="W412" s="580"/>
      <c r="X412" s="580"/>
      <c r="Y412" s="580"/>
    </row>
    <row r="413" spans="12:25" x14ac:dyDescent="0.2">
      <c r="L413" s="580"/>
      <c r="M413" s="580"/>
      <c r="N413" s="580"/>
      <c r="O413" s="580"/>
      <c r="P413" s="580"/>
      <c r="Q413" s="580"/>
      <c r="R413" s="580"/>
      <c r="S413" s="580"/>
      <c r="T413" s="580"/>
      <c r="U413" s="580"/>
      <c r="V413" s="580"/>
      <c r="W413" s="580"/>
      <c r="X413" s="580"/>
      <c r="Y413" s="580"/>
    </row>
    <row r="414" spans="12:25" x14ac:dyDescent="0.2">
      <c r="L414" s="580"/>
      <c r="M414" s="580"/>
      <c r="N414" s="580"/>
      <c r="O414" s="580"/>
      <c r="P414" s="580"/>
      <c r="Q414" s="580"/>
      <c r="R414" s="580"/>
      <c r="S414" s="580"/>
      <c r="T414" s="580"/>
      <c r="U414" s="580"/>
      <c r="V414" s="580"/>
      <c r="W414" s="580"/>
      <c r="X414" s="580"/>
      <c r="Y414" s="580"/>
    </row>
    <row r="415" spans="12:25" x14ac:dyDescent="0.2">
      <c r="L415" s="580"/>
      <c r="M415" s="580"/>
      <c r="N415" s="580"/>
      <c r="O415" s="580"/>
      <c r="P415" s="580"/>
      <c r="Q415" s="580"/>
      <c r="R415" s="580"/>
      <c r="S415" s="580"/>
      <c r="T415" s="580"/>
      <c r="U415" s="580"/>
      <c r="V415" s="580"/>
      <c r="W415" s="580"/>
      <c r="X415" s="580"/>
      <c r="Y415" s="580"/>
    </row>
    <row r="416" spans="12:25" x14ac:dyDescent="0.2">
      <c r="L416" s="580"/>
      <c r="M416" s="580"/>
      <c r="N416" s="580"/>
      <c r="O416" s="580"/>
      <c r="P416" s="580"/>
      <c r="Q416" s="580"/>
      <c r="R416" s="580"/>
      <c r="S416" s="580"/>
      <c r="T416" s="580"/>
      <c r="U416" s="580"/>
      <c r="V416" s="580"/>
      <c r="W416" s="580"/>
      <c r="X416" s="580"/>
      <c r="Y416" s="580"/>
    </row>
    <row r="417" spans="12:25" x14ac:dyDescent="0.2">
      <c r="L417" s="580"/>
      <c r="M417" s="580"/>
      <c r="N417" s="580"/>
      <c r="O417" s="580"/>
      <c r="P417" s="580"/>
      <c r="Q417" s="580"/>
      <c r="R417" s="580"/>
      <c r="S417" s="580"/>
      <c r="T417" s="580"/>
      <c r="U417" s="580"/>
      <c r="V417" s="580"/>
      <c r="W417" s="580"/>
      <c r="X417" s="580"/>
      <c r="Y417" s="580"/>
    </row>
    <row r="418" spans="12:25" x14ac:dyDescent="0.2">
      <c r="L418" s="580"/>
      <c r="M418" s="580"/>
      <c r="N418" s="580"/>
      <c r="O418" s="580"/>
      <c r="P418" s="580"/>
      <c r="Q418" s="580"/>
      <c r="R418" s="580"/>
      <c r="S418" s="580"/>
      <c r="T418" s="580"/>
      <c r="U418" s="580"/>
      <c r="V418" s="580"/>
      <c r="W418" s="580"/>
      <c r="X418" s="580"/>
      <c r="Y418" s="580"/>
    </row>
    <row r="419" spans="12:25" x14ac:dyDescent="0.2">
      <c r="L419" s="580"/>
      <c r="M419" s="580"/>
      <c r="N419" s="580"/>
      <c r="O419" s="580"/>
      <c r="P419" s="580"/>
      <c r="Q419" s="580"/>
      <c r="R419" s="580"/>
      <c r="S419" s="580"/>
      <c r="T419" s="580"/>
      <c r="U419" s="580"/>
      <c r="V419" s="580"/>
      <c r="W419" s="580"/>
      <c r="X419" s="580"/>
      <c r="Y419" s="580"/>
    </row>
    <row r="420" spans="12:25" x14ac:dyDescent="0.2">
      <c r="L420" s="580"/>
      <c r="M420" s="580"/>
      <c r="N420" s="580"/>
      <c r="O420" s="580"/>
      <c r="P420" s="580"/>
      <c r="Q420" s="580"/>
      <c r="R420" s="580"/>
      <c r="S420" s="580"/>
      <c r="T420" s="580"/>
      <c r="U420" s="580"/>
      <c r="V420" s="580"/>
      <c r="W420" s="580"/>
      <c r="X420" s="580"/>
      <c r="Y420" s="580"/>
    </row>
    <row r="421" spans="12:25" x14ac:dyDescent="0.2">
      <c r="L421" s="580"/>
      <c r="M421" s="580"/>
      <c r="N421" s="580"/>
      <c r="O421" s="580"/>
      <c r="P421" s="580"/>
      <c r="Q421" s="580"/>
      <c r="R421" s="580"/>
      <c r="S421" s="580"/>
      <c r="T421" s="580"/>
      <c r="U421" s="580"/>
      <c r="V421" s="580"/>
      <c r="W421" s="580"/>
      <c r="X421" s="580"/>
      <c r="Y421" s="580"/>
    </row>
    <row r="422" spans="12:25" x14ac:dyDescent="0.2">
      <c r="L422" s="580"/>
      <c r="M422" s="580"/>
      <c r="N422" s="580"/>
      <c r="O422" s="580"/>
      <c r="P422" s="580"/>
      <c r="Q422" s="580"/>
      <c r="R422" s="580"/>
      <c r="S422" s="580"/>
      <c r="T422" s="580"/>
      <c r="U422" s="580"/>
      <c r="V422" s="580"/>
      <c r="W422" s="580"/>
      <c r="X422" s="580"/>
      <c r="Y422" s="580"/>
    </row>
    <row r="423" spans="12:25" x14ac:dyDescent="0.2">
      <c r="L423" s="580"/>
      <c r="M423" s="580"/>
      <c r="N423" s="580"/>
      <c r="O423" s="580"/>
      <c r="P423" s="580"/>
      <c r="Q423" s="580"/>
      <c r="R423" s="580"/>
      <c r="S423" s="580"/>
      <c r="T423" s="580"/>
      <c r="U423" s="580"/>
      <c r="V423" s="580"/>
      <c r="W423" s="580"/>
      <c r="X423" s="580"/>
      <c r="Y423" s="580"/>
    </row>
    <row r="424" spans="12:25" x14ac:dyDescent="0.2">
      <c r="L424" s="580"/>
      <c r="M424" s="580"/>
      <c r="N424" s="580"/>
      <c r="O424" s="580"/>
      <c r="P424" s="580"/>
      <c r="Q424" s="580"/>
      <c r="R424" s="580"/>
      <c r="S424" s="580"/>
      <c r="T424" s="580"/>
      <c r="U424" s="580"/>
      <c r="V424" s="580"/>
      <c r="W424" s="580"/>
      <c r="X424" s="580"/>
      <c r="Y424" s="580"/>
    </row>
    <row r="425" spans="12:25" x14ac:dyDescent="0.2">
      <c r="L425" s="580"/>
      <c r="M425" s="580"/>
      <c r="N425" s="580"/>
      <c r="O425" s="580"/>
      <c r="P425" s="580"/>
      <c r="Q425" s="580"/>
      <c r="R425" s="580"/>
      <c r="S425" s="580"/>
      <c r="T425" s="580"/>
      <c r="U425" s="580"/>
      <c r="V425" s="580"/>
      <c r="W425" s="580"/>
      <c r="X425" s="580"/>
      <c r="Y425" s="580"/>
    </row>
    <row r="426" spans="12:25" x14ac:dyDescent="0.2">
      <c r="L426" s="580"/>
      <c r="M426" s="580"/>
      <c r="N426" s="580"/>
      <c r="O426" s="580"/>
      <c r="P426" s="580"/>
      <c r="Q426" s="580"/>
      <c r="R426" s="580"/>
      <c r="S426" s="580"/>
      <c r="T426" s="580"/>
      <c r="U426" s="580"/>
      <c r="V426" s="580"/>
      <c r="W426" s="580"/>
      <c r="X426" s="580"/>
      <c r="Y426" s="580"/>
    </row>
    <row r="427" spans="12:25" x14ac:dyDescent="0.2">
      <c r="L427" s="580"/>
      <c r="M427" s="580"/>
      <c r="N427" s="580"/>
      <c r="O427" s="580"/>
      <c r="P427" s="580"/>
      <c r="Q427" s="580"/>
      <c r="R427" s="580"/>
      <c r="S427" s="580"/>
      <c r="T427" s="580"/>
      <c r="U427" s="580"/>
      <c r="V427" s="580"/>
      <c r="W427" s="580"/>
      <c r="X427" s="580"/>
      <c r="Y427" s="580"/>
    </row>
    <row r="428" spans="12:25" x14ac:dyDescent="0.2">
      <c r="L428" s="580"/>
      <c r="M428" s="580"/>
      <c r="N428" s="580"/>
      <c r="O428" s="580"/>
      <c r="P428" s="580"/>
      <c r="Q428" s="580"/>
      <c r="R428" s="580"/>
      <c r="S428" s="580"/>
      <c r="T428" s="580"/>
      <c r="U428" s="580"/>
      <c r="V428" s="580"/>
      <c r="W428" s="580"/>
      <c r="X428" s="580"/>
      <c r="Y428" s="580"/>
    </row>
    <row r="429" spans="12:25" x14ac:dyDescent="0.2">
      <c r="L429" s="580"/>
      <c r="M429" s="580"/>
      <c r="N429" s="580"/>
      <c r="O429" s="580"/>
      <c r="P429" s="580"/>
      <c r="Q429" s="580"/>
      <c r="R429" s="580"/>
      <c r="S429" s="580"/>
      <c r="T429" s="580"/>
      <c r="U429" s="580"/>
      <c r="V429" s="580"/>
      <c r="W429" s="580"/>
      <c r="X429" s="580"/>
      <c r="Y429" s="580"/>
    </row>
    <row r="430" spans="12:25" x14ac:dyDescent="0.2">
      <c r="L430" s="580"/>
      <c r="M430" s="580"/>
      <c r="N430" s="580"/>
      <c r="O430" s="580"/>
      <c r="P430" s="580"/>
      <c r="Q430" s="580"/>
      <c r="R430" s="580"/>
      <c r="S430" s="580"/>
      <c r="T430" s="580"/>
      <c r="U430" s="580"/>
      <c r="V430" s="580"/>
      <c r="W430" s="580"/>
      <c r="X430" s="580"/>
      <c r="Y430" s="580"/>
    </row>
    <row r="431" spans="12:25" x14ac:dyDescent="0.2">
      <c r="L431" s="580"/>
      <c r="M431" s="580"/>
      <c r="N431" s="580"/>
      <c r="O431" s="580"/>
      <c r="P431" s="580"/>
      <c r="Q431" s="580"/>
      <c r="R431" s="580"/>
      <c r="S431" s="580"/>
      <c r="T431" s="580"/>
      <c r="U431" s="580"/>
      <c r="V431" s="580"/>
      <c r="W431" s="580"/>
      <c r="X431" s="580"/>
      <c r="Y431" s="580"/>
    </row>
    <row r="432" spans="12:25" x14ac:dyDescent="0.2">
      <c r="L432" s="580"/>
      <c r="M432" s="580"/>
      <c r="N432" s="580"/>
      <c r="O432" s="580"/>
      <c r="P432" s="580"/>
      <c r="Q432" s="580"/>
      <c r="R432" s="580"/>
      <c r="S432" s="580"/>
      <c r="T432" s="580"/>
      <c r="U432" s="580"/>
      <c r="V432" s="580"/>
      <c r="W432" s="580"/>
      <c r="X432" s="580"/>
      <c r="Y432" s="580"/>
    </row>
    <row r="433" spans="12:25" x14ac:dyDescent="0.2">
      <c r="L433" s="580"/>
      <c r="M433" s="580"/>
      <c r="N433" s="580"/>
      <c r="O433" s="580"/>
      <c r="P433" s="580"/>
      <c r="Q433" s="580"/>
      <c r="R433" s="580"/>
      <c r="S433" s="580"/>
      <c r="T433" s="580"/>
      <c r="U433" s="580"/>
      <c r="V433" s="580"/>
      <c r="W433" s="580"/>
      <c r="X433" s="580"/>
      <c r="Y433" s="580"/>
    </row>
    <row r="434" spans="12:25" x14ac:dyDescent="0.2">
      <c r="L434" s="580"/>
      <c r="M434" s="580"/>
      <c r="N434" s="580"/>
      <c r="O434" s="580"/>
      <c r="P434" s="580"/>
      <c r="Q434" s="580"/>
      <c r="R434" s="580"/>
      <c r="S434" s="580"/>
      <c r="T434" s="580"/>
      <c r="U434" s="580"/>
      <c r="V434" s="580"/>
      <c r="W434" s="580"/>
      <c r="X434" s="580"/>
      <c r="Y434" s="580"/>
    </row>
    <row r="435" spans="12:25" x14ac:dyDescent="0.2">
      <c r="L435" s="580"/>
      <c r="M435" s="580"/>
      <c r="N435" s="580"/>
      <c r="O435" s="580"/>
      <c r="P435" s="580"/>
      <c r="Q435" s="580"/>
      <c r="R435" s="580"/>
      <c r="S435" s="580"/>
      <c r="T435" s="580"/>
      <c r="U435" s="580"/>
      <c r="V435" s="580"/>
      <c r="W435" s="580"/>
      <c r="X435" s="580"/>
      <c r="Y435" s="580"/>
    </row>
    <row r="436" spans="12:25" x14ac:dyDescent="0.2">
      <c r="L436" s="580"/>
      <c r="M436" s="580"/>
      <c r="N436" s="580"/>
      <c r="O436" s="580"/>
      <c r="P436" s="580"/>
      <c r="Q436" s="580"/>
      <c r="R436" s="580"/>
      <c r="S436" s="580"/>
      <c r="T436" s="580"/>
      <c r="U436" s="580"/>
      <c r="V436" s="580"/>
      <c r="W436" s="580"/>
      <c r="X436" s="580"/>
      <c r="Y436" s="580"/>
    </row>
    <row r="437" spans="12:25" x14ac:dyDescent="0.2">
      <c r="L437" s="580"/>
      <c r="M437" s="580"/>
      <c r="N437" s="580"/>
      <c r="O437" s="580"/>
      <c r="P437" s="580"/>
      <c r="Q437" s="580"/>
      <c r="R437" s="580"/>
      <c r="S437" s="580"/>
      <c r="T437" s="580"/>
      <c r="U437" s="580"/>
      <c r="V437" s="580"/>
      <c r="W437" s="580"/>
      <c r="X437" s="580"/>
      <c r="Y437" s="580"/>
    </row>
    <row r="438" spans="12:25" x14ac:dyDescent="0.2">
      <c r="L438" s="580"/>
      <c r="M438" s="580"/>
      <c r="N438" s="580"/>
      <c r="O438" s="580"/>
      <c r="P438" s="580"/>
      <c r="Q438" s="580"/>
      <c r="R438" s="580"/>
      <c r="S438" s="580"/>
      <c r="T438" s="580"/>
      <c r="U438" s="580"/>
      <c r="V438" s="580"/>
      <c r="W438" s="580"/>
      <c r="X438" s="580"/>
      <c r="Y438" s="580"/>
    </row>
    <row r="439" spans="12:25" x14ac:dyDescent="0.2">
      <c r="L439" s="580"/>
      <c r="M439" s="580"/>
      <c r="N439" s="580"/>
      <c r="O439" s="580"/>
      <c r="P439" s="580"/>
      <c r="Q439" s="580"/>
      <c r="R439" s="580"/>
      <c r="S439" s="580"/>
      <c r="T439" s="580"/>
      <c r="U439" s="580"/>
      <c r="V439" s="580"/>
      <c r="W439" s="580"/>
      <c r="X439" s="580"/>
      <c r="Y439" s="580"/>
    </row>
    <row r="440" spans="12:25" x14ac:dyDescent="0.2">
      <c r="L440" s="580"/>
      <c r="M440" s="580"/>
      <c r="N440" s="580"/>
      <c r="O440" s="580"/>
      <c r="P440" s="580"/>
      <c r="Q440" s="580"/>
      <c r="R440" s="580"/>
      <c r="S440" s="580"/>
      <c r="T440" s="580"/>
      <c r="U440" s="580"/>
      <c r="V440" s="580"/>
      <c r="W440" s="580"/>
      <c r="X440" s="580"/>
      <c r="Y440" s="580"/>
    </row>
    <row r="441" spans="12:25" x14ac:dyDescent="0.2">
      <c r="L441" s="580"/>
      <c r="M441" s="580"/>
      <c r="N441" s="580"/>
      <c r="O441" s="580"/>
      <c r="P441" s="580"/>
      <c r="Q441" s="580"/>
      <c r="R441" s="580"/>
      <c r="S441" s="580"/>
      <c r="T441" s="580"/>
      <c r="U441" s="580"/>
      <c r="V441" s="580"/>
      <c r="W441" s="580"/>
      <c r="X441" s="580"/>
      <c r="Y441" s="580"/>
    </row>
    <row r="442" spans="12:25" x14ac:dyDescent="0.2">
      <c r="L442" s="580"/>
      <c r="M442" s="580"/>
      <c r="N442" s="580"/>
      <c r="O442" s="580"/>
      <c r="P442" s="580"/>
      <c r="Q442" s="580"/>
      <c r="R442" s="580"/>
      <c r="S442" s="580"/>
      <c r="T442" s="580"/>
      <c r="U442" s="580"/>
      <c r="V442" s="580"/>
      <c r="W442" s="580"/>
      <c r="X442" s="580"/>
      <c r="Y442" s="580"/>
    </row>
    <row r="443" spans="12:25" x14ac:dyDescent="0.2">
      <c r="L443" s="580"/>
      <c r="M443" s="580"/>
      <c r="N443" s="580"/>
      <c r="O443" s="580"/>
      <c r="P443" s="580"/>
      <c r="Q443" s="580"/>
      <c r="R443" s="580"/>
      <c r="S443" s="580"/>
      <c r="T443" s="580"/>
      <c r="U443" s="580"/>
      <c r="V443" s="580"/>
      <c r="W443" s="580"/>
      <c r="X443" s="580"/>
      <c r="Y443" s="580"/>
    </row>
    <row r="444" spans="12:25" x14ac:dyDescent="0.2">
      <c r="L444" s="580"/>
      <c r="M444" s="580"/>
      <c r="N444" s="580"/>
      <c r="O444" s="580"/>
      <c r="P444" s="580"/>
      <c r="Q444" s="580"/>
      <c r="R444" s="580"/>
      <c r="S444" s="580"/>
      <c r="T444" s="580"/>
      <c r="U444" s="580"/>
      <c r="V444" s="580"/>
      <c r="W444" s="580"/>
      <c r="X444" s="580"/>
      <c r="Y444" s="580"/>
    </row>
    <row r="445" spans="12:25" x14ac:dyDescent="0.2">
      <c r="L445" s="580"/>
      <c r="M445" s="580"/>
      <c r="N445" s="580"/>
      <c r="O445" s="580"/>
      <c r="P445" s="580"/>
      <c r="Q445" s="580"/>
      <c r="R445" s="580"/>
      <c r="S445" s="580"/>
      <c r="T445" s="580"/>
      <c r="U445" s="580"/>
      <c r="V445" s="580"/>
      <c r="W445" s="580"/>
      <c r="X445" s="580"/>
      <c r="Y445" s="580"/>
    </row>
    <row r="446" spans="12:25" x14ac:dyDescent="0.2">
      <c r="L446" s="580"/>
      <c r="M446" s="580"/>
      <c r="N446" s="580"/>
      <c r="O446" s="580"/>
      <c r="P446" s="580"/>
      <c r="Q446" s="580"/>
      <c r="R446" s="580"/>
      <c r="S446" s="580"/>
      <c r="T446" s="580"/>
      <c r="U446" s="580"/>
      <c r="V446" s="580"/>
      <c r="W446" s="580"/>
      <c r="X446" s="580"/>
      <c r="Y446" s="580"/>
    </row>
    <row r="447" spans="12:25" x14ac:dyDescent="0.2">
      <c r="L447" s="580"/>
      <c r="M447" s="580"/>
      <c r="N447" s="580"/>
      <c r="O447" s="580"/>
      <c r="P447" s="580"/>
      <c r="Q447" s="580"/>
      <c r="R447" s="580"/>
      <c r="S447" s="580"/>
      <c r="T447" s="580"/>
      <c r="U447" s="580"/>
      <c r="V447" s="580"/>
      <c r="W447" s="580"/>
      <c r="X447" s="580"/>
      <c r="Y447" s="580"/>
    </row>
    <row r="448" spans="12:25" x14ac:dyDescent="0.2">
      <c r="L448" s="580"/>
      <c r="M448" s="580"/>
      <c r="N448" s="580"/>
      <c r="O448" s="580"/>
      <c r="P448" s="580"/>
      <c r="Q448" s="580"/>
      <c r="R448" s="580"/>
      <c r="S448" s="580"/>
      <c r="T448" s="580"/>
      <c r="U448" s="580"/>
      <c r="V448" s="580"/>
      <c r="W448" s="580"/>
      <c r="X448" s="580"/>
      <c r="Y448" s="580"/>
    </row>
    <row r="449" spans="12:25" x14ac:dyDescent="0.2">
      <c r="L449" s="580"/>
      <c r="M449" s="580"/>
      <c r="N449" s="580"/>
      <c r="O449" s="580"/>
      <c r="P449" s="580"/>
      <c r="Q449" s="580"/>
      <c r="R449" s="580"/>
      <c r="S449" s="580"/>
      <c r="T449" s="580"/>
      <c r="U449" s="580"/>
      <c r="V449" s="580"/>
      <c r="W449" s="580"/>
      <c r="X449" s="580"/>
      <c r="Y449" s="580"/>
    </row>
    <row r="450" spans="12:25" x14ac:dyDescent="0.2">
      <c r="L450" s="580"/>
      <c r="M450" s="580"/>
      <c r="N450" s="580"/>
      <c r="O450" s="580"/>
      <c r="P450" s="580"/>
      <c r="Q450" s="580"/>
      <c r="R450" s="580"/>
      <c r="S450" s="580"/>
      <c r="T450" s="580"/>
      <c r="U450" s="580"/>
      <c r="V450" s="580"/>
      <c r="W450" s="580"/>
      <c r="X450" s="580"/>
      <c r="Y450" s="580"/>
    </row>
    <row r="451" spans="12:25" x14ac:dyDescent="0.2">
      <c r="Y451" s="580"/>
    </row>
    <row r="452" spans="12:25" x14ac:dyDescent="0.2">
      <c r="Y452" s="580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56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51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56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2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2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2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3">
        <f t="shared" si="0"/>
        <v>4.99</v>
      </c>
    </row>
    <row r="6" spans="1:20" x14ac:dyDescent="0.2">
      <c r="A6" s="351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3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3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3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3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3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3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3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3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3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3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3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3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3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3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3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3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3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3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3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3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3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3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3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3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3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3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3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3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3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3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3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3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3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3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3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3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3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3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3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3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3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3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3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394" customWidth="1"/>
    <col min="2" max="2" width="2.5703125" style="393" customWidth="1"/>
    <col min="3" max="3" width="14" style="394" customWidth="1"/>
    <col min="4" max="5" width="11.28515625" style="394" customWidth="1"/>
    <col min="6" max="6" width="10.7109375" style="394" customWidth="1"/>
    <col min="7" max="10" width="11.28515625" style="394" customWidth="1"/>
    <col min="11" max="11" width="10.7109375" style="394" customWidth="1"/>
    <col min="12" max="12" width="10.7109375" style="395" customWidth="1"/>
    <col min="13" max="16384" width="10.7109375" style="394"/>
  </cols>
  <sheetData>
    <row r="1" spans="1:12" ht="12.6" customHeight="1" x14ac:dyDescent="0.2">
      <c r="A1" s="392"/>
    </row>
    <row r="2" spans="1:12" ht="12.6" customHeight="1" x14ac:dyDescent="0.2">
      <c r="B2" s="396"/>
      <c r="C2" s="397" t="s">
        <v>452</v>
      </c>
      <c r="D2" s="398">
        <f ca="1">TODAY()</f>
        <v>42755</v>
      </c>
      <c r="E2" s="397" t="s">
        <v>453</v>
      </c>
      <c r="F2" s="850" t="str">
        <f>__2_AchterNaam&amp;", "&amp;__3_VoorNaam</f>
        <v xml:space="preserve">, </v>
      </c>
      <c r="G2" s="850"/>
      <c r="H2" s="399" t="s">
        <v>267</v>
      </c>
      <c r="I2" s="394" t="str">
        <f>_Pat_Gewicht/10&amp;" kg"</f>
        <v>1 kg</v>
      </c>
      <c r="J2" s="390"/>
      <c r="L2" s="400"/>
    </row>
    <row r="3" spans="1:12" ht="12.6" customHeight="1" x14ac:dyDescent="0.2">
      <c r="B3" s="396"/>
      <c r="C3" s="397" t="s">
        <v>198</v>
      </c>
      <c r="D3" s="401">
        <f ca="1">Var_AfspraakDatum-_Pat_OpnDatum+1</f>
        <v>41294</v>
      </c>
      <c r="E3" s="397" t="s">
        <v>451</v>
      </c>
      <c r="F3" s="402">
        <f>__4_GebDatum</f>
        <v>1462</v>
      </c>
      <c r="G3" s="390"/>
      <c r="H3" s="399" t="s">
        <v>128</v>
      </c>
      <c r="I3" s="394" t="str">
        <f>_Pat_Lengte&amp;" cm"</f>
        <v>0 cm</v>
      </c>
      <c r="J3" s="390"/>
      <c r="L3" s="400"/>
    </row>
    <row r="4" spans="1:12" ht="12" customHeight="1" x14ac:dyDescent="0.2">
      <c r="B4" s="396"/>
      <c r="C4" s="397" t="s">
        <v>489</v>
      </c>
      <c r="D4" s="401">
        <f>__1_Bed</f>
        <v>0</v>
      </c>
      <c r="F4" s="390"/>
      <c r="H4" s="399" t="s">
        <v>129</v>
      </c>
      <c r="I4" s="394" t="str">
        <f>ROUND(POWER(_Pat_Gewicht/10,0.425)*POWER(((_Pat_Lengte/100)*100),0.725)*0.007184,2)&amp;" m2"</f>
        <v>0 m2</v>
      </c>
    </row>
    <row r="5" spans="1:12" ht="14.1" customHeight="1" x14ac:dyDescent="0.2">
      <c r="A5" s="403"/>
      <c r="B5" s="404" t="str">
        <f>PedGuiEntTPN!D11</f>
        <v>Voeding</v>
      </c>
      <c r="C5" s="403"/>
      <c r="D5" s="403"/>
      <c r="E5" s="403"/>
      <c r="F5" s="403"/>
      <c r="G5" s="403"/>
      <c r="H5" s="403"/>
      <c r="I5" s="403"/>
      <c r="J5" s="403"/>
      <c r="K5" s="393"/>
    </row>
    <row r="6" spans="1:12" ht="14.1" customHeight="1" x14ac:dyDescent="0.2">
      <c r="A6" s="392"/>
      <c r="B6" s="396"/>
      <c r="C6" s="399" t="s">
        <v>233</v>
      </c>
      <c r="F6" s="399"/>
      <c r="G6" s="394" t="str">
        <f>INDEX(tblSonde,PedBerEnt!G3,1)</f>
        <v>Enteraal voeding</v>
      </c>
      <c r="K6" s="393"/>
    </row>
    <row r="7" spans="1:12" ht="14.1" customHeight="1" x14ac:dyDescent="0.2">
      <c r="C7" s="394" t="e">
        <f>IF(G7&lt;&gt;"",INDEX(tblVoedingPO,_Ped_Ent_Keuze_1,1),)</f>
        <v>#REF!</v>
      </c>
      <c r="F7" s="394" t="str">
        <f>PedGuiEntTPN!H12</f>
        <v/>
      </c>
      <c r="G7" s="394" t="str">
        <f>PedGuiEntTPN!D12&amp;" "&amp;PedGuiEntTPN!E12</f>
        <v xml:space="preserve"> </v>
      </c>
      <c r="K7" s="393"/>
      <c r="L7" s="400"/>
    </row>
    <row r="8" spans="1:12" ht="12.6" customHeight="1" x14ac:dyDescent="0.2">
      <c r="B8" s="396"/>
      <c r="C8" s="399"/>
      <c r="D8" s="405" t="str">
        <f>IF(_Ped_Ent_Keuze_2&gt;1,"met "&amp;PedGuiEntTPN!D14&amp;" "&amp;PedGuiEntTPN!E14&amp;" "&amp;INDEX(tblPO_poederlijst,_Ped_Ent_Keuze_2,1),"")</f>
        <v/>
      </c>
      <c r="H8" s="394" t="e">
        <f>PedGuiEntTPN!#REF!</f>
        <v>#REF!</v>
      </c>
      <c r="K8" s="393"/>
      <c r="L8" s="400"/>
    </row>
    <row r="9" spans="1:12" ht="12.6" customHeight="1" x14ac:dyDescent="0.2">
      <c r="B9" s="396"/>
      <c r="C9" s="399"/>
      <c r="D9" s="405" t="str">
        <f>IF(_Ped_Ent_Keuze_3&gt;1,"met "&amp;PedGuiEntTPN!D15&amp;" "&amp;PedGuiEntTPN!E15&amp;" "&amp;INDEX(tblPO_poederlijst,_Ped_Ent_Keuze_3,1),"")</f>
        <v/>
      </c>
      <c r="H9" s="394" t="e">
        <f>PedGuiEntTPN!#REF!</f>
        <v>#REF!</v>
      </c>
      <c r="K9" s="393"/>
      <c r="L9" s="400"/>
    </row>
    <row r="10" spans="1:12" ht="12.6" customHeight="1" x14ac:dyDescent="0.2">
      <c r="B10" s="396"/>
      <c r="C10" s="399"/>
      <c r="D10" s="405" t="str">
        <f>IF(_Ped_Ent_Keuze_4&gt;1,"met "&amp;PedGuiEntTPN!D16&amp;" "&amp;PedGuiEntTPN!E16&amp;" "&amp;INDEX(tblPO_poederlijst,_Ped_Ent_Keuze_4,1),"")</f>
        <v/>
      </c>
      <c r="H10" s="394" t="e">
        <f>PedGuiEntTPN!#REF!</f>
        <v>#REF!</v>
      </c>
      <c r="K10" s="406"/>
      <c r="L10" s="400"/>
    </row>
    <row r="11" spans="1:12" ht="12.6" customHeight="1" x14ac:dyDescent="0.2">
      <c r="K11" s="406"/>
      <c r="L11" s="400"/>
    </row>
    <row r="12" spans="1:12" ht="12.6" customHeight="1" x14ac:dyDescent="0.2">
      <c r="A12" s="403"/>
      <c r="B12" s="407"/>
      <c r="C12" s="408" t="s">
        <v>285</v>
      </c>
      <c r="D12" s="853" t="str">
        <f>GlobBerOpm!B5</f>
        <v>Opmerking bij enterale voeding</v>
      </c>
      <c r="E12" s="854"/>
      <c r="F12" s="854"/>
      <c r="G12" s="854"/>
      <c r="H12" s="854"/>
      <c r="I12" s="854"/>
      <c r="J12" s="854"/>
      <c r="K12" s="406"/>
      <c r="L12" s="400"/>
    </row>
    <row r="13" spans="1:12" ht="12.6" customHeight="1" x14ac:dyDescent="0.2">
      <c r="L13" s="400"/>
    </row>
    <row r="14" spans="1:12" ht="12.6" customHeight="1" x14ac:dyDescent="0.2">
      <c r="A14" s="403"/>
      <c r="B14" s="404" t="s">
        <v>115</v>
      </c>
      <c r="C14" s="403"/>
      <c r="D14" s="403"/>
      <c r="E14" s="403"/>
      <c r="F14" s="403"/>
      <c r="G14" s="403"/>
      <c r="H14" s="403"/>
      <c r="I14" s="403"/>
      <c r="J14" s="403"/>
      <c r="L14" s="400"/>
    </row>
    <row r="15" spans="1:12" ht="12.6" customHeight="1" x14ac:dyDescent="0.2">
      <c r="B15" s="399"/>
      <c r="C15" s="399" t="s">
        <v>371</v>
      </c>
      <c r="D15" s="85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56"/>
      <c r="F15" s="856"/>
      <c r="G15" s="856"/>
      <c r="H15" s="856"/>
      <c r="I15" s="856"/>
      <c r="J15" s="856"/>
      <c r="L15" s="400"/>
    </row>
    <row r="16" spans="1:12" ht="12.6" customHeight="1" x14ac:dyDescent="0.2">
      <c r="B16" s="399"/>
      <c r="C16" s="399" t="s">
        <v>442</v>
      </c>
      <c r="D16" s="85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52"/>
      <c r="F16" s="852"/>
      <c r="G16" s="852"/>
      <c r="H16" s="852"/>
      <c r="I16" s="852"/>
      <c r="J16" s="852"/>
      <c r="L16" s="400"/>
    </row>
    <row r="17" spans="1:12" ht="12.6" customHeight="1" x14ac:dyDescent="0.2">
      <c r="B17" s="399"/>
      <c r="C17" s="399" t="s">
        <v>443</v>
      </c>
      <c r="D17" s="85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57"/>
      <c r="F17" s="857"/>
      <c r="G17" s="857"/>
      <c r="H17" s="857"/>
      <c r="I17" s="857"/>
      <c r="J17" s="857"/>
      <c r="L17" s="400"/>
    </row>
    <row r="18" spans="1:12" ht="12.6" customHeight="1" x14ac:dyDescent="0.2">
      <c r="B18" s="399"/>
      <c r="C18" s="399" t="s">
        <v>146</v>
      </c>
      <c r="D18" s="85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57"/>
      <c r="F18" s="857"/>
      <c r="G18" s="857"/>
      <c r="H18" s="857"/>
      <c r="I18" s="857"/>
      <c r="J18" s="857"/>
      <c r="L18" s="400"/>
    </row>
    <row r="19" spans="1:12" ht="12.6" customHeight="1" x14ac:dyDescent="0.2">
      <c r="B19" s="399"/>
      <c r="C19" s="409" t="s">
        <v>18</v>
      </c>
      <c r="D19" s="85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58"/>
      <c r="F19" s="858"/>
      <c r="G19" s="858"/>
      <c r="H19" s="858"/>
      <c r="I19" s="858"/>
      <c r="J19" s="858"/>
      <c r="L19" s="400"/>
    </row>
    <row r="20" spans="1:12" ht="12.6" customHeight="1" x14ac:dyDescent="0.2">
      <c r="B20" s="399"/>
      <c r="C20" s="409" t="s">
        <v>285</v>
      </c>
      <c r="D20" s="846">
        <f>GlobBerOpm!B4</f>
        <v>0</v>
      </c>
      <c r="E20" s="847"/>
      <c r="F20" s="847"/>
      <c r="G20" s="847"/>
      <c r="H20" s="847"/>
      <c r="I20" s="847"/>
      <c r="J20" s="847"/>
      <c r="L20" s="400"/>
    </row>
    <row r="21" spans="1:12" ht="12.6" customHeight="1" x14ac:dyDescent="0.2">
      <c r="A21" s="403"/>
      <c r="B21" s="408"/>
      <c r="C21" s="410"/>
      <c r="D21" s="848"/>
      <c r="E21" s="848"/>
      <c r="F21" s="848"/>
      <c r="G21" s="848"/>
      <c r="H21" s="848"/>
      <c r="I21" s="848"/>
      <c r="J21" s="848"/>
      <c r="L21" s="400"/>
    </row>
    <row r="22" spans="1:12" ht="12.6" customHeight="1" x14ac:dyDescent="0.2">
      <c r="L22" s="400"/>
    </row>
    <row r="23" spans="1:12" ht="12.6" customHeight="1" x14ac:dyDescent="0.2">
      <c r="A23" s="403"/>
      <c r="B23" s="404" t="s">
        <v>68</v>
      </c>
      <c r="C23" s="411"/>
      <c r="D23" s="403"/>
      <c r="E23" s="403"/>
      <c r="F23" s="403"/>
      <c r="G23" s="403"/>
      <c r="H23" s="403"/>
      <c r="I23" s="403"/>
      <c r="J23" s="403"/>
      <c r="L23" s="400"/>
    </row>
    <row r="24" spans="1:12" ht="12.6" customHeight="1" x14ac:dyDescent="0.2">
      <c r="B24" s="393" t="s">
        <v>279</v>
      </c>
      <c r="C24" s="412" t="s">
        <v>688</v>
      </c>
      <c r="D24" s="412" t="str">
        <f>IFERROR(LEFT(Var_Ped_AfsprControles,LEN(Var_Ped_AfsprControles)-3),"")</f>
        <v/>
      </c>
      <c r="L24" s="400"/>
    </row>
    <row r="25" spans="1:12" ht="12.6" customHeight="1" x14ac:dyDescent="0.2">
      <c r="B25" s="393" t="s">
        <v>280</v>
      </c>
      <c r="C25" s="412" t="s">
        <v>694</v>
      </c>
      <c r="D25" s="412" t="str">
        <f>IFERROR(LEFT(Var_Ped_AfsprOnderzoeken,LEN(Var_Ped_AfsprOnderzoeken)-3),"")</f>
        <v/>
      </c>
      <c r="L25" s="400"/>
    </row>
    <row r="26" spans="1:12" ht="12.6" customHeight="1" x14ac:dyDescent="0.2">
      <c r="B26" s="393" t="s">
        <v>281</v>
      </c>
      <c r="C26" s="412" t="s">
        <v>892</v>
      </c>
      <c r="D26" s="412" t="str">
        <f>IFERROR(LEFT(Var_Ped_AfsprInstellingen,LEN(Var_Ped_AfsprInstellingen)-3),"")</f>
        <v/>
      </c>
      <c r="L26" s="400"/>
    </row>
    <row r="27" spans="1:12" ht="12.6" customHeight="1" x14ac:dyDescent="0.2">
      <c r="B27" s="393" t="s">
        <v>282</v>
      </c>
      <c r="C27" s="412" t="s">
        <v>673</v>
      </c>
      <c r="D27" s="412" t="str">
        <f>IFERROR(LEFT(Var_Ped_AfsprOverig,LEN(Var_Ped_AfsprOverig)-3),"")</f>
        <v/>
      </c>
      <c r="L27" s="400"/>
    </row>
    <row r="28" spans="1:12" ht="12.6" customHeight="1" x14ac:dyDescent="0.2">
      <c r="C28" s="413"/>
      <c r="D28" s="414"/>
      <c r="E28" s="414"/>
      <c r="F28" s="414"/>
      <c r="G28" s="414"/>
      <c r="H28" s="414"/>
      <c r="I28" s="414"/>
      <c r="J28" s="414"/>
      <c r="L28" s="400"/>
    </row>
    <row r="29" spans="1:12" ht="12.6" customHeight="1" x14ac:dyDescent="0.2">
      <c r="C29" s="415"/>
      <c r="D29" s="414"/>
      <c r="E29" s="414"/>
      <c r="F29" s="414"/>
      <c r="G29" s="414"/>
      <c r="H29" s="414"/>
      <c r="I29" s="414"/>
      <c r="J29" s="414"/>
      <c r="L29" s="400"/>
    </row>
    <row r="30" spans="1:12" ht="12.6" customHeight="1" x14ac:dyDescent="0.2">
      <c r="C30" s="413"/>
      <c r="D30" s="414"/>
      <c r="E30" s="414"/>
      <c r="F30" s="414"/>
      <c r="G30" s="414"/>
      <c r="H30" s="414"/>
      <c r="I30" s="414"/>
      <c r="J30" s="414"/>
      <c r="L30" s="400"/>
    </row>
    <row r="31" spans="1:12" ht="12.6" customHeight="1" x14ac:dyDescent="0.2">
      <c r="C31" s="413"/>
      <c r="D31" s="414"/>
      <c r="E31" s="414"/>
      <c r="F31" s="414"/>
      <c r="G31" s="414"/>
      <c r="H31" s="414"/>
      <c r="I31" s="414"/>
      <c r="J31" s="414"/>
      <c r="L31" s="400"/>
    </row>
    <row r="32" spans="1:12" ht="12.6" customHeight="1" x14ac:dyDescent="0.2">
      <c r="B32" s="416" t="s">
        <v>79</v>
      </c>
      <c r="C32" s="403"/>
      <c r="D32" s="403"/>
      <c r="F32" s="403" t="s">
        <v>441</v>
      </c>
      <c r="G32" s="403"/>
      <c r="H32" s="403"/>
      <c r="I32" s="403"/>
      <c r="L32" s="400"/>
    </row>
    <row r="33" spans="1:12" ht="12.6" customHeight="1" x14ac:dyDescent="0.2">
      <c r="L33" s="400"/>
    </row>
    <row r="34" spans="1:12" ht="12.6" customHeight="1" x14ac:dyDescent="0.2">
      <c r="B34" s="396"/>
      <c r="C34" s="397" t="s">
        <v>452</v>
      </c>
      <c r="D34" s="398">
        <f ca="1">TODAY()</f>
        <v>42755</v>
      </c>
      <c r="E34" s="397" t="s">
        <v>453</v>
      </c>
      <c r="F34" s="850" t="str">
        <f>__2_AchterNaam&amp;", "&amp;__3_VoorNaam</f>
        <v xml:space="preserve">, </v>
      </c>
      <c r="G34" s="850"/>
      <c r="H34" s="399" t="s">
        <v>267</v>
      </c>
      <c r="I34" s="394" t="str">
        <f>_Pat_Gewicht/10&amp;" kg"</f>
        <v>1 kg</v>
      </c>
      <c r="J34" s="390"/>
      <c r="L34" s="400"/>
    </row>
    <row r="35" spans="1:12" ht="12.6" customHeight="1" x14ac:dyDescent="0.2">
      <c r="B35" s="396"/>
      <c r="C35" s="397" t="s">
        <v>198</v>
      </c>
      <c r="D35" s="401">
        <f ca="1">Var_AfspraakDatum-_Pat_OpnDatum+1</f>
        <v>41294</v>
      </c>
      <c r="E35" s="397" t="s">
        <v>451</v>
      </c>
      <c r="F35" s="402">
        <f>__4_GebDatum</f>
        <v>1462</v>
      </c>
      <c r="G35" s="390"/>
      <c r="H35" s="399" t="s">
        <v>128</v>
      </c>
      <c r="I35" s="394" t="str">
        <f>_Pat_Lengte&amp;" cm"</f>
        <v>0 cm</v>
      </c>
      <c r="J35" s="390"/>
      <c r="L35" s="400"/>
    </row>
    <row r="36" spans="1:12" ht="12.6" customHeight="1" x14ac:dyDescent="0.2">
      <c r="D36" s="390"/>
      <c r="F36" s="390"/>
      <c r="H36" s="399" t="s">
        <v>129</v>
      </c>
      <c r="I36" s="394" t="str">
        <f>ROUND(POWER(_Pat_Gewicht/10,0.425)*POWER(((_Pat_Lengte/100)*100),0.725)*0.007184,2)&amp;" m2"</f>
        <v>0 m2</v>
      </c>
      <c r="L36" s="400"/>
    </row>
    <row r="37" spans="1:12" ht="12.6" customHeight="1" x14ac:dyDescent="0.2">
      <c r="D37" s="390"/>
      <c r="F37" s="390"/>
      <c r="L37" s="400"/>
    </row>
    <row r="38" spans="1:12" ht="12.6" customHeight="1" x14ac:dyDescent="0.2">
      <c r="A38" s="403"/>
      <c r="B38" s="404" t="s">
        <v>25</v>
      </c>
      <c r="C38" s="411"/>
      <c r="D38" s="403"/>
      <c r="E38" s="403"/>
      <c r="F38" s="403"/>
      <c r="G38" s="403"/>
      <c r="H38" s="403"/>
      <c r="I38" s="403"/>
      <c r="J38" s="403"/>
      <c r="L38" s="400"/>
    </row>
    <row r="39" spans="1:12" ht="12.6" customHeight="1" x14ac:dyDescent="0.2">
      <c r="B39" s="393">
        <v>1</v>
      </c>
      <c r="C39" s="394">
        <f>INDEX(tblInfusen,PedBerIVenPM!B2,1)</f>
        <v>0</v>
      </c>
      <c r="L39" s="400" t="str">
        <f t="shared" ref="L39:L44" si="0">IF(C39=0,"D","")</f>
        <v>D</v>
      </c>
    </row>
    <row r="40" spans="1:12" ht="12.6" customHeight="1" x14ac:dyDescent="0.2">
      <c r="B40" s="393">
        <v>2</v>
      </c>
      <c r="C40" s="394">
        <f>INDEX(tblInfusen,PedBerIVenPM!B3,1)</f>
        <v>0</v>
      </c>
      <c r="L40" s="400" t="str">
        <f t="shared" si="0"/>
        <v>D</v>
      </c>
    </row>
    <row r="41" spans="1:12" ht="12.6" customHeight="1" x14ac:dyDescent="0.2">
      <c r="B41" s="393">
        <v>3</v>
      </c>
      <c r="C41" s="394">
        <f>INDEX(tblInfusen,PedBerIVenPM!B4,1)</f>
        <v>0</v>
      </c>
      <c r="L41" s="400" t="str">
        <f t="shared" si="0"/>
        <v>D</v>
      </c>
    </row>
    <row r="42" spans="1:12" ht="12.6" customHeight="1" x14ac:dyDescent="0.2">
      <c r="B42" s="393">
        <v>4</v>
      </c>
      <c r="C42" s="394">
        <f>INDEX(tblInfusen,PedBerIVenPM!B5,1)</f>
        <v>0</v>
      </c>
      <c r="L42" s="400" t="str">
        <f t="shared" si="0"/>
        <v>D</v>
      </c>
    </row>
    <row r="43" spans="1:12" ht="12.6" customHeight="1" x14ac:dyDescent="0.2">
      <c r="B43" s="393">
        <v>5</v>
      </c>
      <c r="C43" s="394">
        <f>INDEX(tblInfusen,PedBerIVenPM!B6,1)</f>
        <v>0</v>
      </c>
      <c r="L43" s="400" t="str">
        <f t="shared" si="0"/>
        <v>D</v>
      </c>
    </row>
    <row r="44" spans="1:12" ht="12.6" customHeight="1" x14ac:dyDescent="0.2">
      <c r="B44" s="393">
        <v>6</v>
      </c>
      <c r="C44" s="394">
        <f>INDEX(tblInfusen,PedBerIVenPM!B7,1)</f>
        <v>0</v>
      </c>
      <c r="L44" s="400" t="str">
        <f t="shared" si="0"/>
        <v>D</v>
      </c>
    </row>
    <row r="45" spans="1:12" ht="12.6" customHeight="1" x14ac:dyDescent="0.2">
      <c r="L45" s="400"/>
    </row>
    <row r="46" spans="1:12" ht="12.6" customHeight="1" x14ac:dyDescent="0.2">
      <c r="A46" s="403"/>
      <c r="B46" s="407"/>
      <c r="C46" s="408" t="s">
        <v>285</v>
      </c>
      <c r="D46" s="853">
        <f>GlobBerOpm!B2</f>
        <v>0</v>
      </c>
      <c r="E46" s="854"/>
      <c r="F46" s="854"/>
      <c r="G46" s="854"/>
      <c r="H46" s="854"/>
      <c r="I46" s="854"/>
      <c r="J46" s="854"/>
      <c r="L46" s="400"/>
    </row>
    <row r="47" spans="1:12" ht="12.6" customHeight="1" x14ac:dyDescent="0.2">
      <c r="L47" s="400"/>
    </row>
    <row r="48" spans="1:12" ht="12.6" customHeight="1" x14ac:dyDescent="0.2">
      <c r="L48" s="400"/>
    </row>
    <row r="49" spans="1:12" ht="12.6" customHeight="1" x14ac:dyDescent="0.2">
      <c r="A49" s="403"/>
      <c r="B49" s="404" t="s">
        <v>286</v>
      </c>
      <c r="C49" s="403"/>
      <c r="D49" s="403"/>
      <c r="E49" s="403"/>
      <c r="F49" s="403"/>
      <c r="G49" s="403"/>
      <c r="H49" s="403"/>
      <c r="I49" s="403"/>
      <c r="J49" s="403"/>
      <c r="L49" s="400"/>
    </row>
    <row r="50" spans="1:12" ht="12.6" customHeight="1" x14ac:dyDescent="0.2">
      <c r="B50" s="396"/>
      <c r="C50" s="399" t="s">
        <v>292</v>
      </c>
      <c r="D50" s="399"/>
      <c r="E50" s="399" t="s">
        <v>88</v>
      </c>
      <c r="F50" s="399"/>
      <c r="G50" s="399" t="s">
        <v>293</v>
      </c>
      <c r="H50" s="399"/>
      <c r="I50" s="399"/>
      <c r="J50" s="399" t="s">
        <v>182</v>
      </c>
      <c r="L50" s="400"/>
    </row>
    <row r="51" spans="1:12" ht="12.6" customHeight="1" x14ac:dyDescent="0.2">
      <c r="B51" s="393">
        <v>1</v>
      </c>
      <c r="C51" s="394">
        <f>PedGuiMedIV!E9</f>
        <v>5</v>
      </c>
      <c r="E51" s="394" t="str">
        <f>IF(C51&lt;&gt;0,PedGuiMedIV!F9&amp;" in "&amp;PedGuiMedIV!G9&amp;IF(AND(PedBerMedIV!D7&lt;&gt;4,PedGuiMedIV!H9&lt;&gt;0)," "&amp;PedGuiMedIV!H9,""),"")</f>
        <v>50 mg in 50 ml</v>
      </c>
      <c r="G51" s="394" t="str">
        <f>IF(C51&lt;&gt;0,PedGuiMedIV!I9&amp;" (="&amp;PedGuiMedIV!J9&amp;" " &amp; PedGuiMedIV!K9 &amp;")","")</f>
        <v>0,8 ml/uur (=10,6664 microg/kg/min)</v>
      </c>
      <c r="J51" s="394" t="str">
        <f>PedGuiMedIV!L9</f>
        <v>19,2 ml</v>
      </c>
      <c r="L51" s="400" t="str">
        <f t="shared" ref="L51:L65" si="1">IF(C51=0,"D","")</f>
        <v/>
      </c>
    </row>
    <row r="52" spans="1:12" ht="12.6" customHeight="1" x14ac:dyDescent="0.2">
      <c r="B52" s="393">
        <v>2</v>
      </c>
      <c r="C52" s="394">
        <f>PedGuiMedIV!E10</f>
        <v>1</v>
      </c>
      <c r="E52" s="394" t="str">
        <f>IF(C52&lt;&gt;0,PedGuiMedIV!F10&amp;" in "&amp;PedGuiMedIV!G10&amp;IF(AND(PedBerMedIV!D8&lt;&gt;4,PedGuiMedIV!H10&lt;&gt;0)," "&amp;PedGuiMedIV!H10,""),"")</f>
        <v xml:space="preserve"> in </v>
      </c>
      <c r="G52" s="394" t="str">
        <f>IF(C52&lt;&gt;0,PedGuiMedIV!I10&amp;" (="&amp;PedGuiMedIV!J10&amp;" " &amp; PedGuiMedIV!K10 &amp;")","")</f>
        <v xml:space="preserve"> (= )</v>
      </c>
      <c r="J52" s="394" t="str">
        <f>PedGuiMedIV!L10</f>
        <v/>
      </c>
      <c r="L52" s="400" t="str">
        <f t="shared" si="1"/>
        <v/>
      </c>
    </row>
    <row r="53" spans="1:12" ht="12.6" customHeight="1" x14ac:dyDescent="0.2">
      <c r="B53" s="393">
        <v>3</v>
      </c>
      <c r="C53" s="394">
        <f>PedGuiMedIV!E11</f>
        <v>1</v>
      </c>
      <c r="E53" s="394" t="str">
        <f>IF(C53&lt;&gt;0,PedGuiMedIV!F11&amp;" in "&amp;PedGuiMedIV!G11&amp;IF(AND(PedBerMedIV!D9&lt;&gt;4,PedGuiMedIV!H11&lt;&gt;0)," "&amp;PedGuiMedIV!H11,""),"")</f>
        <v xml:space="preserve"> in </v>
      </c>
      <c r="G53" s="394" t="str">
        <f>IF(C53&lt;&gt;0,PedGuiMedIV!I11&amp;" (="&amp;PedGuiMedIV!J11&amp;" " &amp; PedGuiMedIV!K11 &amp;")","")</f>
        <v xml:space="preserve"> (= )</v>
      </c>
      <c r="J53" s="394" t="str">
        <f>PedGuiMedIV!L11</f>
        <v/>
      </c>
      <c r="L53" s="400" t="str">
        <f t="shared" si="1"/>
        <v/>
      </c>
    </row>
    <row r="54" spans="1:12" ht="12.6" customHeight="1" x14ac:dyDescent="0.2">
      <c r="B54" s="393">
        <v>4</v>
      </c>
      <c r="C54" s="394">
        <f>PedGuiMedIV!E12</f>
        <v>1</v>
      </c>
      <c r="E54" s="394" t="str">
        <f>IF(C54&lt;&gt;0,PedGuiMedIV!F12&amp;" in "&amp;PedGuiMedIV!G12&amp;IF(AND(PedBerMedIV!D10&lt;&gt;4,PedGuiMedIV!H12&lt;&gt;0)," "&amp;PedGuiMedIV!H12,""),"")</f>
        <v xml:space="preserve"> in </v>
      </c>
      <c r="G54" s="394" t="str">
        <f>IF(C54&lt;&gt;0,PedGuiMedIV!I12&amp;" (="&amp;PedGuiMedIV!J12&amp;" " &amp; PedGuiMedIV!K12 &amp;")","")</f>
        <v xml:space="preserve"> (= )</v>
      </c>
      <c r="J54" s="394" t="str">
        <f>PedGuiMedIV!L12</f>
        <v/>
      </c>
      <c r="L54" s="400" t="str">
        <f t="shared" si="1"/>
        <v/>
      </c>
    </row>
    <row r="55" spans="1:12" ht="12.6" customHeight="1" x14ac:dyDescent="0.2">
      <c r="B55" s="393">
        <v>5</v>
      </c>
      <c r="C55" s="394">
        <f>PedGuiMedIV!E13</f>
        <v>1</v>
      </c>
      <c r="E55" s="394" t="str">
        <f>IF(C55&lt;&gt;0,PedGuiMedIV!F13&amp;" in "&amp;PedGuiMedIV!G13&amp;IF(AND(PedBerMedIV!D11&lt;&gt;4,PedGuiMedIV!H13&lt;&gt;0)," "&amp;PedGuiMedIV!H13,""),"")</f>
        <v xml:space="preserve"> in </v>
      </c>
      <c r="G55" s="394" t="str">
        <f>IF(C55&lt;&gt;0,PedGuiMedIV!I13&amp;" (="&amp;PedGuiMedIV!J13&amp;" " &amp; PedGuiMedIV!K13 &amp;")","")</f>
        <v xml:space="preserve"> (= )</v>
      </c>
      <c r="J55" s="394" t="str">
        <f>PedGuiMedIV!L13</f>
        <v/>
      </c>
      <c r="L55" s="400" t="str">
        <f t="shared" si="1"/>
        <v/>
      </c>
    </row>
    <row r="56" spans="1:12" ht="12.6" customHeight="1" x14ac:dyDescent="0.2">
      <c r="B56" s="393">
        <v>6</v>
      </c>
      <c r="C56" s="394">
        <f>PedGuiMedIV!E14</f>
        <v>1</v>
      </c>
      <c r="E56" s="394" t="str">
        <f>IF(C56&lt;&gt;0,PedGuiMedIV!F14&amp;" in "&amp;PedGuiMedIV!G14&amp;IF(AND(PedBerMedIV!D12&lt;&gt;4,PedGuiMedIV!H14&lt;&gt;0)," "&amp;PedGuiMedIV!H14,""),"")</f>
        <v xml:space="preserve"> in </v>
      </c>
      <c r="G56" s="394" t="str">
        <f>IF(C56&lt;&gt;0,PedGuiMedIV!I14&amp;" (="&amp;PedGuiMedIV!J14&amp;" " &amp; PedGuiMedIV!K14 &amp;")","")</f>
        <v xml:space="preserve"> (= )</v>
      </c>
      <c r="J56" s="394" t="str">
        <f>PedGuiMedIV!L14</f>
        <v/>
      </c>
      <c r="L56" s="400" t="str">
        <f t="shared" si="1"/>
        <v/>
      </c>
    </row>
    <row r="57" spans="1:12" ht="12.6" customHeight="1" x14ac:dyDescent="0.2">
      <c r="B57" s="393">
        <v>7</v>
      </c>
      <c r="C57" s="394">
        <f>PedGuiMedIV!E15</f>
        <v>6</v>
      </c>
      <c r="E57" s="394" t="str">
        <f>IF(C57&lt;&gt;0,PedGuiMedIV!F15&amp;" in "&amp;PedGuiMedIV!G15&amp;IF(AND(PedBerMedIV!D13&lt;&gt;4,PedGuiMedIV!H15&lt;&gt;0)," "&amp;PedGuiMedIV!H15,""),"")</f>
        <v>0,15 mg in 50 ml</v>
      </c>
      <c r="G57" s="394" t="str">
        <f>IF(C57&lt;&gt;0,PedGuiMedIV!I15&amp;" (="&amp;PedGuiMedIV!J15&amp;" " &amp; PedGuiMedIV!K15 &amp;")","")</f>
        <v>0,3 ml/uur (=0,27 microg/kg/uur)</v>
      </c>
      <c r="J57" s="394" t="str">
        <f>PedGuiMedIV!L15</f>
        <v>7,2 ml</v>
      </c>
      <c r="L57" s="400" t="str">
        <f t="shared" si="1"/>
        <v/>
      </c>
    </row>
    <row r="58" spans="1:12" ht="12.6" customHeight="1" x14ac:dyDescent="0.2">
      <c r="B58" s="393">
        <v>8</v>
      </c>
      <c r="C58" s="394">
        <f>PedGuiMedIV!E16</f>
        <v>1</v>
      </c>
      <c r="E58" s="394" t="str">
        <f>IF(C58&lt;&gt;0,PedGuiMedIV!F16&amp;" in "&amp;PedGuiMedIV!G16&amp;IF(AND(PedBerMedIV!D14&lt;&gt;4,PedGuiMedIV!H16&lt;&gt;0)," "&amp;PedGuiMedIV!H16,""),"")</f>
        <v xml:space="preserve"> in </v>
      </c>
      <c r="G58" s="394" t="str">
        <f>IF(C58&lt;&gt;0,PedGuiMedIV!I16&amp;" (="&amp;PedGuiMedIV!J16&amp;" " &amp; PedGuiMedIV!K16 &amp;")","")</f>
        <v xml:space="preserve"> (= )</v>
      </c>
      <c r="J58" s="394" t="str">
        <f>PedGuiMedIV!L16</f>
        <v/>
      </c>
      <c r="L58" s="400" t="str">
        <f t="shared" si="1"/>
        <v/>
      </c>
    </row>
    <row r="59" spans="1:12" ht="12.6" customHeight="1" x14ac:dyDescent="0.2">
      <c r="B59" s="393">
        <v>9</v>
      </c>
      <c r="C59" s="394">
        <f>PedGuiMedIV!E17</f>
        <v>1</v>
      </c>
      <c r="E59" s="394" t="str">
        <f>IF(C59&lt;&gt;0,PedGuiMedIV!F17&amp;" in "&amp;PedGuiMedIV!G17&amp;IF(AND(PedBerMedIV!D21&lt;&gt;4,PedGuiMedIV!H17&lt;&gt;0)," "&amp;PedGuiMedIV!H17,""),"")</f>
        <v xml:space="preserve"> in </v>
      </c>
      <c r="G59" s="394" t="str">
        <f>IF(C59&lt;&gt;0,PedGuiMedIV!I17&amp;" (="&amp;PedGuiMedIV!J17&amp;" " &amp; PedGuiMedIV!K17 &amp;")","")</f>
        <v xml:space="preserve"> (= )</v>
      </c>
      <c r="J59" s="394" t="str">
        <f>PedGuiMedIV!L17</f>
        <v/>
      </c>
      <c r="L59" s="400" t="str">
        <f t="shared" si="1"/>
        <v/>
      </c>
    </row>
    <row r="60" spans="1:12" ht="12.6" customHeight="1" x14ac:dyDescent="0.2">
      <c r="B60" s="393">
        <v>10</v>
      </c>
      <c r="C60" s="394">
        <f>PedGuiMedIV!E18</f>
        <v>1</v>
      </c>
      <c r="E60" s="394" t="str">
        <f>IF(C60&lt;&gt;0,PedGuiMedIV!F18&amp;" in "&amp;PedGuiMedIV!G18&amp;IF(AND(PedBerMedIV!D22&lt;&gt;4,PedGuiMedIV!H18&lt;&gt;0)," "&amp;PedGuiMedIV!H18,""),"")</f>
        <v xml:space="preserve"> in </v>
      </c>
      <c r="G60" s="394" t="str">
        <f>IF(C60&lt;&gt;0,PedGuiMedIV!I18&amp;" (="&amp;PedGuiMedIV!J18&amp;" " &amp; PedGuiMedIV!K18 &amp;")","")</f>
        <v xml:space="preserve"> (= )</v>
      </c>
      <c r="J60" s="394" t="str">
        <f>PedGuiMedIV!L18</f>
        <v/>
      </c>
      <c r="L60" s="400" t="str">
        <f t="shared" si="1"/>
        <v/>
      </c>
    </row>
    <row r="61" spans="1:12" ht="12.6" customHeight="1" x14ac:dyDescent="0.2">
      <c r="B61" s="393">
        <v>11</v>
      </c>
      <c r="C61" s="394" t="str">
        <f>PedGuiMedIV!E25</f>
        <v/>
      </c>
      <c r="E61" s="394" t="str">
        <f>IF(C61&lt;&gt;0,PedGuiMedIV!F25&amp;" in "&amp;PedGuiMedIV!G25&amp;IF(AND(PedBerMedIV!D23&lt;&gt;4,PedGuiMedIV!H25&lt;&gt;0)," "&amp;PedGuiMedIV!H25,""),"")</f>
        <v xml:space="preserve">0 in </v>
      </c>
      <c r="G61" s="394" t="str">
        <f>IF(C61&lt;&gt;0,PedGuiMedIV!I25,"")</f>
        <v/>
      </c>
      <c r="J61" s="394" t="str">
        <f>PedGuiMedIV!L25</f>
        <v/>
      </c>
      <c r="L61" s="400" t="str">
        <f t="shared" si="1"/>
        <v/>
      </c>
    </row>
    <row r="62" spans="1:12" ht="12.6" customHeight="1" x14ac:dyDescent="0.2">
      <c r="B62" s="393">
        <v>12</v>
      </c>
      <c r="C62" s="394" t="str">
        <f>PedGuiMedIV!E26</f>
        <v/>
      </c>
      <c r="E62" s="394" t="str">
        <f>IF(C62&lt;&gt;0,PedGuiMedIV!F26&amp;" in "&amp;PedGuiMedIV!G26&amp;IF(AND(PedBerMedIV!D24&lt;&gt;4,PedGuiMedIV!H26&lt;&gt;0)," "&amp;PedGuiMedIV!H26,""),"")</f>
        <v xml:space="preserve">0 in </v>
      </c>
      <c r="G62" s="394" t="str">
        <f>IF(C62&lt;&gt;0,PedGuiMedIV!I26,"")</f>
        <v/>
      </c>
      <c r="J62" s="394" t="str">
        <f>PedGuiMedIV!L26</f>
        <v/>
      </c>
      <c r="L62" s="400" t="str">
        <f t="shared" si="1"/>
        <v/>
      </c>
    </row>
    <row r="63" spans="1:12" ht="12.6" customHeight="1" x14ac:dyDescent="0.2">
      <c r="B63" s="393">
        <v>13</v>
      </c>
      <c r="C63" s="394" t="str">
        <f>PedGuiMedIV!E27</f>
        <v/>
      </c>
      <c r="E63" s="394" t="str">
        <f>IF(C63&lt;&gt;0,PedGuiMedIV!F27&amp;" in "&amp;PedGuiMedIV!G27&amp;IF(AND(PedBerMedIV!D25&lt;&gt;4,PedGuiMedIV!H27&lt;&gt;0)," "&amp;PedGuiMedIV!H27,""),"")</f>
        <v xml:space="preserve">0 in </v>
      </c>
      <c r="G63" s="394" t="str">
        <f>IF(C63&lt;&gt;0,PedGuiMedIV!I27,"")</f>
        <v/>
      </c>
      <c r="J63" s="394" t="str">
        <f>PedGuiMedIV!L27</f>
        <v/>
      </c>
      <c r="L63" s="400" t="str">
        <f t="shared" si="1"/>
        <v/>
      </c>
    </row>
    <row r="64" spans="1:12" ht="12.6" customHeight="1" x14ac:dyDescent="0.2">
      <c r="B64" s="393">
        <v>14</v>
      </c>
      <c r="C64" s="394" t="str">
        <f>PedGuiMedIV!E28</f>
        <v/>
      </c>
      <c r="E64" s="394" t="str">
        <f>IF(C64&lt;&gt;0,PedGuiMedIV!F28&amp;" in "&amp;PedGuiMedIV!G28&amp;IF(AND(PedBerMedIV!D26&lt;&gt;4,PedGuiMedIV!H28&lt;&gt;0)," "&amp;PedGuiMedIV!H28,""),"")</f>
        <v xml:space="preserve">0 in </v>
      </c>
      <c r="G64" s="394" t="str">
        <f>IF(C64&lt;&gt;0,PedGuiMedIV!I28,"")</f>
        <v/>
      </c>
      <c r="J64" s="394" t="str">
        <f>PedGuiMedIV!L28</f>
        <v/>
      </c>
      <c r="L64" s="400" t="str">
        <f t="shared" si="1"/>
        <v/>
      </c>
    </row>
    <row r="65" spans="1:12" ht="12.6" customHeight="1" x14ac:dyDescent="0.2">
      <c r="B65" s="393">
        <v>15</v>
      </c>
      <c r="C65" s="394" t="str">
        <f>PedGuiMedIV!E29</f>
        <v/>
      </c>
      <c r="E65" s="394" t="str">
        <f>IF(C65&lt;&gt;0,PedGuiMedIV!F29&amp;" in "&amp;PedGuiMedIV!G29&amp;IF(AND(PedBerMedIV!D27&lt;&gt;4,PedGuiMedIV!H29&lt;&gt;0)," "&amp;PedGuiMedIV!H29,""),"")</f>
        <v xml:space="preserve">0 in </v>
      </c>
      <c r="G65" s="394" t="str">
        <f>IF(C65&lt;&gt;0,PedGuiMedIV!I29,"")</f>
        <v/>
      </c>
      <c r="J65" s="394" t="str">
        <f>PedGuiMedIV!L29</f>
        <v/>
      </c>
      <c r="L65" s="400" t="str">
        <f t="shared" si="1"/>
        <v/>
      </c>
    </row>
    <row r="66" spans="1:12" ht="12.6" customHeight="1" x14ac:dyDescent="0.2">
      <c r="L66" s="400"/>
    </row>
    <row r="67" spans="1:12" ht="12.6" customHeight="1" x14ac:dyDescent="0.2">
      <c r="B67" s="396"/>
      <c r="C67" s="399" t="s">
        <v>285</v>
      </c>
      <c r="D67" s="846" t="e">
        <f>GlobBerOpm!#REF!</f>
        <v>#REF!</v>
      </c>
      <c r="E67" s="846"/>
      <c r="F67" s="846"/>
      <c r="G67" s="846"/>
      <c r="H67" s="846"/>
      <c r="I67" s="846"/>
      <c r="J67" s="846"/>
      <c r="L67" s="400"/>
    </row>
    <row r="68" spans="1:12" ht="12.6" customHeight="1" x14ac:dyDescent="0.2">
      <c r="D68" s="849"/>
      <c r="E68" s="849"/>
      <c r="F68" s="849"/>
      <c r="G68" s="849"/>
      <c r="H68" s="849"/>
      <c r="I68" s="849"/>
      <c r="J68" s="849"/>
      <c r="L68" s="400"/>
    </row>
    <row r="69" spans="1:12" ht="12.6" customHeight="1" x14ac:dyDescent="0.2">
      <c r="A69" s="403"/>
      <c r="B69" s="404" t="str">
        <f>PedGuiEntTPN!D20</f>
        <v>Intraveneus</v>
      </c>
      <c r="C69" s="411"/>
      <c r="D69" s="403"/>
      <c r="E69" s="403"/>
      <c r="F69" s="403"/>
      <c r="G69" s="403"/>
      <c r="H69" s="403"/>
      <c r="I69" s="403"/>
      <c r="J69" s="403"/>
      <c r="L69" s="400"/>
    </row>
    <row r="70" spans="1:12" ht="12.6" customHeight="1" x14ac:dyDescent="0.2">
      <c r="B70" s="396"/>
      <c r="C70" s="399"/>
      <c r="D70" s="417">
        <f>IF(E70&lt;&gt;"",PedGuiEntTPN!D22,)</f>
        <v>0</v>
      </c>
      <c r="E70" s="418" t="str">
        <f>IF(PedPrtTPN2tot6!G21&lt;&gt;0,PedPrtTPN2tot6!A14&amp;" ml","")</f>
        <v/>
      </c>
      <c r="F70" s="418" t="str">
        <f>IF(PedPrtTPN2tot6!G21&lt;&gt;0,PedPrtTPN2tot6!G21&amp;" ml","")</f>
        <v/>
      </c>
      <c r="G70" s="419"/>
      <c r="H70" s="417">
        <f>IF(I70&lt;&gt;"",PedGuiEntTPN!I22,)</f>
        <v>0</v>
      </c>
      <c r="I70" s="418" t="str">
        <f>PedGuiEntTPN!J22</f>
        <v/>
      </c>
      <c r="J70" s="418" t="str">
        <f>PedGuiEntTPN!L22</f>
        <v/>
      </c>
      <c r="L70" s="400"/>
    </row>
    <row r="71" spans="1:12" ht="12.6" customHeight="1" x14ac:dyDescent="0.2">
      <c r="B71" s="396"/>
      <c r="C71" s="399"/>
      <c r="D71" s="397" t="str">
        <f>IF(F71&lt;&gt;"",PedBerTPN!A28,"")</f>
        <v/>
      </c>
      <c r="E71" s="394" t="str">
        <f>IF(PedBerTPN!B4=4,ROUND(PedBerTPN!D4,1)&amp;" ml/uur","")</f>
        <v/>
      </c>
      <c r="F71" s="394" t="str">
        <f>PedGuiEntTPN!F23</f>
        <v/>
      </c>
      <c r="G71" s="399"/>
      <c r="H71" s="397">
        <f>IF(J71&lt;&gt;"",INDEX(tblSSTGlucose,_Ped_TPN_SST2Keuze,1),)</f>
        <v>0</v>
      </c>
      <c r="J71" s="394" t="str">
        <f>PedGuiEntTPN!K25</f>
        <v/>
      </c>
      <c r="L71" s="400" t="str">
        <f>IF(AND(D71="",H71=0),"D","")</f>
        <v>D</v>
      </c>
    </row>
    <row r="72" spans="1:12" ht="12.6" customHeight="1" x14ac:dyDescent="0.2">
      <c r="B72" s="396"/>
      <c r="C72" s="399"/>
      <c r="D72" s="397" t="str">
        <f>IF(PedGuiEntTPN!H23&lt;&gt;"","Peditrace","")</f>
        <v/>
      </c>
      <c r="E72" s="390" t="str">
        <f>IF(PedGuiEntTPN!H23&lt;&gt;"",PedGuiEntTPN!H23&amp;" "&amp;PedGuiEntTPN!G25,"")</f>
        <v/>
      </c>
      <c r="F72" s="391"/>
      <c r="G72" s="399"/>
      <c r="H72" s="397">
        <f>IF(J72&lt;&gt;"",PedGuiEntTPN!I26,)</f>
        <v>0</v>
      </c>
      <c r="J72" s="394" t="str">
        <f>PedGuiEntTPN!J26</f>
        <v/>
      </c>
      <c r="L72" s="400" t="str">
        <f>IF(AND(D72="",H72=0),"D","")</f>
        <v>D</v>
      </c>
    </row>
    <row r="73" spans="1:12" ht="12.6" customHeight="1" x14ac:dyDescent="0.2">
      <c r="B73" s="396"/>
      <c r="C73" s="399"/>
      <c r="D73" s="397">
        <f>IF(F73&lt;&gt;"",INDEX(tblSSTGlucose,_Ped_TPN_SST1Keuze,1),)</f>
        <v>0</v>
      </c>
      <c r="F73" s="394" t="str">
        <f>IF(AND(_Ped_TPN_Keuze=2,_Ped_TPN_SST1Keuze&lt;11,_Pat_Gewicht/10&lt;=50),ROUND(PedBerTPN!F6,0)&amp;" ml","")</f>
        <v/>
      </c>
      <c r="G73" s="399"/>
      <c r="H73" s="397">
        <f>IF(J73&lt;&gt;"",PedGuiEntTPN!I27,)</f>
        <v>0</v>
      </c>
      <c r="J73" s="394" t="str">
        <f>PedGuiEntTPN!J27</f>
        <v/>
      </c>
      <c r="L73" s="400" t="str">
        <f>IF(AND(D73="",H73=0),"D","")</f>
        <v/>
      </c>
    </row>
    <row r="74" spans="1:12" ht="12.6" customHeight="1" x14ac:dyDescent="0.2">
      <c r="B74" s="396"/>
      <c r="C74" s="399"/>
      <c r="D74" s="397">
        <f>IF(F74&lt;&gt;"",PedGuiEntTPN!D26,)</f>
        <v>0</v>
      </c>
      <c r="F74" s="394" t="str">
        <f>IF(AND(PedPrtTPN2tot6!G14&lt;&gt;"",PedBerTPN!$F$4&gt;0),PedPrtTPN2tot6!G14&amp;" ml","")</f>
        <v/>
      </c>
      <c r="L74" s="400" t="str">
        <f>IF(D74=0,"D","")</f>
        <v>D</v>
      </c>
    </row>
    <row r="75" spans="1:12" ht="12.6" customHeight="1" x14ac:dyDescent="0.2">
      <c r="B75" s="396"/>
      <c r="C75" s="399"/>
      <c r="D75" s="397">
        <f>IF(F75&lt;&gt;"",PedGuiEntTPN!D27,)</f>
        <v>0</v>
      </c>
      <c r="F75" s="394" t="str">
        <f>IF(AND(PedPrtTPN2tot6!G15&lt;&gt;"",PedBerTPN!$F$4&gt;0),PedPrtTPN2tot6!G15&amp;" ml","")</f>
        <v/>
      </c>
      <c r="L75" s="400" t="str">
        <f>IF(D75=0,"D","")</f>
        <v>D</v>
      </c>
    </row>
    <row r="76" spans="1:12" ht="12.6" customHeight="1" x14ac:dyDescent="0.2">
      <c r="D76" s="420"/>
      <c r="H76" s="420"/>
      <c r="L76" s="400"/>
    </row>
    <row r="77" spans="1:12" ht="12.6" customHeight="1" x14ac:dyDescent="0.2">
      <c r="B77" s="396"/>
      <c r="C77" s="399"/>
      <c r="D77" s="421" t="str">
        <f>IF(F77&lt;&gt;"","Electrolyt/Glucose mengsel","")</f>
        <v/>
      </c>
      <c r="E77" s="403" t="str">
        <f>IF(AND(_Pat_Gewicht/10&gt;50,PedPrtTPN50!A27&lt;&gt;""),PedPrtTPN50!A27,PedPrtTPN2tot6!A29)</f>
        <v/>
      </c>
      <c r="F77" s="403" t="str">
        <f>IF(AND(_Pat_Gewicht/10&gt;50,PedPrtTPN50!G35&lt;&gt;0),PedPrtTPN50!G35&amp;" ml",IF(PedPrtTPN2tot6!G36&lt;&gt;0,PedPrtTPN2tot6!G36&amp;" ml",""))</f>
        <v/>
      </c>
      <c r="G77" s="403"/>
      <c r="H77" s="422"/>
      <c r="I77" s="403"/>
      <c r="J77" s="403"/>
      <c r="L77" s="400"/>
    </row>
    <row r="78" spans="1:12" ht="12.6" customHeight="1" x14ac:dyDescent="0.2">
      <c r="B78" s="396"/>
      <c r="C78" s="399"/>
      <c r="D78" s="397">
        <f>IF(F78&lt;&gt;"",INDEX(tblSSTGlucose,_Ped_TPN_SST1Keuze,1),)</f>
        <v>0</v>
      </c>
      <c r="E78" s="423"/>
      <c r="F78" s="394" t="str">
        <f>IF(AND(OR(_Ped_TPN_Keuze=1,AND(_Ped_TPN_Keuze=2,_Ped_TPN_SST1Keuze&gt;10),_Pat_Gewicht/10&gt;50),ROUND(PedBerTPN!F6,0)&lt;&gt;0,_Ped_TPN_SST1Keuze&lt;&gt;2),ROUND(PedBerTPN!F6,0)&amp;" ml","")</f>
        <v/>
      </c>
      <c r="L78" s="400" t="str">
        <f>IF(D78=0,"D","")</f>
        <v>D</v>
      </c>
    </row>
    <row r="79" spans="1:12" ht="12.6" customHeight="1" x14ac:dyDescent="0.2">
      <c r="B79" s="396"/>
      <c r="C79" s="399"/>
      <c r="D79" s="397">
        <f>IF(F79&lt;&gt;"","CaGluc 10%",)</f>
        <v>0</v>
      </c>
      <c r="F79" s="394" t="str">
        <f>PedGuiEntTPN!F29</f>
        <v/>
      </c>
      <c r="L79" s="400" t="str">
        <f t="shared" ref="L79:L85" si="2">IF(D79=0,"D","")</f>
        <v>D</v>
      </c>
    </row>
    <row r="80" spans="1:12" ht="12.6" customHeight="1" x14ac:dyDescent="0.2">
      <c r="B80" s="396"/>
      <c r="C80" s="399"/>
      <c r="D80" s="397">
        <f>IF(F80&lt;&gt;"","MgCl 10%",)</f>
        <v>0</v>
      </c>
      <c r="F80" s="394" t="str">
        <f>PedGuiEntTPN!F30</f>
        <v/>
      </c>
      <c r="L80" s="400" t="str">
        <f t="shared" si="2"/>
        <v>D</v>
      </c>
    </row>
    <row r="81" spans="1:12" ht="12.6" customHeight="1" x14ac:dyDescent="0.2">
      <c r="B81" s="396"/>
      <c r="C81" s="399"/>
      <c r="D81" s="397">
        <f>IF(F81&lt;&gt;"",PedGuiEntTPN!D26,)</f>
        <v>0</v>
      </c>
      <c r="F81" s="394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20"/>
      <c r="L81" s="400" t="str">
        <f t="shared" si="2"/>
        <v>D</v>
      </c>
    </row>
    <row r="82" spans="1:12" ht="12.6" customHeight="1" x14ac:dyDescent="0.2">
      <c r="B82" s="396"/>
      <c r="C82" s="399"/>
      <c r="D82" s="397">
        <f>IF(F82&lt;&gt;"",PedGuiEntTPN!D27,)</f>
        <v>0</v>
      </c>
      <c r="F82" s="394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20"/>
      <c r="L82" s="400" t="str">
        <f t="shared" si="2"/>
        <v>D</v>
      </c>
    </row>
    <row r="83" spans="1:12" ht="12.6" customHeight="1" x14ac:dyDescent="0.2">
      <c r="B83" s="396"/>
      <c r="C83" s="399"/>
      <c r="D83" s="397" t="str">
        <f>IF(F83&lt;&gt;"","Glucose 10%","")</f>
        <v/>
      </c>
      <c r="F83" s="394" t="str">
        <f>IF(AND(_Pat_Gewicht/10&gt;51,PedPrtTPN50!G31&lt;&gt;0),PedPrtTPN50!G31&amp;" ml",IF(AND(PedPrtTPN2tot6!G33&lt;&gt;0,_Pat_Gewicht/10&lt;=50),PedPrtTPN2tot6!G33&amp;" ml",""))</f>
        <v/>
      </c>
      <c r="H83" s="420"/>
      <c r="L83" s="400" t="str">
        <f t="shared" si="2"/>
        <v/>
      </c>
    </row>
    <row r="84" spans="1:12" ht="12.6" customHeight="1" x14ac:dyDescent="0.2">
      <c r="L84" s="400"/>
    </row>
    <row r="85" spans="1:12" ht="12.6" customHeight="1" x14ac:dyDescent="0.2">
      <c r="B85" s="396"/>
      <c r="C85" s="399"/>
      <c r="D85" s="424">
        <f>IF(E85&lt;&gt;" ","KNaFosfaat",)</f>
        <v>0</v>
      </c>
      <c r="E85" s="403" t="str">
        <f>PedGuiEntTPN!F32&amp;" "&amp;PedGuiEntTPN!I32</f>
        <v xml:space="preserve"> </v>
      </c>
      <c r="F85" s="403"/>
      <c r="L85" s="400" t="str">
        <f t="shared" si="2"/>
        <v>D</v>
      </c>
    </row>
    <row r="86" spans="1:12" ht="12.6" customHeight="1" x14ac:dyDescent="0.2">
      <c r="L86" s="400"/>
    </row>
    <row r="87" spans="1:12" ht="12.6" customHeight="1" x14ac:dyDescent="0.2">
      <c r="B87" s="396"/>
      <c r="C87" s="399"/>
      <c r="D87" s="425">
        <f>IF(E87&lt;&gt;"",PedGuiEntTPN!D34,)</f>
        <v>0</v>
      </c>
      <c r="E87" s="403" t="str">
        <f>PedGuiEntTPN!E34</f>
        <v/>
      </c>
      <c r="F87" s="403" t="str">
        <f>IF(ROUND(PedBerTPN!F12,0)&gt;0,ROUND(PedBerTPN!F12,0)&amp;" ml","")</f>
        <v/>
      </c>
      <c r="H87" s="390"/>
      <c r="L87" s="400"/>
    </row>
    <row r="88" spans="1:12" ht="12.6" customHeight="1" x14ac:dyDescent="0.2">
      <c r="B88" s="396"/>
      <c r="C88" s="399"/>
      <c r="D88" s="397">
        <f>IF(F88&lt;&gt;"","Intralipid 20%",)</f>
        <v>0</v>
      </c>
      <c r="F88" s="394" t="str">
        <f>PedGuiEntTPN!F35</f>
        <v/>
      </c>
      <c r="H88" s="420"/>
      <c r="L88" s="400" t="str">
        <f>IF(D88=0,"D","")</f>
        <v>D</v>
      </c>
    </row>
    <row r="89" spans="1:12" ht="12.6" customHeight="1" x14ac:dyDescent="0.2">
      <c r="B89" s="396"/>
      <c r="C89" s="399"/>
      <c r="D89" s="397">
        <f>IF(F89&lt;&gt;"","Vitintra Infant",)</f>
        <v>0</v>
      </c>
      <c r="F89" s="394" t="str">
        <f>PedGuiEntTPN!F36</f>
        <v/>
      </c>
      <c r="H89" s="420"/>
      <c r="L89" s="400" t="str">
        <f>IF(D89=0,"D","")</f>
        <v>D</v>
      </c>
    </row>
    <row r="90" spans="1:12" ht="12.6" customHeight="1" x14ac:dyDescent="0.2">
      <c r="B90" s="396"/>
      <c r="C90" s="399"/>
      <c r="D90" s="397">
        <f>IF(F90&lt;&gt;"","Soluvit",)</f>
        <v>0</v>
      </c>
      <c r="F90" s="394" t="str">
        <f>PedGuiEntTPN!F37</f>
        <v/>
      </c>
      <c r="H90" s="420"/>
      <c r="L90" s="400" t="str">
        <f>IF(D90=0,"D","")</f>
        <v>D</v>
      </c>
    </row>
    <row r="91" spans="1:12" ht="12.6" customHeight="1" x14ac:dyDescent="0.2">
      <c r="C91" s="420"/>
      <c r="L91" s="400"/>
    </row>
    <row r="92" spans="1:12" ht="12.6" customHeight="1" x14ac:dyDescent="0.2">
      <c r="A92" s="403"/>
      <c r="B92" s="407"/>
      <c r="C92" s="408" t="s">
        <v>285</v>
      </c>
      <c r="D92" s="853">
        <f>GlobBerOpm!B3</f>
        <v>0</v>
      </c>
      <c r="E92" s="854"/>
      <c r="F92" s="854"/>
      <c r="G92" s="854"/>
      <c r="H92" s="854"/>
      <c r="I92" s="854"/>
      <c r="J92" s="854"/>
      <c r="L92" s="400"/>
    </row>
    <row r="93" spans="1:12" ht="12.6" customHeight="1" x14ac:dyDescent="0.2">
      <c r="L93" s="400"/>
    </row>
    <row r="94" spans="1:12" ht="12.6" customHeight="1" x14ac:dyDescent="0.2">
      <c r="L94" s="400"/>
    </row>
    <row r="95" spans="1:12" ht="12.6" customHeight="1" x14ac:dyDescent="0.2">
      <c r="A95" s="403"/>
      <c r="B95" s="404" t="s">
        <v>348</v>
      </c>
      <c r="C95" s="411"/>
      <c r="D95" s="403"/>
      <c r="E95" s="403"/>
      <c r="F95" s="403"/>
      <c r="G95" s="403"/>
      <c r="H95" s="403"/>
      <c r="I95" s="403"/>
      <c r="J95" s="403"/>
      <c r="L95" s="400"/>
    </row>
    <row r="96" spans="1:12" ht="12.6" customHeight="1" x14ac:dyDescent="0.2">
      <c r="B96" s="396"/>
      <c r="C96" s="397" t="str">
        <f>PedGuiEntTPN!C41</f>
        <v>Vocht</v>
      </c>
      <c r="D96" s="394" t="str">
        <f>PedGuiEntTPN!E41</f>
        <v>26 ml/kg</v>
      </c>
      <c r="E96" s="397" t="str">
        <f>PedGuiEntTPN!C42</f>
        <v>Calorieen</v>
      </c>
      <c r="F96" s="394" t="str">
        <f>PedGuiEntTPN!E42</f>
        <v>0 kCal/kg</v>
      </c>
      <c r="G96" s="397" t="str">
        <f>PedGuiEntTPN!C45</f>
        <v>Kalium</v>
      </c>
      <c r="H96" s="394" t="str">
        <f>PedGuiEntTPN!E45</f>
        <v>0 mmol/kg</v>
      </c>
      <c r="I96" s="397" t="str">
        <f>PedGuiEntTPN!C44</f>
        <v xml:space="preserve">Natrium </v>
      </c>
      <c r="J96" s="394" t="str">
        <f>PedGuiEntTPN!E44</f>
        <v>1,1 mmol/kg</v>
      </c>
      <c r="L96" s="400"/>
    </row>
    <row r="97" spans="1:12" ht="12.6" customHeight="1" x14ac:dyDescent="0.2">
      <c r="B97" s="396"/>
      <c r="C97" s="397" t="str">
        <f>PedGuiEntTPN!I41</f>
        <v>Eiwit</v>
      </c>
      <c r="D97" s="394" t="str">
        <f>PedGuiEntTPN!J41</f>
        <v>0  gram/kg</v>
      </c>
      <c r="E97" s="397" t="str">
        <f>PedGuiEntTPN!I42</f>
        <v>Vet</v>
      </c>
      <c r="F97" s="394" t="str">
        <f>PedGuiEntTPN!J42</f>
        <v>0 gram/kg</v>
      </c>
      <c r="G97" s="397" t="str">
        <f>PedGuiEntTPN!I43</f>
        <v>Calcium</v>
      </c>
      <c r="H97" s="394" t="str">
        <f>PedGuiEntTPN!J43</f>
        <v>0 mmol/kg</v>
      </c>
      <c r="I97" s="397" t="str">
        <f>PedGuiEntTPN!I45</f>
        <v>Fosfaat</v>
      </c>
      <c r="J97" s="394" t="str">
        <f>PedGuiEntTPN!J45</f>
        <v>0 mmol/kg</v>
      </c>
      <c r="L97" s="400"/>
    </row>
    <row r="98" spans="1:12" ht="12.6" customHeight="1" x14ac:dyDescent="0.2">
      <c r="A98" s="403"/>
      <c r="B98" s="407"/>
      <c r="C98" s="426" t="str">
        <f>PedGuiEntTPN!C43</f>
        <v>Glucose/KH</v>
      </c>
      <c r="D98" s="403" t="str">
        <f>PedGuiEntTPN!E43</f>
        <v>0 g/kg</v>
      </c>
      <c r="E98" s="408"/>
      <c r="F98" s="403"/>
      <c r="G98" s="426" t="s">
        <v>309</v>
      </c>
      <c r="H98" s="403" t="str">
        <f>PedGuiEntTPN!J44</f>
        <v>0 mmol/kg</v>
      </c>
      <c r="I98" s="408"/>
      <c r="J98" s="403"/>
      <c r="L98" s="400"/>
    </row>
    <row r="99" spans="1:12" ht="12.6" customHeight="1" x14ac:dyDescent="0.2">
      <c r="B99" s="396"/>
      <c r="C99" s="397" t="s">
        <v>452</v>
      </c>
      <c r="D99" s="398">
        <f ca="1">TODAY()</f>
        <v>42755</v>
      </c>
      <c r="E99" s="397" t="s">
        <v>453</v>
      </c>
      <c r="F99" s="850" t="str">
        <f>__2_AchterNaam&amp;", "&amp;__3_VoorNaam</f>
        <v xml:space="preserve">, </v>
      </c>
      <c r="G99" s="850"/>
      <c r="H99" s="399" t="s">
        <v>267</v>
      </c>
      <c r="I99" s="394" t="str">
        <f>_Pat_Gewicht/10&amp;" kg"</f>
        <v>1 kg</v>
      </c>
      <c r="J99" s="390"/>
      <c r="L99" s="400"/>
    </row>
    <row r="100" spans="1:12" ht="12.6" customHeight="1" x14ac:dyDescent="0.2">
      <c r="B100" s="396"/>
      <c r="C100" s="397" t="s">
        <v>198</v>
      </c>
      <c r="D100" s="401">
        <f ca="1">Var_AfspraakDatum-_Pat_OpnDatum+1</f>
        <v>41294</v>
      </c>
      <c r="E100" s="397" t="s">
        <v>451</v>
      </c>
      <c r="F100" s="402">
        <f>__4_GebDatum</f>
        <v>1462</v>
      </c>
      <c r="G100" s="390"/>
      <c r="H100" s="399" t="s">
        <v>128</v>
      </c>
      <c r="I100" s="394" t="str">
        <f>_Pat_Lengte&amp;" cm"</f>
        <v>0 cm</v>
      </c>
      <c r="J100" s="390"/>
      <c r="L100" s="400"/>
    </row>
    <row r="101" spans="1:12" ht="12.6" customHeight="1" x14ac:dyDescent="0.2">
      <c r="D101" s="390"/>
      <c r="F101" s="390"/>
      <c r="H101" s="399" t="s">
        <v>129</v>
      </c>
      <c r="I101" s="394" t="str">
        <f>ROUND(POWER(_Pat_Gewicht/10,0.425)*POWER(((_Pat_Lengte/100)*100),0.725)*0.007184,2)&amp;" m2"</f>
        <v>0 m2</v>
      </c>
      <c r="L101" s="400"/>
    </row>
    <row r="102" spans="1:12" ht="12.6" customHeight="1" x14ac:dyDescent="0.2">
      <c r="D102" s="390"/>
      <c r="F102" s="390"/>
      <c r="L102" s="400"/>
    </row>
    <row r="103" spans="1:12" ht="12.6" customHeight="1" x14ac:dyDescent="0.2">
      <c r="D103" s="390"/>
      <c r="F103" s="390"/>
      <c r="L103" s="400"/>
    </row>
    <row r="104" spans="1:12" ht="12.6" customHeight="1" x14ac:dyDescent="0.2">
      <c r="D104" s="390"/>
      <c r="F104" s="390"/>
      <c r="L104" s="400"/>
    </row>
    <row r="105" spans="1:12" ht="12.6" customHeight="1" x14ac:dyDescent="0.2">
      <c r="B105" s="404" t="s">
        <v>30</v>
      </c>
      <c r="C105" s="403"/>
      <c r="D105" s="416"/>
      <c r="E105" s="403"/>
      <c r="F105" s="404" t="e">
        <f>IF(Comfort,"Ja","Nee")</f>
        <v>#NAME?</v>
      </c>
      <c r="L105" s="400"/>
    </row>
    <row r="106" spans="1:12" ht="12.6" customHeight="1" x14ac:dyDescent="0.2">
      <c r="L106" s="400"/>
    </row>
    <row r="107" spans="1:12" ht="12.6" customHeight="1" x14ac:dyDescent="0.2">
      <c r="D107" s="427" t="s">
        <v>264</v>
      </c>
      <c r="G107" s="427" t="s">
        <v>123</v>
      </c>
      <c r="L107" s="400"/>
    </row>
    <row r="108" spans="1:12" ht="24.95" customHeight="1" x14ac:dyDescent="0.2">
      <c r="A108" s="859" t="s">
        <v>121</v>
      </c>
      <c r="B108" s="860"/>
      <c r="C108" s="428" t="s">
        <v>122</v>
      </c>
      <c r="D108" s="428" t="s">
        <v>124</v>
      </c>
      <c r="E108" s="859" t="s">
        <v>126</v>
      </c>
      <c r="F108" s="860"/>
      <c r="G108" s="428" t="s">
        <v>124</v>
      </c>
      <c r="H108" s="859" t="s">
        <v>125</v>
      </c>
      <c r="I108" s="860"/>
      <c r="J108" s="428" t="s">
        <v>236</v>
      </c>
      <c r="K108" s="393"/>
      <c r="L108" s="400"/>
    </row>
    <row r="109" spans="1:12" ht="20.100000000000001" customHeight="1" x14ac:dyDescent="0.2">
      <c r="A109" s="429"/>
      <c r="B109" s="430"/>
      <c r="C109" s="428"/>
      <c r="D109" s="428"/>
      <c r="E109" s="429"/>
      <c r="F109" s="430"/>
      <c r="G109" s="431"/>
      <c r="H109" s="429"/>
      <c r="I109" s="432"/>
      <c r="J109" s="428"/>
      <c r="K109" s="393"/>
      <c r="L109" s="400"/>
    </row>
    <row r="110" spans="1:12" ht="20.100000000000001" customHeight="1" x14ac:dyDescent="0.2">
      <c r="A110" s="429"/>
      <c r="B110" s="430"/>
      <c r="C110" s="428"/>
      <c r="D110" s="428"/>
      <c r="E110" s="429"/>
      <c r="F110" s="430"/>
      <c r="G110" s="431"/>
      <c r="H110" s="429"/>
      <c r="I110" s="432"/>
      <c r="J110" s="428"/>
      <c r="K110" s="393"/>
      <c r="L110" s="400"/>
    </row>
    <row r="111" spans="1:12" ht="20.100000000000001" customHeight="1" x14ac:dyDescent="0.2">
      <c r="A111" s="429"/>
      <c r="B111" s="430"/>
      <c r="C111" s="428"/>
      <c r="D111" s="428"/>
      <c r="E111" s="429"/>
      <c r="F111" s="430"/>
      <c r="G111" s="431"/>
      <c r="H111" s="429"/>
      <c r="I111" s="432"/>
      <c r="J111" s="428"/>
      <c r="K111" s="393"/>
      <c r="L111" s="400"/>
    </row>
    <row r="112" spans="1:12" ht="20.100000000000001" customHeight="1" x14ac:dyDescent="0.2">
      <c r="A112" s="429"/>
      <c r="B112" s="430"/>
      <c r="C112" s="428"/>
      <c r="D112" s="428"/>
      <c r="E112" s="429"/>
      <c r="F112" s="430"/>
      <c r="G112" s="431"/>
      <c r="H112" s="429"/>
      <c r="I112" s="432"/>
      <c r="J112" s="428"/>
      <c r="K112" s="393"/>
      <c r="L112" s="400"/>
    </row>
    <row r="113" spans="1:13" ht="20.100000000000001" customHeight="1" x14ac:dyDescent="0.2">
      <c r="A113" s="429"/>
      <c r="B113" s="430"/>
      <c r="C113" s="428"/>
      <c r="D113" s="428"/>
      <c r="E113" s="429"/>
      <c r="F113" s="430"/>
      <c r="G113" s="431"/>
      <c r="H113" s="429"/>
      <c r="I113" s="432"/>
      <c r="J113" s="428"/>
      <c r="K113" s="393"/>
      <c r="L113" s="400"/>
    </row>
    <row r="114" spans="1:13" ht="20.100000000000001" customHeight="1" x14ac:dyDescent="0.2">
      <c r="A114" s="429"/>
      <c r="B114" s="430"/>
      <c r="C114" s="428"/>
      <c r="D114" s="428"/>
      <c r="E114" s="429"/>
      <c r="F114" s="430"/>
      <c r="G114" s="431"/>
      <c r="H114" s="429"/>
      <c r="I114" s="432"/>
      <c r="J114" s="428"/>
      <c r="K114" s="393"/>
      <c r="L114" s="400"/>
    </row>
    <row r="115" spans="1:13" ht="20.100000000000001" customHeight="1" x14ac:dyDescent="0.2">
      <c r="A115" s="429"/>
      <c r="B115" s="430"/>
      <c r="C115" s="428"/>
      <c r="D115" s="428"/>
      <c r="E115" s="429"/>
      <c r="F115" s="430"/>
      <c r="G115" s="431"/>
      <c r="H115" s="429"/>
      <c r="I115" s="432"/>
      <c r="J115" s="428"/>
      <c r="K115" s="393"/>
      <c r="L115" s="400"/>
    </row>
    <row r="116" spans="1:13" ht="20.100000000000001" customHeight="1" x14ac:dyDescent="0.2">
      <c r="A116" s="429"/>
      <c r="B116" s="430"/>
      <c r="C116" s="428"/>
      <c r="D116" s="428"/>
      <c r="E116" s="429"/>
      <c r="F116" s="430"/>
      <c r="G116" s="431"/>
      <c r="H116" s="429"/>
      <c r="I116" s="432"/>
      <c r="J116" s="428"/>
      <c r="K116" s="393"/>
      <c r="L116" s="400"/>
    </row>
    <row r="117" spans="1:13" ht="20.100000000000001" customHeight="1" x14ac:dyDescent="0.2">
      <c r="A117" s="429"/>
      <c r="B117" s="430"/>
      <c r="C117" s="428"/>
      <c r="D117" s="428"/>
      <c r="E117" s="429"/>
      <c r="F117" s="430"/>
      <c r="G117" s="431"/>
      <c r="H117" s="429"/>
      <c r="I117" s="432"/>
      <c r="J117" s="428"/>
      <c r="K117" s="393"/>
      <c r="L117" s="400"/>
    </row>
    <row r="118" spans="1:13" ht="20.100000000000001" customHeight="1" x14ac:dyDescent="0.2">
      <c r="A118" s="429"/>
      <c r="B118" s="430"/>
      <c r="C118" s="428"/>
      <c r="D118" s="428"/>
      <c r="E118" s="429"/>
      <c r="F118" s="430"/>
      <c r="G118" s="431"/>
      <c r="H118" s="429"/>
      <c r="I118" s="432"/>
      <c r="J118" s="428"/>
      <c r="K118" s="13"/>
      <c r="L118" s="400"/>
      <c r="M118" s="395"/>
    </row>
    <row r="119" spans="1:13" ht="20.100000000000001" customHeight="1" x14ac:dyDescent="0.2">
      <c r="A119" s="429"/>
      <c r="B119" s="430"/>
      <c r="C119" s="428"/>
      <c r="D119" s="428"/>
      <c r="E119" s="429"/>
      <c r="F119" s="430"/>
      <c r="G119" s="431"/>
      <c r="H119" s="429"/>
      <c r="I119" s="432"/>
      <c r="J119" s="428"/>
      <c r="K119" s="13"/>
      <c r="L119" s="400"/>
      <c r="M119" s="395"/>
    </row>
    <row r="120" spans="1:13" ht="20.100000000000001" customHeight="1" x14ac:dyDescent="0.2">
      <c r="A120" s="429"/>
      <c r="B120" s="430"/>
      <c r="C120" s="428"/>
      <c r="D120" s="428"/>
      <c r="E120" s="429"/>
      <c r="F120" s="430"/>
      <c r="G120" s="431"/>
      <c r="H120" s="429"/>
      <c r="I120" s="432"/>
      <c r="J120" s="428"/>
      <c r="K120" s="13"/>
      <c r="L120" s="400"/>
      <c r="M120" s="395"/>
    </row>
    <row r="121" spans="1:13" ht="20.100000000000001" customHeight="1" x14ac:dyDescent="0.2">
      <c r="A121" s="429"/>
      <c r="B121" s="430"/>
      <c r="C121" s="428"/>
      <c r="D121" s="428"/>
      <c r="E121" s="429"/>
      <c r="F121" s="430"/>
      <c r="G121" s="431"/>
      <c r="H121" s="429"/>
      <c r="I121" s="432"/>
      <c r="J121" s="428"/>
      <c r="K121" s="13"/>
      <c r="L121" s="400"/>
      <c r="M121" s="395"/>
    </row>
    <row r="122" spans="1:13" ht="20.100000000000001" customHeight="1" x14ac:dyDescent="0.2">
      <c r="A122" s="429"/>
      <c r="B122" s="430"/>
      <c r="C122" s="428"/>
      <c r="D122" s="428"/>
      <c r="E122" s="429"/>
      <c r="F122" s="430"/>
      <c r="G122" s="431"/>
      <c r="H122" s="429"/>
      <c r="I122" s="432"/>
      <c r="J122" s="428"/>
      <c r="K122" s="13"/>
      <c r="L122" s="400"/>
      <c r="M122" s="395"/>
    </row>
    <row r="123" spans="1:13" ht="20.100000000000001" customHeight="1" x14ac:dyDescent="0.2">
      <c r="A123" s="429"/>
      <c r="B123" s="430"/>
      <c r="C123" s="428"/>
      <c r="D123" s="428"/>
      <c r="E123" s="429"/>
      <c r="F123" s="430"/>
      <c r="G123" s="431"/>
      <c r="H123" s="429"/>
      <c r="I123" s="432"/>
      <c r="J123" s="428"/>
      <c r="K123" s="13"/>
      <c r="L123" s="400"/>
      <c r="M123" s="395"/>
    </row>
    <row r="124" spans="1:13" ht="20.100000000000001" customHeight="1" x14ac:dyDescent="0.2">
      <c r="A124" s="429"/>
      <c r="B124" s="430"/>
      <c r="C124" s="428"/>
      <c r="D124" s="428"/>
      <c r="E124" s="429"/>
      <c r="F124" s="430"/>
      <c r="G124" s="431"/>
      <c r="H124" s="429"/>
      <c r="I124" s="432"/>
      <c r="J124" s="428"/>
      <c r="K124" s="13"/>
      <c r="L124" s="400"/>
      <c r="M124" s="395"/>
    </row>
    <row r="125" spans="1:13" ht="20.100000000000001" customHeight="1" x14ac:dyDescent="0.2">
      <c r="A125" s="429"/>
      <c r="B125" s="430"/>
      <c r="C125" s="428"/>
      <c r="D125" s="428"/>
      <c r="E125" s="429"/>
      <c r="F125" s="430"/>
      <c r="G125" s="431"/>
      <c r="H125" s="429"/>
      <c r="I125" s="432"/>
      <c r="J125" s="428"/>
      <c r="K125" s="13"/>
      <c r="L125" s="400"/>
      <c r="M125" s="395"/>
    </row>
    <row r="126" spans="1:13" ht="30" customHeight="1" x14ac:dyDescent="0.2">
      <c r="A126" s="433" t="s">
        <v>127</v>
      </c>
      <c r="B126" s="434"/>
      <c r="C126" s="433"/>
      <c r="D126" s="433"/>
      <c r="E126" s="433"/>
      <c r="F126" s="434"/>
      <c r="G126" s="434"/>
      <c r="H126" s="433"/>
      <c r="I126" s="433"/>
      <c r="J126" s="433"/>
      <c r="K126" s="13"/>
      <c r="L126" s="400"/>
      <c r="M126" s="395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95"/>
    </row>
    <row r="128" spans="1:13" ht="30" customHeight="1" x14ac:dyDescent="0.2">
      <c r="A128" s="13"/>
      <c r="B128" s="13"/>
      <c r="C128" s="415"/>
      <c r="D128" s="414"/>
      <c r="E128" s="414"/>
      <c r="F128" s="414"/>
      <c r="G128" s="13"/>
      <c r="H128" s="13"/>
      <c r="I128" s="13"/>
      <c r="J128" s="13"/>
      <c r="K128" s="13"/>
      <c r="L128" s="13"/>
      <c r="M128" s="395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95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95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95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95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95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394"/>
      <c r="L140" s="400"/>
    </row>
    <row r="141" spans="1:13" ht="30" customHeight="1" x14ac:dyDescent="0.2">
      <c r="B141" s="394"/>
      <c r="L141" s="400"/>
    </row>
    <row r="142" spans="1:13" ht="30" customHeight="1" x14ac:dyDescent="0.2">
      <c r="B142" s="394"/>
      <c r="L142" s="400"/>
    </row>
    <row r="143" spans="1:13" ht="30" customHeight="1" x14ac:dyDescent="0.2">
      <c r="B143" s="394"/>
      <c r="L143" s="400"/>
    </row>
    <row r="144" spans="1:13" ht="30" customHeight="1" x14ac:dyDescent="0.2">
      <c r="B144" s="394"/>
      <c r="L144" s="400"/>
    </row>
    <row r="145" spans="2:12" ht="30" customHeight="1" x14ac:dyDescent="0.2">
      <c r="B145" s="394"/>
      <c r="L145" s="400"/>
    </row>
    <row r="146" spans="2:12" ht="30" customHeight="1" x14ac:dyDescent="0.2">
      <c r="B146" s="394"/>
      <c r="L146" s="400"/>
    </row>
    <row r="147" spans="2:12" ht="30" customHeight="1" x14ac:dyDescent="0.2">
      <c r="B147" s="394"/>
      <c r="L147" s="400"/>
    </row>
    <row r="148" spans="2:12" ht="30" customHeight="1" x14ac:dyDescent="0.2">
      <c r="B148" s="394"/>
      <c r="L148" s="400"/>
    </row>
    <row r="149" spans="2:12" ht="30" customHeight="1" x14ac:dyDescent="0.2">
      <c r="B149" s="394"/>
      <c r="L149" s="400"/>
    </row>
    <row r="150" spans="2:12" ht="11.25" x14ac:dyDescent="0.2">
      <c r="B150" s="394"/>
      <c r="L150" s="400"/>
    </row>
    <row r="151" spans="2:12" ht="11.25" x14ac:dyDescent="0.2">
      <c r="B151" s="394"/>
      <c r="L151" s="400"/>
    </row>
    <row r="152" spans="2:12" ht="11.25" x14ac:dyDescent="0.2">
      <c r="B152" s="394"/>
      <c r="L152" s="400"/>
    </row>
    <row r="153" spans="2:12" ht="11.25" x14ac:dyDescent="0.2">
      <c r="B153" s="394"/>
      <c r="L153" s="400"/>
    </row>
    <row r="154" spans="2:12" ht="11.25" x14ac:dyDescent="0.2">
      <c r="B154" s="394"/>
      <c r="L154" s="400"/>
    </row>
    <row r="155" spans="2:12" ht="12.6" customHeight="1" x14ac:dyDescent="0.2">
      <c r="B155" s="394"/>
      <c r="L155" s="400"/>
    </row>
    <row r="156" spans="2:12" ht="12.6" customHeight="1" x14ac:dyDescent="0.2">
      <c r="B156" s="394"/>
      <c r="L156" s="400"/>
    </row>
    <row r="157" spans="2:12" ht="12.6" customHeight="1" x14ac:dyDescent="0.2">
      <c r="B157" s="394"/>
      <c r="L157" s="400" t="str">
        <f>IF(C24=0,"D","")</f>
        <v/>
      </c>
    </row>
    <row r="158" spans="2:12" ht="12.6" customHeight="1" x14ac:dyDescent="0.2">
      <c r="B158" s="394"/>
      <c r="L158" s="400" t="str">
        <f>IF(C25=0,"D","")</f>
        <v/>
      </c>
    </row>
    <row r="159" spans="2:12" ht="12.6" customHeight="1" x14ac:dyDescent="0.2">
      <c r="B159" s="394"/>
      <c r="L159" s="400" t="str">
        <f>IF(C26=0,"D","")</f>
        <v/>
      </c>
    </row>
    <row r="160" spans="2:12" ht="12.6" customHeight="1" x14ac:dyDescent="0.2">
      <c r="B160" s="394"/>
      <c r="L160" s="400" t="str">
        <f>IF(C27=0,"D","")</f>
        <v/>
      </c>
    </row>
    <row r="161" spans="2:12" ht="12.6" customHeight="1" x14ac:dyDescent="0.2">
      <c r="B161" s="394"/>
      <c r="L161" s="400" t="e">
        <f>IF(#REF!=0,"D","")</f>
        <v>#REF!</v>
      </c>
    </row>
    <row r="162" spans="2:12" ht="12.6" customHeight="1" x14ac:dyDescent="0.2">
      <c r="B162" s="394"/>
      <c r="L162" s="400" t="e">
        <f>IF(#REF!=0,"D","")</f>
        <v>#REF!</v>
      </c>
    </row>
    <row r="163" spans="2:12" ht="12.6" customHeight="1" x14ac:dyDescent="0.2">
      <c r="B163" s="394"/>
      <c r="L163" s="400"/>
    </row>
    <row r="164" spans="2:12" ht="12.6" customHeight="1" x14ac:dyDescent="0.2">
      <c r="B164" s="394"/>
      <c r="L164" s="400"/>
    </row>
    <row r="165" spans="2:12" ht="12.6" customHeight="1" x14ac:dyDescent="0.2">
      <c r="B165" s="394"/>
      <c r="L165" s="400"/>
    </row>
    <row r="166" spans="2:12" ht="12.6" customHeight="1" x14ac:dyDescent="0.2">
      <c r="L166" s="400"/>
    </row>
    <row r="167" spans="2:12" ht="12.6" customHeight="1" x14ac:dyDescent="0.2">
      <c r="L167" s="400"/>
    </row>
    <row r="168" spans="2:12" ht="12.6" customHeight="1" x14ac:dyDescent="0.2">
      <c r="L168" s="400"/>
    </row>
    <row r="169" spans="2:12" ht="12.6" customHeight="1" x14ac:dyDescent="0.2">
      <c r="L169" s="400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51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63">
        <f>__4_GebDatum</f>
        <v>1462</v>
      </c>
      <c r="G1" s="863"/>
      <c r="I1" s="6" t="str">
        <f>"Gewicht: "&amp;ROUND(_Pat_Gewicht/10,1)&amp;"kg"</f>
        <v>Gewicht: 1kg</v>
      </c>
      <c r="P1" s="6" t="s">
        <v>180</v>
      </c>
      <c r="R1" s="861"/>
      <c r="S1" s="861"/>
      <c r="T1" s="861"/>
      <c r="U1" s="861"/>
      <c r="V1" s="861"/>
      <c r="W1" s="861"/>
      <c r="Y1" t="s">
        <v>297</v>
      </c>
      <c r="AB1" s="862">
        <f ca="1">TODAY()</f>
        <v>42755</v>
      </c>
      <c r="AC1" s="862"/>
      <c r="AD1" s="862"/>
      <c r="AE1" s="862"/>
      <c r="AF1" s="862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51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310" customFormat="1" ht="26.1" customHeight="1" x14ac:dyDescent="0.2">
      <c r="B23" s="94"/>
      <c r="C23" s="125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26" t="str">
        <f>IF(GlobGuiMedDisc!I29&lt;&gt;"",GlobGuiMedDisc!I29,"")</f>
        <v/>
      </c>
      <c r="E23" s="127" t="str">
        <f>IF(AND(D23&lt;&gt;"",D23&lt;&gt;"STOP"),GlobBerMedDisc!H22&amp;" "&amp;GlobBerMedDisc!F22,"")</f>
        <v/>
      </c>
      <c r="F23" s="127" t="str">
        <f>IF(AND(D23&lt;&gt;"",D23&lt;&gt;"STOP"),GlobBerMedDisc!L22," ")</f>
        <v xml:space="preserve"> </v>
      </c>
      <c r="G23" s="127" t="e">
        <f>IF(GlobGuiMedDisc!#REF!&lt;&gt;"",GlobGuiMedDisc!#REF!&amp;" "&amp;GlobGuiMedDisc!#REF!&amp;" "&amp;INDEX(GlobBerMedDisc!$B$27:$B$30,GlobBerMedDisc!O22,1)&amp;"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310" customFormat="1" ht="26.1" customHeight="1" x14ac:dyDescent="0.2">
      <c r="B24" s="94"/>
      <c r="C24" s="125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26" t="str">
        <f>IF(GlobGuiMedDisc!I30&lt;&gt;"",GlobGuiMedDisc!I30,"")</f>
        <v/>
      </c>
      <c r="E24" s="127" t="str">
        <f>IF(AND(D24&lt;&gt;"",D24&lt;&gt;"STOP"),GlobBerMedDisc!H23&amp;" "&amp;GlobBerMedDisc!F23,"")</f>
        <v/>
      </c>
      <c r="F24" s="127" t="str">
        <f>IF(AND(D24&lt;&gt;"",D24&lt;&gt;"STOP"),GlobBerMedDisc!L23," ")</f>
        <v xml:space="preserve"> </v>
      </c>
      <c r="G24" s="127" t="str">
        <f>IF(GlobGuiMedDisc!N29&lt;&gt;"",GlobGuiMedDisc!N29&amp;" "&amp;GlobGuiMedDisc!O29&amp;" "&amp;INDEX(GlobBerMedDisc!$B$27:$B$30,GlobBerMedDisc!O23,1)&amp;"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310" customFormat="1" ht="26.1" customHeight="1" x14ac:dyDescent="0.2">
      <c r="B25" s="94"/>
      <c r="C25" s="125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26" t="str">
        <f>IF(GlobGuiMedDisc!I31&lt;&gt;"",GlobGuiMedDisc!I31,"")</f>
        <v/>
      </c>
      <c r="E25" s="127" t="str">
        <f>IF(AND(D25&lt;&gt;"",D25&lt;&gt;"STOP"),GlobBerMedDisc!H24&amp;" "&amp;GlobBerMedDisc!F24,"")</f>
        <v/>
      </c>
      <c r="F25" s="127" t="str">
        <f>IF(AND(D25&lt;&gt;"",D25&lt;&gt;"STOP"),GlobBerMedDisc!L24," ")</f>
        <v xml:space="preserve"> </v>
      </c>
      <c r="G25" s="127" t="e">
        <f>IF(GlobGuiMedDisc!#REF!&lt;&gt;"",GlobGuiMedDisc!#REF!&amp;" "&amp;GlobGuiMedDisc!#REF!&amp;" "&amp;INDEX(GlobBerMedDisc!$B$27:$B$30,GlobBerMedDisc!O24,1)&amp;"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310" customFormat="1" ht="26.1" customHeight="1" x14ac:dyDescent="0.2">
      <c r="B26" s="94"/>
      <c r="C26" s="125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26" t="str">
        <f>IF(GlobGuiMedDisc!I32&lt;&gt;"",GlobGuiMedDisc!I32,"")</f>
        <v/>
      </c>
      <c r="E26" s="127" t="str">
        <f>IF(AND(D26&lt;&gt;"",D26&lt;&gt;"STOP"),GlobBerMedDisc!H25&amp;" "&amp;GlobBerMedDisc!F25,"")</f>
        <v/>
      </c>
      <c r="F26" s="127" t="str">
        <f>IF(AND(D26&lt;&gt;"",D26&lt;&gt;"STOP"),GlobBerMedDisc!L25," ")</f>
        <v xml:space="preserve"> </v>
      </c>
      <c r="G26" s="127" t="str">
        <f>IF(GlobGuiMedDisc!N30&lt;&gt;"",GlobGuiMedDisc!N30&amp;" "&amp;GlobGuiMedDisc!O30&amp;" "&amp;INDEX(GlobBerMedDisc!$B$27:$B$30,GlobBerMedDisc!O25,1)&amp;"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310" customFormat="1" ht="26.1" customHeight="1" x14ac:dyDescent="0.2">
      <c r="B27" s="94"/>
      <c r="C27" s="125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26" t="str">
        <f>IF(GlobGuiMedDisc!I33&lt;&gt;"",GlobGuiMedDisc!I33,"")</f>
        <v/>
      </c>
      <c r="E27" s="127" t="str">
        <f>IF(AND(D27&lt;&gt;"",D27&lt;&gt;"STOP"),GlobBerMedDisc!H26&amp;" "&amp;GlobBerMedDisc!F26,"")</f>
        <v/>
      </c>
      <c r="F27" s="127" t="str">
        <f>IF(AND(D27&lt;&gt;"",D27&lt;&gt;"STOP"),GlobBerMedDisc!L26," ")</f>
        <v xml:space="preserve"> </v>
      </c>
      <c r="G27" s="127" t="e">
        <f>IF(GlobGuiMedDisc!#REF!&lt;&gt;"",GlobGuiMedDisc!#REF!&amp;" "&amp;GlobGuiMedDisc!#REF!&amp;" "&amp;INDEX(GlobBerMedDisc!$B$27:$B$30,GlobBerMedDisc!O26,1)&amp;"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310" customFormat="1" ht="26.1" customHeight="1" x14ac:dyDescent="0.2">
      <c r="B28" s="94"/>
      <c r="C28" s="125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26" t="str">
        <f>IF(GlobGuiMedDisc!I34&lt;&gt;"",GlobGuiMedDisc!I34,"")</f>
        <v/>
      </c>
      <c r="E28" s="127" t="str">
        <f>IF(AND(D28&lt;&gt;"",D28&lt;&gt;"STOP"),GlobBerMedDisc!H27&amp;" "&amp;GlobBerMedDisc!F27,"")</f>
        <v/>
      </c>
      <c r="F28" s="127" t="str">
        <f>IF(AND(D28&lt;&gt;"",D28&lt;&gt;"STOP"),GlobBerMedDisc!L27," ")</f>
        <v xml:space="preserve"> </v>
      </c>
      <c r="G28" s="127" t="str">
        <f>IF(GlobGuiMedDisc!N31&lt;&gt;"",GlobGuiMedDisc!N31&amp;" "&amp;GlobGuiMedDisc!O31&amp;" "&amp;INDEX(GlobBerMedDisc!$B$27:$B$30,GlobBerMedDisc!O27,1)&amp;"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310" customFormat="1" ht="26.1" customHeight="1" x14ac:dyDescent="0.2">
      <c r="B29" s="94"/>
      <c r="C29" s="125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26" t="str">
        <f>IF(GlobGuiMedDisc!I35&lt;&gt;"",GlobGuiMedDisc!I35,"")</f>
        <v/>
      </c>
      <c r="E29" s="127" t="str">
        <f>IF(AND(D29&lt;&gt;"",D29&lt;&gt;"STOP"),GlobBerMedDisc!H28&amp;" "&amp;GlobBerMedDisc!F28,"")</f>
        <v/>
      </c>
      <c r="F29" s="127" t="str">
        <f>IF(AND(D29&lt;&gt;"",D29&lt;&gt;"STOP"),GlobBerMedDisc!L28," ")</f>
        <v xml:space="preserve"> </v>
      </c>
      <c r="G29" s="127" t="e">
        <f>IF(GlobGuiMedDisc!#REF!&lt;&gt;"",GlobGuiMedDisc!#REF!&amp;" "&amp;GlobGuiMedDisc!#REF!&amp;" "&amp;INDEX(GlobBerMedDisc!$B$27:$B$30,GlobBerMedDisc!O28,1)&amp;"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310" customFormat="1" ht="26.1" customHeight="1" x14ac:dyDescent="0.2">
      <c r="B30" s="94"/>
      <c r="C30" s="125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26" t="str">
        <f>IF(GlobGuiMedDisc!I36&lt;&gt;"",GlobGuiMedDisc!I36,"")</f>
        <v/>
      </c>
      <c r="E30" s="127" t="str">
        <f>IF(AND(D30&lt;&gt;"",D30&lt;&gt;"STOP"),GlobBerMedDisc!H29&amp;" "&amp;GlobBerMedDisc!F29,"")</f>
        <v/>
      </c>
      <c r="F30" s="127" t="str">
        <f>IF(AND(D30&lt;&gt;"",D30&lt;&gt;"STOP"),GlobBerMedDisc!L29," ")</f>
        <v xml:space="preserve"> </v>
      </c>
      <c r="G30" s="127" t="str">
        <f>IF(GlobGuiMedDisc!N32&lt;&gt;"",GlobGuiMedDisc!N32&amp;" "&amp;GlobGuiMedDisc!O32&amp;" "&amp;INDEX(GlobBerMedDisc!$B$27:$B$30,GlobBerMedDisc!O29,1)&amp;"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310" customFormat="1" ht="26.1" customHeight="1" x14ac:dyDescent="0.2">
      <c r="B31" s="94"/>
      <c r="C31" s="125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26" t="str">
        <f>IF(GlobGuiMedDisc!I37&lt;&gt;"",GlobGuiMedDisc!I37,"")</f>
        <v/>
      </c>
      <c r="E31" s="127" t="str">
        <f>IF(AND(D31&lt;&gt;"",D31&lt;&gt;"STOP"),GlobBerMedDisc!H30&amp;" "&amp;GlobBerMedDisc!F30,"")</f>
        <v/>
      </c>
      <c r="F31" s="127" t="str">
        <f>IF(AND(D31&lt;&gt;"",D31&lt;&gt;"STOP"),GlobBerMedDisc!L30," ")</f>
        <v xml:space="preserve"> </v>
      </c>
      <c r="G31" s="127" t="e">
        <f>IF(GlobGuiMedDisc!#REF!&lt;&gt;"",GlobGuiMedDisc!#REF!&amp;" "&amp;GlobGuiMedDisc!#REF!&amp;" "&amp;INDEX(GlobBerMedDisc!$B$27:$B$30,GlobBerMedDisc!O30,1)&amp;"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310" customFormat="1" ht="26.1" customHeight="1" x14ac:dyDescent="0.2">
      <c r="B32" s="94"/>
      <c r="C32" s="125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26" t="str">
        <f>IF(GlobGuiMedDisc!I38&lt;&gt;"",GlobGuiMedDisc!I38,"")</f>
        <v/>
      </c>
      <c r="E32" s="127" t="str">
        <f>IF(AND(D32&lt;&gt;"",D32&lt;&gt;"STOP"),GlobBerMedDisc!H31&amp;" "&amp;GlobBerMedDisc!F31,"")</f>
        <v/>
      </c>
      <c r="F32" s="127" t="str">
        <f>IF(AND(D32&lt;&gt;"",D32&lt;&gt;"STOP"),GlobBerMedDisc!L31," ")</f>
        <v xml:space="preserve"> </v>
      </c>
      <c r="G32" s="127" t="str">
        <f>IF(GlobGuiMedDisc!N33&lt;&gt;"",GlobGuiMedDisc!N33&amp;" "&amp;GlobGuiMedDisc!O33&amp;" "&amp;INDEX(GlobBerMedDisc!$B$27:$B$30,GlobBerMedDisc!O31,1)&amp;"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51" priority="11" stopIfTrue="1" operator="equal">
      <formula>$AB$1</formula>
    </cfRule>
  </conditionalFormatting>
  <conditionalFormatting sqref="B23">
    <cfRule type="cellIs" dxfId="50" priority="10" stopIfTrue="1" operator="equal">
      <formula>$AB$1</formula>
    </cfRule>
  </conditionalFormatting>
  <conditionalFormatting sqref="B24">
    <cfRule type="cellIs" dxfId="49" priority="9" stopIfTrue="1" operator="equal">
      <formula>$AB$1</formula>
    </cfRule>
  </conditionalFormatting>
  <conditionalFormatting sqref="B25">
    <cfRule type="cellIs" dxfId="48" priority="8" stopIfTrue="1" operator="equal">
      <formula>$AB$1</formula>
    </cfRule>
  </conditionalFormatting>
  <conditionalFormatting sqref="B26">
    <cfRule type="cellIs" dxfId="47" priority="7" stopIfTrue="1" operator="equal">
      <formula>$AB$1</formula>
    </cfRule>
  </conditionalFormatting>
  <conditionalFormatting sqref="B27">
    <cfRule type="cellIs" dxfId="46" priority="6" stopIfTrue="1" operator="equal">
      <formula>$AB$1</formula>
    </cfRule>
  </conditionalFormatting>
  <conditionalFormatting sqref="B28">
    <cfRule type="cellIs" dxfId="45" priority="5" stopIfTrue="1" operator="equal">
      <formula>$AB$1</formula>
    </cfRule>
  </conditionalFormatting>
  <conditionalFormatting sqref="B29">
    <cfRule type="cellIs" dxfId="44" priority="4" stopIfTrue="1" operator="equal">
      <formula>$AB$1</formula>
    </cfRule>
  </conditionalFormatting>
  <conditionalFormatting sqref="B30">
    <cfRule type="cellIs" dxfId="43" priority="3" stopIfTrue="1" operator="equal">
      <formula>$AB$1</formula>
    </cfRule>
  </conditionalFormatting>
  <conditionalFormatting sqref="B31">
    <cfRule type="cellIs" dxfId="42" priority="2" stopIfTrue="1" operator="equal">
      <formula>$AB$1</formula>
    </cfRule>
  </conditionalFormatting>
  <conditionalFormatting sqref="B32">
    <cfRule type="cellIs" dxfId="41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51" t="s">
        <v>386</v>
      </c>
    </row>
    <row r="2" spans="1:24" x14ac:dyDescent="0.2">
      <c r="A2" t="s">
        <v>377</v>
      </c>
      <c r="B2">
        <v>20</v>
      </c>
    </row>
    <row r="3" spans="1:24" x14ac:dyDescent="0.2">
      <c r="A3" t="s">
        <v>387</v>
      </c>
      <c r="B3">
        <v>10</v>
      </c>
    </row>
    <row r="4" spans="1:24" x14ac:dyDescent="0.2">
      <c r="A4" t="s">
        <v>388</v>
      </c>
      <c r="B4">
        <v>10</v>
      </c>
      <c r="C4">
        <v>22</v>
      </c>
    </row>
    <row r="5" spans="1:24" x14ac:dyDescent="0.2">
      <c r="A5" t="s">
        <v>389</v>
      </c>
      <c r="B5">
        <v>10</v>
      </c>
      <c r="C5">
        <v>18</v>
      </c>
      <c r="D5">
        <v>2</v>
      </c>
    </row>
    <row r="6" spans="1:24" x14ac:dyDescent="0.2">
      <c r="A6" s="351" t="s">
        <v>390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387</v>
      </c>
      <c r="C12" t="s">
        <v>388</v>
      </c>
      <c r="D12" t="s">
        <v>389</v>
      </c>
      <c r="E12" t="s">
        <v>390</v>
      </c>
      <c r="F12" t="s">
        <v>176</v>
      </c>
      <c r="G12" t="s">
        <v>178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436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310" customFormat="1" x14ac:dyDescent="0.2">
      <c r="A17" s="310" t="s">
        <v>367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179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934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387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388</v>
      </c>
      <c r="B20" s="12" t="s">
        <v>179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179</v>
      </c>
      <c r="O20" s="12"/>
      <c r="P20" s="12"/>
      <c r="Q20" s="12"/>
    </row>
    <row r="21" spans="1:24" x14ac:dyDescent="0.2">
      <c r="A21" t="s">
        <v>389</v>
      </c>
      <c r="B21" s="12" t="s">
        <v>179</v>
      </c>
      <c r="C21" s="12"/>
      <c r="D21" s="12"/>
      <c r="E21" s="12"/>
      <c r="F21" s="12"/>
      <c r="G21" s="12"/>
      <c r="H21" s="12"/>
      <c r="I21" s="12"/>
      <c r="J21" s="12" t="s">
        <v>179</v>
      </c>
      <c r="K21" s="12"/>
      <c r="L21" s="12"/>
      <c r="M21" s="12"/>
      <c r="N21" s="12"/>
      <c r="O21" s="12"/>
      <c r="P21" s="12"/>
      <c r="Q21" s="12"/>
      <c r="R21" t="s">
        <v>179</v>
      </c>
    </row>
    <row r="22" spans="1:24" x14ac:dyDescent="0.2">
      <c r="A22" t="s">
        <v>390</v>
      </c>
      <c r="B22" s="12"/>
      <c r="C22" s="12"/>
      <c r="D22" s="12" t="s">
        <v>179</v>
      </c>
      <c r="E22" s="12"/>
      <c r="F22" s="12"/>
      <c r="G22" s="12"/>
      <c r="H22" s="12"/>
      <c r="I22" s="12"/>
      <c r="J22" s="12" t="s">
        <v>179</v>
      </c>
      <c r="K22" s="12"/>
      <c r="L22" s="12"/>
      <c r="M22" s="12"/>
      <c r="N22" s="12"/>
      <c r="O22" s="12"/>
      <c r="P22" s="12" t="s">
        <v>179</v>
      </c>
      <c r="Q22" s="12"/>
      <c r="V22" t="s">
        <v>179</v>
      </c>
    </row>
    <row r="23" spans="1:24" x14ac:dyDescent="0.2">
      <c r="A23" t="s">
        <v>176</v>
      </c>
      <c r="B23" s="12" t="s">
        <v>179</v>
      </c>
      <c r="C23" s="12"/>
      <c r="D23" s="12"/>
      <c r="E23" s="12"/>
      <c r="F23" s="12" t="s">
        <v>179</v>
      </c>
      <c r="G23" s="12"/>
      <c r="H23" s="12"/>
      <c r="I23" s="12"/>
      <c r="J23" s="12" t="s">
        <v>179</v>
      </c>
      <c r="K23" s="12"/>
      <c r="L23" s="12"/>
      <c r="M23" s="12"/>
      <c r="N23" s="12" t="s">
        <v>179</v>
      </c>
      <c r="O23" s="12"/>
      <c r="P23" s="12"/>
      <c r="Q23" s="12"/>
      <c r="R23" t="s">
        <v>179</v>
      </c>
      <c r="V23" t="s">
        <v>179</v>
      </c>
    </row>
    <row r="24" spans="1:24" x14ac:dyDescent="0.2">
      <c r="A24" t="s">
        <v>177</v>
      </c>
      <c r="B24" s="12"/>
      <c r="C24" s="12" t="s">
        <v>179</v>
      </c>
      <c r="D24" s="12"/>
      <c r="E24" s="12"/>
      <c r="F24" s="12" t="s">
        <v>179</v>
      </c>
      <c r="G24" s="12"/>
      <c r="H24" s="12"/>
      <c r="I24" s="12" t="s">
        <v>179</v>
      </c>
      <c r="J24" s="12"/>
      <c r="K24" s="12"/>
      <c r="L24" s="12" t="s">
        <v>179</v>
      </c>
      <c r="M24" s="12"/>
      <c r="N24" s="12"/>
      <c r="O24" s="12" t="s">
        <v>179</v>
      </c>
      <c r="P24" s="12"/>
      <c r="Q24" s="12"/>
      <c r="R24" t="s">
        <v>179</v>
      </c>
      <c r="U24" t="s">
        <v>179</v>
      </c>
      <c r="X24" t="s">
        <v>179</v>
      </c>
    </row>
    <row r="25" spans="1:24" x14ac:dyDescent="0.2">
      <c r="A25" t="s">
        <v>178</v>
      </c>
      <c r="B25" s="12" t="s">
        <v>179</v>
      </c>
      <c r="C25" s="12"/>
      <c r="D25" s="12" t="s">
        <v>179</v>
      </c>
      <c r="E25" s="12"/>
      <c r="F25" s="12" t="s">
        <v>179</v>
      </c>
      <c r="G25" s="12"/>
      <c r="H25" s="12" t="s">
        <v>179</v>
      </c>
      <c r="I25" s="12"/>
      <c r="J25" s="12" t="s">
        <v>179</v>
      </c>
      <c r="K25" s="12"/>
      <c r="L25" s="12" t="s">
        <v>179</v>
      </c>
      <c r="M25" s="12"/>
      <c r="N25" s="12" t="s">
        <v>179</v>
      </c>
      <c r="O25" s="12"/>
      <c r="P25" s="12" t="s">
        <v>179</v>
      </c>
      <c r="Q25" s="12"/>
      <c r="R25" t="s">
        <v>179</v>
      </c>
      <c r="T25" t="s">
        <v>179</v>
      </c>
      <c r="V25" t="s">
        <v>179</v>
      </c>
      <c r="X25" t="s">
        <v>179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47</v>
      </c>
    </row>
    <row r="3" spans="1:8" x14ac:dyDescent="0.2">
      <c r="A3" s="6" t="s">
        <v>246</v>
      </c>
      <c r="B3" s="36">
        <f ca="1">TODAY()</f>
        <v>42755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55" t="s">
        <v>489</v>
      </c>
      <c r="B6" s="6">
        <f>__1_Bed</f>
        <v>0</v>
      </c>
      <c r="F6" s="44" t="s">
        <v>267</v>
      </c>
      <c r="G6" s="45" t="str">
        <f>_Pat_Gewicht/10&amp;" kg"</f>
        <v>1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80" t="s">
        <v>16</v>
      </c>
      <c r="B11" s="881"/>
      <c r="C11" s="881"/>
      <c r="D11" s="881"/>
      <c r="E11" s="881"/>
      <c r="F11" s="881"/>
      <c r="G11" s="881"/>
      <c r="H11" s="882"/>
    </row>
    <row r="12" spans="1:8" ht="25.5" x14ac:dyDescent="0.2">
      <c r="A12" s="25" t="s">
        <v>301</v>
      </c>
      <c r="B12" s="883" t="s">
        <v>166</v>
      </c>
      <c r="C12" s="885"/>
      <c r="D12" s="887" t="s">
        <v>167</v>
      </c>
      <c r="E12" s="887" t="s">
        <v>168</v>
      </c>
      <c r="F12" s="887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84"/>
      <c r="C13" s="886"/>
      <c r="D13" s="888"/>
      <c r="E13" s="888"/>
      <c r="F13" s="888"/>
      <c r="G13" s="26" t="s">
        <v>172</v>
      </c>
      <c r="H13" s="28" t="s">
        <v>173</v>
      </c>
    </row>
    <row r="14" spans="1:8" ht="20.100000000000001" customHeight="1" x14ac:dyDescent="0.2">
      <c r="A14" s="869" t="str">
        <f>IF(_Ped_TPN_Keuze&lt;&gt;1,ROUND(G21/24,1)&amp;"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870"/>
      <c r="B15" s="63" t="s">
        <v>397</v>
      </c>
      <c r="C15" s="64"/>
      <c r="D15" s="64" t="s">
        <v>43</v>
      </c>
      <c r="E15" s="64" t="s">
        <v>80</v>
      </c>
      <c r="F15" s="65" t="s">
        <v>80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398</v>
      </c>
      <c r="C16" s="64"/>
      <c r="D16" s="64" t="s">
        <v>175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296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399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83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873" t="s">
        <v>212</v>
      </c>
      <c r="F21" s="873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867" t="str">
        <f>IF(G26&gt;0,ROUND(G26/24,1)&amp;" ml/u","")</f>
        <v/>
      </c>
      <c r="B23" s="59" t="s">
        <v>192</v>
      </c>
      <c r="C23" s="60"/>
      <c r="D23" s="60" t="s">
        <v>379</v>
      </c>
      <c r="E23" s="60" t="s">
        <v>380</v>
      </c>
      <c r="F23" s="61" t="s">
        <v>175</v>
      </c>
      <c r="G23" s="62">
        <f>ROUND(PedBerTPN!F13,0)</f>
        <v>0</v>
      </c>
      <c r="H23" s="31"/>
    </row>
    <row r="24" spans="1:8" ht="20.100000000000001" customHeight="1" x14ac:dyDescent="0.2">
      <c r="A24" s="868"/>
      <c r="B24" s="63" t="s">
        <v>193</v>
      </c>
      <c r="C24" s="64"/>
      <c r="D24" s="64"/>
      <c r="E24" s="874" t="s">
        <v>284</v>
      </c>
      <c r="F24" s="875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874"/>
      <c r="F25" s="875"/>
      <c r="G25" s="66"/>
      <c r="H25" s="26"/>
    </row>
    <row r="26" spans="1:8" ht="15.95" customHeight="1" x14ac:dyDescent="0.2">
      <c r="A26" s="25"/>
      <c r="B26" s="52"/>
      <c r="C26" s="52"/>
      <c r="D26" s="52"/>
      <c r="E26" s="876" t="s">
        <v>212</v>
      </c>
      <c r="F26" s="876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871" t="s">
        <v>114</v>
      </c>
      <c r="C28" s="872"/>
      <c r="D28" s="872"/>
      <c r="E28" s="872"/>
      <c r="F28" s="872"/>
      <c r="G28" s="50"/>
      <c r="H28" s="33"/>
    </row>
    <row r="29" spans="1:8" ht="20.100000000000001" customHeight="1" x14ac:dyDescent="0.2">
      <c r="A29" s="867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868"/>
      <c r="B30" s="71" t="s">
        <v>400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419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420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296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401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876" t="s">
        <v>214</v>
      </c>
      <c r="F36" s="876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877" t="s">
        <v>238</v>
      </c>
      <c r="C38" s="878"/>
      <c r="D38" s="878"/>
      <c r="E38" s="878"/>
      <c r="F38" s="879"/>
      <c r="G38" s="33" t="s">
        <v>239</v>
      </c>
      <c r="H38" s="33"/>
    </row>
    <row r="39" spans="1:8" ht="15.95" customHeight="1" x14ac:dyDescent="0.2">
      <c r="A39" s="34"/>
      <c r="B39" s="864" t="s">
        <v>240</v>
      </c>
      <c r="C39" s="865"/>
      <c r="D39" s="865"/>
      <c r="E39" s="865"/>
      <c r="F39" s="866"/>
      <c r="G39" s="28" t="s">
        <v>241</v>
      </c>
      <c r="H39" s="26"/>
    </row>
    <row r="40" spans="1:8" ht="15.95" customHeight="1" x14ac:dyDescent="0.2">
      <c r="A40" s="34"/>
      <c r="B40" s="864" t="s">
        <v>242</v>
      </c>
      <c r="C40" s="865"/>
      <c r="D40" s="865"/>
      <c r="E40" s="865"/>
      <c r="F40" s="866"/>
      <c r="G40" s="28" t="s">
        <v>239</v>
      </c>
      <c r="H40" s="29"/>
    </row>
    <row r="42" spans="1:8" x14ac:dyDescent="0.2">
      <c r="A42" s="6" t="s">
        <v>243</v>
      </c>
    </row>
    <row r="43" spans="1:8" x14ac:dyDescent="0.2">
      <c r="A43" s="6" t="s">
        <v>213</v>
      </c>
    </row>
    <row r="45" spans="1:8" x14ac:dyDescent="0.2">
      <c r="A45" s="6" t="s">
        <v>244</v>
      </c>
    </row>
    <row r="47" spans="1:8" x14ac:dyDescent="0.2">
      <c r="A47" s="6" t="s">
        <v>79</v>
      </c>
    </row>
    <row r="49" spans="6:6" x14ac:dyDescent="0.2">
      <c r="F49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104</v>
      </c>
    </row>
    <row r="3" spans="1:8" x14ac:dyDescent="0.2">
      <c r="A3" s="6" t="s">
        <v>246</v>
      </c>
      <c r="B3" s="36">
        <f ca="1">TODAY()</f>
        <v>42755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55" t="s">
        <v>489</v>
      </c>
      <c r="B6" s="6">
        <f>__1_Bed</f>
        <v>0</v>
      </c>
      <c r="F6" s="44" t="s">
        <v>267</v>
      </c>
      <c r="G6" s="45" t="str">
        <f>_Pat_Gewicht/10&amp;" kg"</f>
        <v>1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80" t="s">
        <v>16</v>
      </c>
      <c r="B11" s="881"/>
      <c r="C11" s="881"/>
      <c r="D11" s="881"/>
      <c r="E11" s="881"/>
      <c r="F11" s="881"/>
      <c r="G11" s="881"/>
      <c r="H11" s="882"/>
    </row>
    <row r="12" spans="1:8" ht="25.5" x14ac:dyDescent="0.2">
      <c r="A12" s="25" t="s">
        <v>301</v>
      </c>
      <c r="B12" s="883" t="s">
        <v>166</v>
      </c>
      <c r="C12" s="885"/>
      <c r="D12" s="887" t="s">
        <v>167</v>
      </c>
      <c r="E12" s="887" t="s">
        <v>168</v>
      </c>
      <c r="F12" s="887" t="s">
        <v>169</v>
      </c>
      <c r="G12" s="26"/>
      <c r="H12" s="26" t="s">
        <v>170</v>
      </c>
    </row>
    <row r="13" spans="1:8" ht="15" customHeight="1" x14ac:dyDescent="0.2">
      <c r="A13" s="27" t="s">
        <v>171</v>
      </c>
      <c r="B13" s="884"/>
      <c r="C13" s="886"/>
      <c r="D13" s="888"/>
      <c r="E13" s="888"/>
      <c r="F13" s="888"/>
      <c r="G13" s="26" t="s">
        <v>172</v>
      </c>
      <c r="H13" s="28" t="s">
        <v>173</v>
      </c>
    </row>
    <row r="14" spans="1:8" ht="20.100000000000001" customHeight="1" x14ac:dyDescent="0.2">
      <c r="A14" s="869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70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403</v>
      </c>
      <c r="C16" s="64"/>
      <c r="D16" s="64" t="s">
        <v>380</v>
      </c>
      <c r="E16" s="64" t="s">
        <v>404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405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406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407</v>
      </c>
      <c r="C19" s="64"/>
      <c r="D19" s="64"/>
      <c r="E19" s="64"/>
      <c r="F19" s="65" t="s">
        <v>408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409</v>
      </c>
      <c r="C20" s="64"/>
      <c r="D20" s="64"/>
      <c r="E20" s="64"/>
      <c r="F20" s="65" t="s">
        <v>410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873" t="s">
        <v>212</v>
      </c>
      <c r="F22" s="873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867" t="str">
        <f>IF(G27&gt;0,ROUND(G27/24,1)&amp;"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68"/>
      <c r="B25" s="63" t="s">
        <v>193</v>
      </c>
      <c r="C25" s="64"/>
      <c r="D25" s="64"/>
      <c r="E25" s="891" t="s">
        <v>364</v>
      </c>
      <c r="F25" s="892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91" t="s">
        <v>364</v>
      </c>
      <c r="F26" s="892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873" t="s">
        <v>212</v>
      </c>
      <c r="F27" s="873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889" t="s">
        <v>114</v>
      </c>
      <c r="C29" s="890"/>
      <c r="D29" s="890"/>
      <c r="E29" s="890"/>
      <c r="F29" s="890"/>
      <c r="G29" s="50"/>
      <c r="H29" s="33"/>
    </row>
    <row r="30" spans="1:8" ht="20.100000000000001" customHeight="1" x14ac:dyDescent="0.2">
      <c r="A30" s="867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868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899" t="s">
        <v>401</v>
      </c>
      <c r="C36" s="900"/>
      <c r="D36" s="900"/>
      <c r="E36" s="900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899" t="s">
        <v>35</v>
      </c>
      <c r="C37" s="900"/>
      <c r="D37" s="900"/>
      <c r="E37" s="900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899" t="s">
        <v>36</v>
      </c>
      <c r="C38" s="900"/>
      <c r="D38" s="900"/>
      <c r="E38" s="900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873" t="s">
        <v>214</v>
      </c>
      <c r="F39" s="873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893" t="s">
        <v>238</v>
      </c>
      <c r="C41" s="894"/>
      <c r="D41" s="894"/>
      <c r="E41" s="894"/>
      <c r="F41" s="895"/>
      <c r="G41" s="33" t="s">
        <v>239</v>
      </c>
      <c r="H41" s="33"/>
    </row>
    <row r="42" spans="1:8" ht="15.95" customHeight="1" x14ac:dyDescent="0.2">
      <c r="A42" s="34"/>
      <c r="B42" s="896" t="s">
        <v>240</v>
      </c>
      <c r="C42" s="897"/>
      <c r="D42" s="897"/>
      <c r="E42" s="897"/>
      <c r="F42" s="898"/>
      <c r="G42" s="28" t="s">
        <v>241</v>
      </c>
      <c r="H42" s="26"/>
    </row>
    <row r="43" spans="1:8" ht="15.95" customHeight="1" x14ac:dyDescent="0.2">
      <c r="A43" s="34"/>
      <c r="B43" s="896" t="s">
        <v>242</v>
      </c>
      <c r="C43" s="897"/>
      <c r="D43" s="897"/>
      <c r="E43" s="897"/>
      <c r="F43" s="898"/>
      <c r="G43" s="28" t="s">
        <v>239</v>
      </c>
      <c r="H43" s="29"/>
    </row>
    <row r="45" spans="1:8" x14ac:dyDescent="0.2">
      <c r="A45" s="6" t="s">
        <v>243</v>
      </c>
    </row>
    <row r="46" spans="1:8" x14ac:dyDescent="0.2">
      <c r="A46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105</v>
      </c>
    </row>
    <row r="3" spans="1:8" x14ac:dyDescent="0.2">
      <c r="A3" s="6" t="s">
        <v>246</v>
      </c>
      <c r="B3" s="36">
        <f ca="1">TODAY()</f>
        <v>42755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4"/>
      <c r="F6" s="44" t="s">
        <v>267</v>
      </c>
      <c r="G6" s="45" t="str">
        <f>_Pat_Gewicht/10&amp;" kg"</f>
        <v>1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">
        <v>353</v>
      </c>
      <c r="C10" s="6">
        <f>PedBerTPN!F24</f>
        <v>0</v>
      </c>
      <c r="D10" s="6" t="s">
        <v>315</v>
      </c>
    </row>
    <row r="11" spans="1:8" ht="13.5" thickTop="1" x14ac:dyDescent="0.2">
      <c r="A11" s="880" t="s">
        <v>16</v>
      </c>
      <c r="B11" s="881"/>
      <c r="C11" s="881"/>
      <c r="D11" s="881"/>
      <c r="E11" s="881"/>
      <c r="F11" s="881"/>
      <c r="G11" s="881"/>
      <c r="H11" s="882"/>
    </row>
    <row r="12" spans="1:8" ht="25.5" x14ac:dyDescent="0.2">
      <c r="A12" s="25" t="s">
        <v>301</v>
      </c>
      <c r="B12" s="883" t="s">
        <v>166</v>
      </c>
      <c r="C12" s="885"/>
      <c r="D12" s="887" t="s">
        <v>167</v>
      </c>
      <c r="E12" s="887" t="s">
        <v>168</v>
      </c>
      <c r="F12" s="887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84"/>
      <c r="C13" s="886"/>
      <c r="D13" s="888"/>
      <c r="E13" s="888"/>
      <c r="F13" s="888"/>
      <c r="G13" s="26" t="s">
        <v>172</v>
      </c>
      <c r="H13" s="28" t="s">
        <v>173</v>
      </c>
    </row>
    <row r="14" spans="1:8" ht="20.100000000000001" customHeight="1" x14ac:dyDescent="0.2">
      <c r="A14" s="869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70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411</v>
      </c>
      <c r="C16" s="64"/>
      <c r="D16" s="64" t="s">
        <v>380</v>
      </c>
      <c r="E16" s="64" t="s">
        <v>175</v>
      </c>
      <c r="F16" s="65" t="s">
        <v>404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/>
      <c r="E17" s="891" t="s">
        <v>130</v>
      </c>
      <c r="F17" s="892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 t="s">
        <v>131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93</v>
      </c>
      <c r="C19" s="64"/>
      <c r="D19" s="64"/>
      <c r="E19" s="64" t="s">
        <v>132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210</v>
      </c>
      <c r="C20" s="64"/>
      <c r="D20" s="64"/>
      <c r="E20" s="64"/>
      <c r="F20" s="65" t="s">
        <v>133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76" t="s">
        <v>212</v>
      </c>
      <c r="F22" s="876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69" t="str">
        <f>IF(_Ped_TPN_Keuze&lt;&gt;1,ROUND(G27/24,1)&amp;"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70"/>
      <c r="B25" s="63" t="s">
        <v>193</v>
      </c>
      <c r="C25" s="64"/>
      <c r="D25" s="64"/>
      <c r="E25" s="891" t="s">
        <v>364</v>
      </c>
      <c r="F25" s="892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91" t="s">
        <v>364</v>
      </c>
      <c r="F26" s="892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76" t="s">
        <v>212</v>
      </c>
      <c r="F27" s="876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71" t="s">
        <v>114</v>
      </c>
      <c r="C29" s="872"/>
      <c r="D29" s="872"/>
      <c r="E29" s="872"/>
      <c r="F29" s="872"/>
      <c r="G29" s="50"/>
      <c r="H29" s="33"/>
    </row>
    <row r="30" spans="1:8" ht="20.100000000000001" customHeight="1" x14ac:dyDescent="0.2">
      <c r="A30" s="869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70"/>
      <c r="B31" s="71" t="s">
        <v>400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899" t="s">
        <v>35</v>
      </c>
      <c r="C36" s="900"/>
      <c r="D36" s="900"/>
      <c r="E36" s="900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99" t="s">
        <v>36</v>
      </c>
      <c r="C37" s="900"/>
      <c r="D37" s="900"/>
      <c r="E37" s="900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876" t="s">
        <v>214</v>
      </c>
      <c r="F38" s="876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877" t="s">
        <v>238</v>
      </c>
      <c r="C40" s="878"/>
      <c r="D40" s="878"/>
      <c r="E40" s="878"/>
      <c r="F40" s="879"/>
      <c r="G40" s="33" t="s">
        <v>239</v>
      </c>
      <c r="H40" s="33"/>
    </row>
    <row r="41" spans="1:8" ht="15.95" customHeight="1" x14ac:dyDescent="0.2">
      <c r="A41" s="34"/>
      <c r="B41" s="864" t="s">
        <v>240</v>
      </c>
      <c r="C41" s="865"/>
      <c r="D41" s="865"/>
      <c r="E41" s="865"/>
      <c r="F41" s="866"/>
      <c r="G41" s="28" t="s">
        <v>241</v>
      </c>
      <c r="H41" s="26"/>
    </row>
    <row r="42" spans="1:8" ht="15.95" customHeight="1" x14ac:dyDescent="0.2">
      <c r="A42" s="34"/>
      <c r="B42" s="864" t="s">
        <v>242</v>
      </c>
      <c r="C42" s="865"/>
      <c r="D42" s="865"/>
      <c r="E42" s="865"/>
      <c r="F42" s="866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6" spans="1:8" x14ac:dyDescent="0.2">
      <c r="A46" s="6" t="s">
        <v>244</v>
      </c>
    </row>
    <row r="48" spans="1:8" x14ac:dyDescent="0.2">
      <c r="A48" s="6" t="s">
        <v>79</v>
      </c>
    </row>
    <row r="50" spans="6:6" x14ac:dyDescent="0.2">
      <c r="F50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106</v>
      </c>
    </row>
    <row r="3" spans="1:8" x14ac:dyDescent="0.2">
      <c r="A3" s="6" t="s">
        <v>246</v>
      </c>
      <c r="B3" s="36">
        <f ca="1">TODAY()</f>
        <v>42755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4"/>
      <c r="F6" s="44" t="s">
        <v>267</v>
      </c>
      <c r="G6" s="45" t="str">
        <f>_Pat_Gewicht/10&amp;" kg"</f>
        <v>1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">
        <v>352</v>
      </c>
      <c r="C9" s="6">
        <f>PedBerTPN!F24</f>
        <v>0</v>
      </c>
      <c r="D9" s="6" t="s">
        <v>315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25" t="s">
        <v>301</v>
      </c>
      <c r="B11" s="883" t="s">
        <v>166</v>
      </c>
      <c r="C11" s="885"/>
      <c r="D11" s="887" t="s">
        <v>167</v>
      </c>
      <c r="E11" s="887" t="s">
        <v>168</v>
      </c>
      <c r="F11" s="887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84"/>
      <c r="C12" s="886"/>
      <c r="D12" s="888"/>
      <c r="E12" s="888"/>
      <c r="F12" s="888"/>
      <c r="G12" s="26" t="s">
        <v>172</v>
      </c>
      <c r="H12" s="28" t="s">
        <v>173</v>
      </c>
    </row>
    <row r="13" spans="1:8" ht="20.100000000000001" customHeight="1" x14ac:dyDescent="0.2">
      <c r="A13" s="869" t="str">
        <f>IF(G22&lt;&gt;0,ROUND(G22/24,1)&amp;" ml/u","")</f>
        <v/>
      </c>
      <c r="B13" s="59" t="s">
        <v>34</v>
      </c>
      <c r="C13" s="60"/>
      <c r="D13" s="60" t="s">
        <v>174</v>
      </c>
      <c r="E13" s="60" t="s">
        <v>174</v>
      </c>
      <c r="F13" s="61" t="s">
        <v>174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870"/>
      <c r="B14" s="63" t="s">
        <v>397</v>
      </c>
      <c r="C14" s="64"/>
      <c r="D14" s="64" t="s">
        <v>402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134</v>
      </c>
      <c r="C15" s="64"/>
      <c r="D15" s="64" t="s">
        <v>379</v>
      </c>
      <c r="E15" s="64" t="s">
        <v>135</v>
      </c>
      <c r="F15" s="65" t="s">
        <v>140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303</v>
      </c>
      <c r="C16" s="64"/>
      <c r="D16" s="64"/>
      <c r="E16" s="891" t="s">
        <v>130</v>
      </c>
      <c r="F16" s="892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136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137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138</v>
      </c>
      <c r="C19" s="64" t="s">
        <v>230</v>
      </c>
      <c r="D19" s="64"/>
      <c r="E19" s="64"/>
      <c r="F19" s="65" t="s">
        <v>410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139</v>
      </c>
      <c r="C20" s="64"/>
      <c r="D20" s="64"/>
      <c r="E20" s="64"/>
      <c r="F20" s="65" t="s">
        <v>404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76" t="s">
        <v>212</v>
      </c>
      <c r="F22" s="876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69" t="str">
        <f>IF(G27&lt;&gt;0,ROUND(G27/24,1)&amp;" ml/u","")</f>
        <v/>
      </c>
      <c r="B24" s="59" t="s">
        <v>192</v>
      </c>
      <c r="C24" s="60"/>
      <c r="D24" s="60" t="s">
        <v>351</v>
      </c>
      <c r="E24" s="60" t="s">
        <v>174</v>
      </c>
      <c r="F24" s="61" t="s">
        <v>380</v>
      </c>
      <c r="G24" s="62">
        <f>ROUND(PedBerTPN!F13,0)</f>
        <v>0</v>
      </c>
      <c r="H24" s="31"/>
    </row>
    <row r="25" spans="1:8" ht="20.100000000000001" customHeight="1" x14ac:dyDescent="0.2">
      <c r="A25" s="870"/>
      <c r="B25" s="63" t="s">
        <v>193</v>
      </c>
      <c r="C25" s="64"/>
      <c r="D25" s="64"/>
      <c r="E25" s="891" t="s">
        <v>364</v>
      </c>
      <c r="F25" s="892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91" t="s">
        <v>364</v>
      </c>
      <c r="F26" s="892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76" t="s">
        <v>212</v>
      </c>
      <c r="F27" s="876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89" t="s">
        <v>114</v>
      </c>
      <c r="C29" s="890"/>
      <c r="D29" s="890"/>
      <c r="E29" s="890"/>
      <c r="F29" s="890"/>
      <c r="G29" s="50"/>
      <c r="H29" s="33"/>
    </row>
    <row r="30" spans="1:8" ht="20.100000000000001" customHeight="1" x14ac:dyDescent="0.2">
      <c r="A30" s="869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70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899" t="s">
        <v>35</v>
      </c>
      <c r="C36" s="900"/>
      <c r="D36" s="900"/>
      <c r="E36" s="900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99" t="s">
        <v>36</v>
      </c>
      <c r="C37" s="900"/>
      <c r="D37" s="900"/>
      <c r="E37" s="900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873" t="s">
        <v>214</v>
      </c>
      <c r="F38" s="873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877" t="s">
        <v>238</v>
      </c>
      <c r="C40" s="878"/>
      <c r="D40" s="878"/>
      <c r="E40" s="878"/>
      <c r="F40" s="879"/>
      <c r="G40" s="33" t="s">
        <v>239</v>
      </c>
      <c r="H40" s="33"/>
    </row>
    <row r="41" spans="1:8" ht="15.95" customHeight="1" x14ac:dyDescent="0.2">
      <c r="A41" s="34"/>
      <c r="B41" s="864" t="s">
        <v>240</v>
      </c>
      <c r="C41" s="865"/>
      <c r="D41" s="865"/>
      <c r="E41" s="865"/>
      <c r="F41" s="866"/>
      <c r="G41" s="28" t="s">
        <v>241</v>
      </c>
      <c r="H41" s="26"/>
    </row>
    <row r="42" spans="1:8" ht="15.95" customHeight="1" x14ac:dyDescent="0.2">
      <c r="A42" s="34"/>
      <c r="B42" s="864" t="s">
        <v>242</v>
      </c>
      <c r="C42" s="865"/>
      <c r="D42" s="865"/>
      <c r="E42" s="865"/>
      <c r="F42" s="866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4" t="s">
        <v>245</v>
      </c>
      <c r="F1" s="1" t="s">
        <v>378</v>
      </c>
    </row>
    <row r="3" spans="1:8" x14ac:dyDescent="0.2">
      <c r="A3" s="6" t="s">
        <v>246</v>
      </c>
      <c r="B3" s="36">
        <f ca="1">TODAY()</f>
        <v>42755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4"/>
      <c r="F6" s="44" t="s">
        <v>267</v>
      </c>
      <c r="G6" s="45" t="str">
        <f>_Pat_Gewicht/10&amp;" kg"</f>
        <v>1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315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25" t="s">
        <v>301</v>
      </c>
      <c r="B11" s="883" t="s">
        <v>166</v>
      </c>
      <c r="C11" s="885"/>
      <c r="D11" s="887" t="s">
        <v>167</v>
      </c>
      <c r="E11" s="887" t="s">
        <v>168</v>
      </c>
      <c r="F11" s="887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84"/>
      <c r="C12" s="886"/>
      <c r="D12" s="888"/>
      <c r="E12" s="888"/>
      <c r="F12" s="888"/>
      <c r="G12" s="26" t="s">
        <v>172</v>
      </c>
      <c r="H12" s="28" t="s">
        <v>173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70</v>
      </c>
      <c r="C13" s="64"/>
      <c r="D13" s="64" t="s">
        <v>71</v>
      </c>
      <c r="E13" s="64" t="s">
        <v>72</v>
      </c>
      <c r="F13" s="65" t="s">
        <v>73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214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303</v>
      </c>
      <c r="C17" s="64"/>
      <c r="D17" s="64"/>
      <c r="E17" s="60"/>
      <c r="F17" s="61" t="s">
        <v>175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/>
      <c r="E18" s="64"/>
      <c r="F18" s="65" t="s">
        <v>69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876" t="s">
        <v>212</v>
      </c>
      <c r="F19" s="876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192</v>
      </c>
      <c r="C21" s="60"/>
      <c r="D21" s="60" t="s">
        <v>74</v>
      </c>
      <c r="E21" s="60" t="s">
        <v>75</v>
      </c>
      <c r="F21" s="61" t="s">
        <v>76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193</v>
      </c>
      <c r="C22" s="64"/>
      <c r="D22" s="64"/>
      <c r="E22" s="60"/>
      <c r="F22" s="61" t="s">
        <v>77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209</v>
      </c>
      <c r="C23" s="64"/>
      <c r="D23" s="64"/>
      <c r="E23" s="60"/>
      <c r="F23" s="61" t="s">
        <v>77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876" t="s">
        <v>212</v>
      </c>
      <c r="F24" s="876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889" t="s">
        <v>114</v>
      </c>
      <c r="C26" s="890"/>
      <c r="D26" s="890"/>
      <c r="E26" s="890"/>
      <c r="F26" s="890"/>
      <c r="G26" s="50"/>
      <c r="H26" s="33"/>
    </row>
    <row r="27" spans="1:8" ht="20.100000000000001" customHeight="1" x14ac:dyDescent="0.2">
      <c r="A27" s="869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870"/>
      <c r="B28" s="71" t="s">
        <v>400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419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420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296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899" t="s">
        <v>35</v>
      </c>
      <c r="C33" s="900"/>
      <c r="D33" s="900"/>
      <c r="E33" s="900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899" t="s">
        <v>36</v>
      </c>
      <c r="C34" s="900"/>
      <c r="D34" s="900"/>
      <c r="E34" s="900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873" t="s">
        <v>214</v>
      </c>
      <c r="F35" s="873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877" t="s">
        <v>238</v>
      </c>
      <c r="C37" s="878"/>
      <c r="D37" s="878"/>
      <c r="E37" s="878"/>
      <c r="F37" s="879"/>
      <c r="G37" s="33" t="s">
        <v>239</v>
      </c>
      <c r="H37" s="33"/>
    </row>
    <row r="38" spans="1:8" ht="20.100000000000001" customHeight="1" x14ac:dyDescent="0.2">
      <c r="A38" s="34"/>
      <c r="B38" s="864" t="s">
        <v>240</v>
      </c>
      <c r="C38" s="865"/>
      <c r="D38" s="865"/>
      <c r="E38" s="865"/>
      <c r="F38" s="866"/>
      <c r="G38" s="28" t="s">
        <v>241</v>
      </c>
      <c r="H38" s="26"/>
    </row>
    <row r="39" spans="1:8" ht="20.100000000000001" customHeight="1" x14ac:dyDescent="0.2">
      <c r="A39" s="34"/>
      <c r="B39" s="864" t="s">
        <v>242</v>
      </c>
      <c r="C39" s="865"/>
      <c r="D39" s="865"/>
      <c r="E39" s="865"/>
      <c r="F39" s="866"/>
      <c r="G39" s="28" t="s">
        <v>239</v>
      </c>
      <c r="H39" s="29"/>
    </row>
    <row r="40" spans="1:8" ht="20.100000000000001" customHeight="1" x14ac:dyDescent="0.2"/>
    <row r="41" spans="1:8" ht="15.95" customHeight="1" x14ac:dyDescent="0.2">
      <c r="A41" s="6" t="s">
        <v>243</v>
      </c>
    </row>
    <row r="42" spans="1:8" ht="10.5" customHeight="1" x14ac:dyDescent="0.2">
      <c r="A42" s="6" t="s">
        <v>213</v>
      </c>
    </row>
    <row r="43" spans="1:8" ht="15.95" customHeight="1" x14ac:dyDescent="0.2"/>
    <row r="44" spans="1:8" ht="15.95" customHeight="1" x14ac:dyDescent="0.2">
      <c r="A44" s="6" t="s">
        <v>244</v>
      </c>
    </row>
    <row r="45" spans="1:8" ht="15.95" customHeight="1" x14ac:dyDescent="0.2"/>
    <row r="46" spans="1:8" x14ac:dyDescent="0.2">
      <c r="A46" s="6" t="s">
        <v>79</v>
      </c>
    </row>
    <row r="48" spans="1:8" x14ac:dyDescent="0.2">
      <c r="F48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711" customWidth="1"/>
    <col min="3" max="3" width="3.7109375" style="710" customWidth="1"/>
    <col min="4" max="17" width="12.7109375" style="710" customWidth="1"/>
    <col min="18" max="21" width="12.42578125" style="710" customWidth="1"/>
    <col min="22" max="16384" width="9.140625" style="710"/>
  </cols>
  <sheetData>
    <row r="1" spans="1:18" ht="20.100000000000001" customHeight="1" x14ac:dyDescent="0.2">
      <c r="C1" s="709"/>
      <c r="D1" s="718" t="str">
        <f>IF(G59&lt;0,"Te weinig volume voor TPN!","")</f>
        <v/>
      </c>
    </row>
    <row r="2" spans="1:18" ht="20.100000000000001" customHeight="1" x14ac:dyDescent="0.2">
      <c r="C2" s="719"/>
      <c r="D2" s="719" t="s">
        <v>348</v>
      </c>
      <c r="E2" s="719" t="s">
        <v>528</v>
      </c>
      <c r="F2" s="719" t="s">
        <v>529</v>
      </c>
      <c r="G2" s="719" t="s">
        <v>111</v>
      </c>
      <c r="H2" s="719" t="s">
        <v>115</v>
      </c>
      <c r="I2" s="719"/>
      <c r="J2" s="719" t="s">
        <v>528</v>
      </c>
      <c r="K2" s="719" t="s">
        <v>529</v>
      </c>
      <c r="L2" s="719" t="s">
        <v>111</v>
      </c>
      <c r="M2" s="719" t="s">
        <v>115</v>
      </c>
      <c r="N2" s="719"/>
      <c r="O2" s="719" t="s">
        <v>528</v>
      </c>
      <c r="P2" s="719" t="s">
        <v>529</v>
      </c>
      <c r="Q2" s="719" t="s">
        <v>111</v>
      </c>
      <c r="R2" s="719" t="s">
        <v>115</v>
      </c>
    </row>
    <row r="3" spans="1:18" ht="20.100000000000001" customHeight="1" x14ac:dyDescent="0.2">
      <c r="C3" s="719"/>
      <c r="D3" s="719" t="s">
        <v>304</v>
      </c>
      <c r="E3" s="720" t="str">
        <f ca="1">ROUND(NeoBerInfB!Y53/(_Pat_Gewicht/10),0)&amp;" ml/kg"</f>
        <v>50 ml/kg</v>
      </c>
      <c r="F3" s="720" t="str">
        <f>ROUND(NeoBerInfB!Y52/(_Pat_Gewicht/10),0)&amp;" ml/kg"</f>
        <v>0 ml/kg</v>
      </c>
      <c r="G3" s="720" t="str">
        <f ca="1">ROUND(NeoBerInfB!Y54/(_Pat_Gewicht/10),0)&amp;" ml/kg  "&amp;"= "&amp;ROUND(NeoBerInfB!Y54,0)&amp;" ml"</f>
        <v>50 ml/kg  = 50 ml</v>
      </c>
      <c r="H3" s="719"/>
      <c r="I3" s="719" t="s">
        <v>164</v>
      </c>
      <c r="J3" s="720" t="str">
        <f ca="1">ROUND(NeoBerInfB!Z53/(_Pat_Gewicht/10),1)&amp;" mmol/kg"</f>
        <v>6 mmol/kg</v>
      </c>
      <c r="K3" s="720" t="str">
        <f>ROUND(NeoBerInfB!Z52/(_Pat_Gewicht/10),1)&amp;" mmol/kg"</f>
        <v>0 mmol/kg</v>
      </c>
      <c r="L3" s="720" t="str">
        <f ca="1">ROUND(NeoBerInfB!Z54/(_Pat_Gewicht/10),1)&amp;" mmol/kg"</f>
        <v>6 mmol/kg</v>
      </c>
      <c r="M3" s="714"/>
      <c r="N3" s="719" t="s">
        <v>531</v>
      </c>
      <c r="O3" s="720" t="str">
        <f ca="1">ROUND(NeoBerInfB!AI53/(_Pat_Gewicht/10),1)&amp;" mmol/kg"</f>
        <v>6 mmol/kg</v>
      </c>
      <c r="P3" s="720" t="str">
        <f>ROUND(NeoBerInfB!AI52/(_Pat_Gewicht/10),1)&amp;" mmol/kg"</f>
        <v>0 mmol/kg</v>
      </c>
      <c r="Q3" s="720" t="str">
        <f ca="1">ROUND(NeoBerInfB!AI54/(_Pat_Gewicht/10),1)&amp;" mmol/kg"</f>
        <v>6 mmol/kg</v>
      </c>
      <c r="R3" s="719"/>
    </row>
    <row r="4" spans="1:18" ht="20.100000000000001" customHeight="1" x14ac:dyDescent="0.2">
      <c r="C4" s="719"/>
      <c r="D4" s="719" t="s">
        <v>216</v>
      </c>
      <c r="E4" s="720" t="str">
        <f ca="1">ROUND(NeoBerInfB!AE53/(_Pat_Gewicht/10),1)&amp;" g/kg"</f>
        <v>0 g/kg</v>
      </c>
      <c r="F4" s="720" t="str">
        <f>ROUND(NeoBerInfB!AE52/(_Pat_Gewicht/10),1)&amp;" g/kg"</f>
        <v>0 g/kg</v>
      </c>
      <c r="G4" s="720" t="str">
        <f ca="1">ROUND(NeoBerInfB!AE54/(_Pat_Gewicht/10),1)&amp;" g/kg"</f>
        <v>0 g/kg</v>
      </c>
      <c r="H4" s="719"/>
      <c r="I4" s="719" t="s">
        <v>272</v>
      </c>
      <c r="J4" s="720" t="str">
        <f ca="1">ROUND(NeoBerInfB!AA53/(_Pat_Gewicht/10),1)&amp;" mmol/kg"</f>
        <v>0 mmol/kg</v>
      </c>
      <c r="K4" s="720" t="str">
        <f>ROUND(NeoBerInfB!AA52/(_Pat_Gewicht/10),1)&amp;" mmol/kg"</f>
        <v>0 mmol/kg</v>
      </c>
      <c r="L4" s="720" t="str">
        <f ca="1">ROUND(NeoBerInfB!AA54/(_Pat_Gewicht/10),1)&amp;" mmol/kg"</f>
        <v>0 mmol/kg</v>
      </c>
      <c r="M4" s="714"/>
      <c r="N4" s="719" t="s">
        <v>219</v>
      </c>
      <c r="O4" s="720" t="str">
        <f ca="1">ROUND(NeoBerInfB!AD53/(_Pat_Gewicht/10),1)&amp;" mmol/kg"</f>
        <v>0 mmol/kg</v>
      </c>
      <c r="P4" s="720" t="str">
        <f>ROUND(NeoBerInfB!AD52/(_Pat_Gewicht/10),1)&amp;" mmol/kg"</f>
        <v>0 mmol/kg</v>
      </c>
      <c r="Q4" s="720" t="str">
        <f ca="1">ROUND(NeoBerInfB!AD54/(_Pat_Gewicht/10),1)&amp;" mmol/kg"</f>
        <v>0 mmol/kg</v>
      </c>
      <c r="R4" s="719"/>
    </row>
    <row r="5" spans="1:18" ht="20.100000000000001" customHeight="1" x14ac:dyDescent="0.2">
      <c r="C5" s="719"/>
      <c r="D5" s="719" t="s">
        <v>217</v>
      </c>
      <c r="E5" s="720" t="str">
        <f ca="1">ROUND(NeoBerInfB!AG53/(_Pat_Gewicht/10),1)&amp;" g/kg"</f>
        <v>0 g/kg</v>
      </c>
      <c r="F5" s="720" t="str">
        <f>ROUND(NeoBerInfB!AG52/(_Pat_Gewicht/10),1)&amp;" g/kg"</f>
        <v>0 g/kg</v>
      </c>
      <c r="G5" s="720" t="str">
        <f ca="1">ROUND(NeoBerInfB!AG54/(_Pat_Gewicht/10),1)&amp;" g/kg"</f>
        <v>0 g/kg</v>
      </c>
      <c r="H5" s="719"/>
      <c r="I5" s="719" t="s">
        <v>218</v>
      </c>
      <c r="J5" s="720" t="str">
        <f ca="1">ROUND(NeoBerInfB!AB53/(_Pat_Gewicht/10),1)&amp;" mmol/kg"</f>
        <v>0 mmol/kg</v>
      </c>
      <c r="K5" s="720" t="str">
        <f>ROUND(NeoBerInfB!AB52/(_Pat_Gewicht/10),1)&amp;" mmol/kg"</f>
        <v>0 mmol/kg</v>
      </c>
      <c r="L5" s="720" t="str">
        <f ca="1">ROUND(NeoBerInfB!AB54/(_Pat_Gewicht/10),1)&amp;" mmol/kg"</f>
        <v>0 mmol/kg</v>
      </c>
      <c r="M5" s="714"/>
      <c r="N5" s="719" t="s">
        <v>532</v>
      </c>
      <c r="O5" s="720" t="str">
        <f ca="1">ROUND(NeoBerInfB!AJ53,0)&amp; " IE"</f>
        <v>0 IE</v>
      </c>
      <c r="P5" s="720" t="str">
        <f>ROUND(NeoBerInfB!AJ52,0)&amp; " IE"</f>
        <v>0 IE</v>
      </c>
      <c r="Q5" s="720" t="str">
        <f ca="1">ROUND(NeoBerInfB!AJ54,0)&amp; " IE"</f>
        <v>0 IE</v>
      </c>
      <c r="R5" s="719"/>
    </row>
    <row r="6" spans="1:18" ht="20.100000000000001" customHeight="1" x14ac:dyDescent="0.2">
      <c r="C6" s="721"/>
      <c r="D6" s="719" t="s">
        <v>530</v>
      </c>
      <c r="E6" s="720" t="str">
        <f ca="1">ROUND(1000*NeoBerInfB!AF53/(_Pat_Gewicht/10)/1440,1)&amp;" mg/kg/min"</f>
        <v>0 mg/kg/min</v>
      </c>
      <c r="F6" s="720" t="str">
        <f>ROUND(1000*NeoBerInfB!AF52/(_Pat_Gewicht/10)/1440,1)&amp;" mg/kg/min"</f>
        <v>0 mg/kg/min</v>
      </c>
      <c r="G6" s="720" t="str">
        <f ca="1">ROUND(1000*NeoBerInfB!AF54/(_Pat_Gewicht/10)/1440,1)&amp;" mg/kg/min"</f>
        <v>0 mg/kg/min</v>
      </c>
      <c r="H6" s="719"/>
      <c r="I6" s="719" t="s">
        <v>309</v>
      </c>
      <c r="J6" s="720" t="str">
        <f ca="1">ROUND(NeoBerInfB!AC53/(_Pat_Gewicht/10),1)&amp;" mmol/kg"</f>
        <v>0 mmol/kg</v>
      </c>
      <c r="K6" s="720" t="str">
        <f>ROUND(NeoBerInfB!AC52/(_Pat_Gewicht/10),1)&amp;" mmol/kg"</f>
        <v>0 mmol/kg</v>
      </c>
      <c r="L6" s="720" t="str">
        <f ca="1">ROUND(NeoBerInfB!AC54/(_Pat_Gewicht/10),1)&amp;" mmol/kg"</f>
        <v>0 mmol/kg</v>
      </c>
      <c r="M6" s="714"/>
      <c r="N6" s="715" t="s">
        <v>851</v>
      </c>
      <c r="O6" s="714"/>
      <c r="P6" s="719"/>
      <c r="Q6" s="719"/>
      <c r="R6" s="719"/>
    </row>
    <row r="7" spans="1:18" ht="20.100000000000001" customHeight="1" x14ac:dyDescent="0.2">
      <c r="C7" s="719"/>
      <c r="D7" s="719" t="s">
        <v>523</v>
      </c>
      <c r="E7" s="720" t="str">
        <f ca="1">ROUND(NeoBerInfB!AH53/(_Pat_Gewicht/10),1)&amp; " kcal/kg"</f>
        <v>0 kcal/kg</v>
      </c>
      <c r="F7" s="720" t="str">
        <f>ROUND(NeoBerInfB!AH52/(_Pat_Gewicht/10),1)&amp; " kcal/kg"</f>
        <v>0 kcal/kg</v>
      </c>
      <c r="G7" s="720" t="str">
        <f ca="1">ROUND(NeoBerInfB!AH54/(_Pat_Gewicht/10),1)&amp; " kcal/kg"</f>
        <v>0 kcal/kg</v>
      </c>
      <c r="H7" s="719"/>
      <c r="I7" s="719"/>
      <c r="J7" s="719"/>
      <c r="K7" s="719"/>
      <c r="L7" s="719"/>
      <c r="M7" s="719"/>
      <c r="N7" s="719"/>
      <c r="O7" s="719"/>
      <c r="P7" s="719"/>
      <c r="Q7" s="719"/>
      <c r="R7" s="719"/>
    </row>
    <row r="8" spans="1:18" ht="8.1" customHeight="1" x14ac:dyDescent="0.2">
      <c r="C8" s="709"/>
      <c r="E8" s="722"/>
      <c r="F8" s="722"/>
      <c r="G8" s="722"/>
      <c r="J8" s="722"/>
      <c r="K8" s="722"/>
      <c r="L8" s="722"/>
    </row>
    <row r="9" spans="1:18" ht="20.100000000000001" customHeight="1" x14ac:dyDescent="0.2">
      <c r="C9" s="903" t="str">
        <f>NeoBerInfB!B3</f>
        <v>Actuele Afspraken</v>
      </c>
      <c r="D9" s="903"/>
      <c r="E9" s="903"/>
      <c r="F9" s="903"/>
      <c r="G9" s="903"/>
      <c r="H9" s="723"/>
      <c r="I9" s="723" t="s">
        <v>338</v>
      </c>
      <c r="J9" s="723"/>
      <c r="K9" s="723">
        <f>__0_PatNum</f>
        <v>0</v>
      </c>
      <c r="L9" s="723"/>
      <c r="M9" s="723"/>
      <c r="N9" s="723" t="s">
        <v>268</v>
      </c>
      <c r="O9" s="724" t="str">
        <f ca="1">IF(PatDetails!B18&lt;&gt;"",TRUNC((O12*7+Q12+NeoBerInfB!B4-1)/7)&amp;" weken en "&amp; O12*7+Q12+NeoBerInfB!B4-1-TRUNC((O12*7+Q12+NeoBerInfB!B4-1)/7)*7&amp;" dag(-en)","")</f>
        <v/>
      </c>
      <c r="P9" s="723"/>
      <c r="Q9" s="723"/>
      <c r="R9" s="723"/>
    </row>
    <row r="10" spans="1:18" ht="20.100000000000001" customHeight="1" x14ac:dyDescent="0.2">
      <c r="C10" s="903"/>
      <c r="D10" s="903"/>
      <c r="E10" s="903"/>
      <c r="F10" s="903"/>
      <c r="G10" s="903"/>
      <c r="H10" s="723"/>
      <c r="I10" s="723" t="s">
        <v>28</v>
      </c>
      <c r="J10" s="723"/>
      <c r="K10" s="725" t="str">
        <f>PatDetails!B21</f>
        <v/>
      </c>
      <c r="L10" s="713"/>
      <c r="M10" s="723"/>
      <c r="N10" s="723" t="s">
        <v>507</v>
      </c>
      <c r="O10" s="723" t="str">
        <f>IF(_Pat_Gewicht&gt;0,(_Pat_Gewicht/10)&amp;" kg","")</f>
        <v>1 kg</v>
      </c>
      <c r="P10" s="723"/>
      <c r="Q10" s="723"/>
      <c r="R10" s="723"/>
    </row>
    <row r="11" spans="1:18" ht="20.100000000000001" customHeight="1" x14ac:dyDescent="0.2">
      <c r="C11" s="903"/>
      <c r="D11" s="903"/>
      <c r="E11" s="903"/>
      <c r="F11" s="903"/>
      <c r="G11" s="903"/>
      <c r="H11" s="723"/>
      <c r="I11" s="723" t="s">
        <v>297</v>
      </c>
      <c r="J11" s="726">
        <f ca="1">TODAY()</f>
        <v>42755</v>
      </c>
      <c r="K11" s="723"/>
      <c r="L11" s="723"/>
      <c r="M11" s="723"/>
      <c r="N11" s="723" t="s">
        <v>533</v>
      </c>
      <c r="O11" s="723"/>
      <c r="P11" s="726">
        <f>__4_GebDatum</f>
        <v>1462</v>
      </c>
      <c r="Q11" s="727" t="str">
        <f ca="1">"=dag "&amp;NeoBerInfB!B4</f>
        <v>=dag 41294</v>
      </c>
      <c r="R11" s="723"/>
    </row>
    <row r="12" spans="1:18" ht="20.100000000000001" customHeight="1" x14ac:dyDescent="0.2">
      <c r="C12" s="903"/>
      <c r="D12" s="903"/>
      <c r="E12" s="903"/>
      <c r="F12" s="903"/>
      <c r="G12" s="903"/>
      <c r="H12" s="723"/>
      <c r="I12" s="723" t="s">
        <v>490</v>
      </c>
      <c r="J12" s="713">
        <f>__1_Bed</f>
        <v>0</v>
      </c>
      <c r="K12" s="723"/>
      <c r="L12" s="723"/>
      <c r="M12" s="723"/>
      <c r="N12" s="723" t="s">
        <v>493</v>
      </c>
      <c r="O12" s="728">
        <f>_Pat_GestWeken</f>
        <v>0</v>
      </c>
      <c r="P12" s="729" t="s">
        <v>534</v>
      </c>
      <c r="Q12" s="728">
        <f>_Pat_GestDagen</f>
        <v>0</v>
      </c>
      <c r="R12" s="729" t="s">
        <v>535</v>
      </c>
    </row>
    <row r="13" spans="1:18" ht="8.1" customHeight="1" x14ac:dyDescent="0.2"/>
    <row r="14" spans="1:18" ht="20.100000000000001" customHeight="1" thickBot="1" x14ac:dyDescent="0.25">
      <c r="C14" s="745" t="s">
        <v>4829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</row>
    <row r="15" spans="1:18" ht="20.100000000000001" customHeight="1" thickTop="1" thickBot="1" x14ac:dyDescent="0.25">
      <c r="A15" s="711" t="str">
        <f>NeoBerInfB!W7</f>
        <v/>
      </c>
      <c r="C15" s="731"/>
      <c r="D15" s="731" t="s">
        <v>537</v>
      </c>
      <c r="E15" s="731"/>
      <c r="F15" s="790">
        <f ca="1">NeoBerInfB!N7</f>
        <v>50.4</v>
      </c>
      <c r="G15" s="710" t="s">
        <v>538</v>
      </c>
      <c r="I15" s="732" t="s">
        <v>539</v>
      </c>
      <c r="L15" s="731" t="s">
        <v>536</v>
      </c>
      <c r="M15" s="708" t="str">
        <f ca="1">ROUND(NeoBerInfB!B7,0)&amp;" ml/ kg/ 24 uur"</f>
        <v>150 ml/ kg/ 24 uur</v>
      </c>
    </row>
    <row r="16" spans="1:18" ht="8.1" customHeight="1" thickTop="1" thickBot="1" x14ac:dyDescent="0.25">
      <c r="M16" s="708"/>
      <c r="N16" s="708"/>
    </row>
    <row r="17" spans="1:18" ht="20.100000000000001" customHeight="1" thickTop="1" thickBot="1" x14ac:dyDescent="0.25">
      <c r="A17" s="711" t="str">
        <f>NeoBerInfB!W9</f>
        <v/>
      </c>
      <c r="C17" s="737" t="s">
        <v>542</v>
      </c>
      <c r="D17" s="731"/>
      <c r="G17" s="731" t="s">
        <v>540</v>
      </c>
      <c r="H17" s="791" t="str">
        <f>IF(Var_Neo_InfB_Ent_Voeding&gt;1,NeoBerInfB!F9,"")</f>
        <v/>
      </c>
      <c r="I17" s="733" t="s">
        <v>541</v>
      </c>
      <c r="J17" s="793" t="str">
        <f>IF(Var_Neo_InfB_Ent_Voeding&gt;1,NeoBerInfB!C10/10&amp;" ml","")</f>
        <v/>
      </c>
      <c r="L17" s="731" t="s">
        <v>837</v>
      </c>
      <c r="M17" s="731"/>
      <c r="N17" s="731"/>
      <c r="P17" s="731" t="s">
        <v>838</v>
      </c>
      <c r="Q17" s="731"/>
      <c r="R17" s="731"/>
    </row>
    <row r="18" spans="1:18" ht="20.100000000000001" customHeight="1" thickTop="1" thickBot="1" x14ac:dyDescent="0.25">
      <c r="E18" s="711"/>
      <c r="G18" s="731" t="s">
        <v>543</v>
      </c>
      <c r="H18" s="792" t="str">
        <f>IF(Var_Neo_InfB_Ent_Voeding&gt;1,NeoBerInfB!F10,"")</f>
        <v/>
      </c>
      <c r="I18" s="733" t="s">
        <v>541</v>
      </c>
      <c r="J18" s="790" t="str">
        <f>IF(Var_Neo_InfB_Ent_Voeding&gt;1,NeoBerInfB!C9/10&amp;" ml","")</f>
        <v/>
      </c>
      <c r="L18" s="731" t="s">
        <v>849</v>
      </c>
      <c r="M18" s="731"/>
      <c r="N18" s="794" t="str">
        <f>NeoBerInfB!K11</f>
        <v/>
      </c>
    </row>
    <row r="19" spans="1:18" ht="20.100000000000001" customHeight="1" thickTop="1" thickBot="1" x14ac:dyDescent="0.25">
      <c r="E19" s="711"/>
      <c r="N19" s="794" t="str">
        <f>NeoBerInfB!K12</f>
        <v/>
      </c>
      <c r="R19" s="794" t="str">
        <f>NeoBerInfB!K16</f>
        <v/>
      </c>
    </row>
    <row r="20" spans="1:18" ht="20.100000000000001" customHeight="1" thickTop="1" thickBot="1" x14ac:dyDescent="0.25">
      <c r="N20" s="794" t="str">
        <f>NeoBerInfB!K13</f>
        <v/>
      </c>
      <c r="R20" s="794" t="str">
        <f>NeoBerInfB!K17</f>
        <v/>
      </c>
    </row>
    <row r="21" spans="1:18" ht="20.100000000000001" customHeight="1" thickTop="1" thickBot="1" x14ac:dyDescent="0.25">
      <c r="N21" s="794" t="str">
        <f>NeoBerInfB!K14</f>
        <v/>
      </c>
      <c r="R21" s="794" t="str">
        <f>NeoBerInfB!K18</f>
        <v/>
      </c>
    </row>
    <row r="22" spans="1:18" ht="20.100000000000001" customHeight="1" thickTop="1" thickBot="1" x14ac:dyDescent="0.25">
      <c r="F22" s="710" t="s">
        <v>544</v>
      </c>
      <c r="H22" s="710">
        <f ca="1">IF(NeoBerInfB!B21,NeoBerInfB!C21,NeoBerInfB!Y53)</f>
        <v>50.4</v>
      </c>
      <c r="I22" s="710" t="s">
        <v>545</v>
      </c>
      <c r="N22" s="795" t="str">
        <f>NeoBerInfB!K15</f>
        <v/>
      </c>
      <c r="R22" s="795" t="str">
        <f>NeoBerInfB!K19</f>
        <v/>
      </c>
    </row>
    <row r="23" spans="1:18" ht="8.1" customHeight="1" thickTop="1" x14ac:dyDescent="0.2">
      <c r="N23" s="735"/>
      <c r="R23" s="735"/>
    </row>
    <row r="24" spans="1:18" ht="20.100000000000001" customHeight="1" x14ac:dyDescent="0.2">
      <c r="C24" s="745" t="s">
        <v>4830</v>
      </c>
      <c r="D24" s="730"/>
      <c r="E24" s="730"/>
      <c r="F24" s="730"/>
      <c r="G24" s="730"/>
      <c r="H24" s="730"/>
      <c r="I24" s="730"/>
      <c r="J24" s="730"/>
      <c r="K24" s="730"/>
      <c r="L24" s="730"/>
      <c r="M24" s="730"/>
      <c r="N24" s="730"/>
      <c r="O24" s="730"/>
      <c r="P24" s="730"/>
      <c r="Q24" s="730"/>
      <c r="R24" s="730"/>
    </row>
    <row r="25" spans="1:18" ht="20.100000000000001" customHeight="1" thickBot="1" x14ac:dyDescent="0.25">
      <c r="C25" s="746"/>
      <c r="D25" s="746"/>
      <c r="E25" s="746"/>
      <c r="F25" s="746"/>
      <c r="G25" s="746"/>
      <c r="H25" s="746"/>
      <c r="I25" s="746"/>
      <c r="J25" s="746"/>
      <c r="K25" s="746"/>
      <c r="L25" s="731" t="s">
        <v>5133</v>
      </c>
      <c r="M25" s="731"/>
      <c r="N25" s="733" t="s">
        <v>497</v>
      </c>
      <c r="O25" s="731" t="s">
        <v>546</v>
      </c>
      <c r="P25" s="731"/>
      <c r="Q25" s="731"/>
      <c r="R25" s="731" t="s">
        <v>547</v>
      </c>
    </row>
    <row r="26" spans="1:18" ht="20.100000000000001" customHeight="1" thickTop="1" thickBot="1" x14ac:dyDescent="0.25">
      <c r="A26" s="711" t="str">
        <f>NeoBerInfB!W22</f>
        <v/>
      </c>
      <c r="C26" s="731"/>
      <c r="D26" s="731" t="s">
        <v>687</v>
      </c>
      <c r="E26" s="731"/>
      <c r="F26" s="731"/>
      <c r="G26" s="731"/>
      <c r="H26" s="746"/>
      <c r="I26" s="746"/>
      <c r="J26" s="746"/>
      <c r="K26" s="790" t="str">
        <f>NeoBerInfB!N22</f>
        <v/>
      </c>
    </row>
    <row r="27" spans="1:18" ht="7.5" customHeight="1" thickTop="1" thickBot="1" x14ac:dyDescent="0.25">
      <c r="C27" s="746"/>
      <c r="K27" s="708"/>
    </row>
    <row r="28" spans="1:18" ht="20.100000000000001" customHeight="1" thickTop="1" thickBot="1" x14ac:dyDescent="0.25">
      <c r="A28" s="747" t="str">
        <f>NeoBerInfB!W23</f>
        <v>verw</v>
      </c>
      <c r="B28" s="747" t="str">
        <f>NeoBerInfB!X23</f>
        <v>stand</v>
      </c>
      <c r="C28" s="731">
        <v>1</v>
      </c>
      <c r="G28" s="796" t="str">
        <f>NeoBerInfB!K23</f>
        <v>0,01 mg</v>
      </c>
      <c r="H28" s="797" t="str">
        <f>NeoBerInfB!L23</f>
        <v>12 ml</v>
      </c>
      <c r="K28" s="793" t="str">
        <f>NeoBerInfB!N23</f>
        <v>1,6 ml/uur</v>
      </c>
      <c r="L28" s="734">
        <f>IF(NeoBerInfB!G23&gt;0,NeoBerInfB!G23,"")</f>
        <v>1.33</v>
      </c>
      <c r="M28" s="734" t="str">
        <f>NeoBerInfB!O23</f>
        <v>microg/kg/uur</v>
      </c>
      <c r="O28" s="708" t="str">
        <f>NeoBerInfB!P23</f>
        <v>0,25-2 microg/kg/uur</v>
      </c>
      <c r="P28" s="708"/>
      <c r="Q28" s="736"/>
      <c r="R28" s="708" t="str">
        <f>NeoBerInfB!Q23</f>
        <v>8 uren</v>
      </c>
    </row>
    <row r="29" spans="1:18" ht="20.100000000000001" customHeight="1" thickTop="1" thickBot="1" x14ac:dyDescent="0.25">
      <c r="A29" s="747" t="str">
        <f>NeoBerInfB!W24</f>
        <v>verw</v>
      </c>
      <c r="B29" s="747" t="str">
        <f>NeoBerInfB!X24</f>
        <v/>
      </c>
      <c r="C29" s="731">
        <v>2</v>
      </c>
      <c r="G29" s="796" t="str">
        <f>NeoBerInfB!K24</f>
        <v>30 ml</v>
      </c>
      <c r="H29" s="797" t="str">
        <f>NeoBerInfB!L24</f>
        <v>12 ml</v>
      </c>
      <c r="K29" s="793" t="str">
        <f>NeoBerInfB!N24</f>
        <v>0,5 ml/uur</v>
      </c>
      <c r="L29" s="734">
        <f>IF(NeoBerInfB!G24&gt;0,NeoBerInfB!G24,"")</f>
        <v>1.25</v>
      </c>
      <c r="M29" s="734" t="str">
        <f>NeoBerInfB!O24</f>
        <v>ml/uur</v>
      </c>
      <c r="O29" s="708" t="str">
        <f>NeoBerInfB!P24</f>
        <v>N.B. Epiduraal, volgens voorschrift anesthesist!</v>
      </c>
      <c r="P29" s="708"/>
      <c r="Q29" s="736"/>
      <c r="R29" s="708" t="str">
        <f>NeoBerInfB!Q24</f>
        <v>24 uren</v>
      </c>
    </row>
    <row r="30" spans="1:18" ht="20.100000000000001" customHeight="1" thickTop="1" thickBot="1" x14ac:dyDescent="0.25">
      <c r="A30" s="747" t="str">
        <f>NeoBerInfB!W25</f>
        <v/>
      </c>
      <c r="B30" s="747" t="str">
        <f>NeoBerInfB!X25</f>
        <v/>
      </c>
      <c r="C30" s="731">
        <v>3</v>
      </c>
      <c r="G30" s="796" t="str">
        <f>NeoBerInfB!K25</f>
        <v/>
      </c>
      <c r="H30" s="797" t="str">
        <f>NeoBerInfB!L25</f>
        <v/>
      </c>
      <c r="K30" s="793" t="str">
        <f>NeoBerInfB!N25</f>
        <v/>
      </c>
      <c r="L30" s="734" t="str">
        <f>IF(NeoBerInfB!G25&gt;0,NeoBerInfB!G25,"")</f>
        <v/>
      </c>
      <c r="M30" s="734" t="str">
        <f>NeoBerInfB!O25</f>
        <v/>
      </c>
      <c r="O30" s="708" t="str">
        <f>NeoBerInfB!P25</f>
        <v/>
      </c>
      <c r="P30" s="708"/>
      <c r="Q30" s="736"/>
      <c r="R30" s="708" t="str">
        <f>NeoBerInfB!Q25</f>
        <v/>
      </c>
    </row>
    <row r="31" spans="1:18" ht="20.100000000000001" customHeight="1" thickTop="1" thickBot="1" x14ac:dyDescent="0.25">
      <c r="A31" s="747" t="str">
        <f>NeoBerInfB!W26</f>
        <v/>
      </c>
      <c r="B31" s="747" t="str">
        <f>NeoBerInfB!X26</f>
        <v/>
      </c>
      <c r="C31" s="731">
        <v>4</v>
      </c>
      <c r="G31" s="796" t="str">
        <f>NeoBerInfB!K26</f>
        <v/>
      </c>
      <c r="H31" s="797" t="str">
        <f>NeoBerInfB!L26</f>
        <v/>
      </c>
      <c r="K31" s="793" t="str">
        <f>NeoBerInfB!N26</f>
        <v/>
      </c>
      <c r="L31" s="734" t="str">
        <f>IF(NeoBerInfB!G26&gt;0,NeoBerInfB!G26,"")</f>
        <v/>
      </c>
      <c r="M31" s="734" t="str">
        <f>NeoBerInfB!O26</f>
        <v/>
      </c>
      <c r="O31" s="708" t="str">
        <f>NeoBerInfB!P26</f>
        <v/>
      </c>
      <c r="P31" s="708"/>
      <c r="Q31" s="736"/>
      <c r="R31" s="708" t="str">
        <f>NeoBerInfB!Q26</f>
        <v/>
      </c>
    </row>
    <row r="32" spans="1:18" ht="20.100000000000001" customHeight="1" thickTop="1" thickBot="1" x14ac:dyDescent="0.25">
      <c r="A32" s="747" t="str">
        <f>NeoBerInfB!W27</f>
        <v/>
      </c>
      <c r="B32" s="747" t="str">
        <f>NeoBerInfB!X27</f>
        <v/>
      </c>
      <c r="C32" s="731">
        <v>5</v>
      </c>
      <c r="G32" s="796" t="str">
        <f>NeoBerInfB!K27</f>
        <v/>
      </c>
      <c r="H32" s="797" t="str">
        <f>NeoBerInfB!L27</f>
        <v/>
      </c>
      <c r="K32" s="793" t="str">
        <f>NeoBerInfB!N27</f>
        <v/>
      </c>
      <c r="L32" s="734" t="str">
        <f>IF(NeoBerInfB!G27&gt;0,NeoBerInfB!G27,"")</f>
        <v/>
      </c>
      <c r="M32" s="734" t="str">
        <f>NeoBerInfB!O27</f>
        <v/>
      </c>
      <c r="O32" s="708" t="str">
        <f>NeoBerInfB!P27</f>
        <v/>
      </c>
      <c r="P32" s="708"/>
      <c r="Q32" s="736"/>
      <c r="R32" s="708" t="str">
        <f>NeoBerInfB!Q27</f>
        <v/>
      </c>
    </row>
    <row r="33" spans="1:18" ht="20.100000000000001" customHeight="1" thickTop="1" thickBot="1" x14ac:dyDescent="0.25">
      <c r="A33" s="747" t="str">
        <f>NeoBerInfB!W28</f>
        <v/>
      </c>
      <c r="B33" s="747" t="str">
        <f>NeoBerInfB!X28</f>
        <v/>
      </c>
      <c r="C33" s="731">
        <v>6</v>
      </c>
      <c r="G33" s="796" t="str">
        <f>NeoBerInfB!K28</f>
        <v/>
      </c>
      <c r="H33" s="797" t="str">
        <f>NeoBerInfB!L28</f>
        <v/>
      </c>
      <c r="K33" s="793" t="str">
        <f>NeoBerInfB!N28</f>
        <v/>
      </c>
      <c r="L33" s="734" t="str">
        <f>IF(NeoBerInfB!G28&gt;0,NeoBerInfB!G28,"")</f>
        <v/>
      </c>
      <c r="M33" s="734" t="str">
        <f>NeoBerInfB!O28</f>
        <v/>
      </c>
      <c r="O33" s="708" t="str">
        <f>NeoBerInfB!P28</f>
        <v/>
      </c>
      <c r="P33" s="708"/>
      <c r="Q33" s="736"/>
      <c r="R33" s="708" t="str">
        <f>NeoBerInfB!Q28</f>
        <v/>
      </c>
    </row>
    <row r="34" spans="1:18" ht="20.100000000000001" customHeight="1" thickTop="1" thickBot="1" x14ac:dyDescent="0.25">
      <c r="A34" s="747" t="str">
        <f>NeoBerInfB!W29</f>
        <v/>
      </c>
      <c r="B34" s="747" t="str">
        <f>NeoBerInfB!X29</f>
        <v/>
      </c>
      <c r="C34" s="731">
        <v>7</v>
      </c>
      <c r="G34" s="796" t="str">
        <f>NeoBerInfB!K29</f>
        <v/>
      </c>
      <c r="H34" s="797" t="str">
        <f>NeoBerInfB!L29</f>
        <v/>
      </c>
      <c r="K34" s="793" t="str">
        <f>NeoBerInfB!N29</f>
        <v/>
      </c>
      <c r="L34" s="734" t="str">
        <f>IF(NeoBerInfB!G29&gt;0,NeoBerInfB!G29,"")</f>
        <v/>
      </c>
      <c r="M34" s="734" t="str">
        <f>NeoBerInfB!O29</f>
        <v/>
      </c>
      <c r="O34" s="708" t="str">
        <f>NeoBerInfB!P29</f>
        <v/>
      </c>
      <c r="P34" s="708"/>
      <c r="Q34" s="736"/>
      <c r="R34" s="708" t="str">
        <f>NeoBerInfB!Q29</f>
        <v/>
      </c>
    </row>
    <row r="35" spans="1:18" ht="20.100000000000001" customHeight="1" thickTop="1" thickBot="1" x14ac:dyDescent="0.25">
      <c r="A35" s="747" t="str">
        <f>NeoBerInfB!W30</f>
        <v/>
      </c>
      <c r="B35" s="747" t="str">
        <f>NeoBerInfB!X30</f>
        <v/>
      </c>
      <c r="C35" s="731">
        <v>8</v>
      </c>
      <c r="G35" s="796" t="str">
        <f>NeoBerInfB!K30</f>
        <v/>
      </c>
      <c r="H35" s="797" t="str">
        <f>NeoBerInfB!L30</f>
        <v/>
      </c>
      <c r="K35" s="793" t="str">
        <f>NeoBerInfB!N30</f>
        <v/>
      </c>
      <c r="L35" s="734" t="str">
        <f>IF(NeoBerInfB!G30&gt;0,NeoBerInfB!G30,"")</f>
        <v/>
      </c>
      <c r="M35" s="734" t="str">
        <f>NeoBerInfB!O30</f>
        <v/>
      </c>
      <c r="O35" s="708" t="str">
        <f>NeoBerInfB!P30</f>
        <v/>
      </c>
      <c r="P35" s="708"/>
      <c r="Q35" s="736"/>
      <c r="R35" s="708" t="str">
        <f>NeoBerInfB!Q30</f>
        <v/>
      </c>
    </row>
    <row r="36" spans="1:18" ht="20.100000000000001" customHeight="1" thickTop="1" thickBot="1" x14ac:dyDescent="0.25">
      <c r="A36" s="747" t="str">
        <f>NeoBerInfB!W31</f>
        <v/>
      </c>
      <c r="B36" s="747" t="str">
        <f>NeoBerInfB!X31</f>
        <v/>
      </c>
      <c r="C36" s="731">
        <v>9</v>
      </c>
      <c r="G36" s="796" t="str">
        <f>NeoBerInfB!K31</f>
        <v/>
      </c>
      <c r="H36" s="797" t="str">
        <f>NeoBerInfB!L31</f>
        <v/>
      </c>
      <c r="K36" s="793" t="str">
        <f>NeoBerInfB!N31</f>
        <v/>
      </c>
      <c r="L36" s="734" t="str">
        <f>IF(NeoBerInfB!G31&gt;0,NeoBerInfB!G31,"")</f>
        <v/>
      </c>
      <c r="M36" s="734" t="str">
        <f>NeoBerInfB!O31</f>
        <v/>
      </c>
      <c r="O36" s="708" t="str">
        <f>NeoBerInfB!P31</f>
        <v/>
      </c>
      <c r="P36" s="708"/>
      <c r="Q36" s="736"/>
      <c r="R36" s="708" t="str">
        <f>NeoBerInfB!Q31</f>
        <v/>
      </c>
    </row>
    <row r="37" spans="1:18" ht="20.100000000000001" customHeight="1" thickTop="1" thickBot="1" x14ac:dyDescent="0.25">
      <c r="A37" s="747" t="str">
        <f>NeoBerInfB!W32</f>
        <v/>
      </c>
      <c r="B37" s="747" t="str">
        <f>NeoBerInfB!X32</f>
        <v/>
      </c>
      <c r="C37" s="731">
        <v>10</v>
      </c>
      <c r="G37" s="798" t="str">
        <f>NeoBerInfB!K32</f>
        <v/>
      </c>
      <c r="H37" s="799" t="str">
        <f>NeoBerInfB!L32</f>
        <v/>
      </c>
      <c r="K37" s="790" t="str">
        <f>NeoBerInfB!N32</f>
        <v/>
      </c>
      <c r="L37" s="734" t="str">
        <f>IF(NeoBerInfB!G32&gt;0,NeoBerInfB!G32,"")</f>
        <v/>
      </c>
      <c r="M37" s="734" t="str">
        <f>NeoBerInfB!O32</f>
        <v/>
      </c>
      <c r="O37" s="708" t="str">
        <f>NeoBerInfB!P32</f>
        <v/>
      </c>
      <c r="P37" s="708"/>
      <c r="Q37" s="736"/>
      <c r="R37" s="708" t="str">
        <f>NeoBerInfB!Q32</f>
        <v/>
      </c>
    </row>
    <row r="38" spans="1:18" ht="9.75" customHeight="1" thickTop="1" thickBot="1" x14ac:dyDescent="0.25">
      <c r="E38" s="734"/>
      <c r="F38" s="734"/>
      <c r="I38" s="708"/>
      <c r="J38" s="734"/>
      <c r="M38" s="708"/>
      <c r="N38" s="708"/>
      <c r="O38" s="736"/>
      <c r="P38" s="708"/>
    </row>
    <row r="39" spans="1:18" ht="20.100000000000001" customHeight="1" thickTop="1" thickBot="1" x14ac:dyDescent="0.25">
      <c r="A39" s="711" t="str">
        <f>NeoBerInfB!W33</f>
        <v/>
      </c>
      <c r="C39" s="731">
        <v>11</v>
      </c>
      <c r="D39" s="737" t="s">
        <v>548</v>
      </c>
      <c r="E39" s="734"/>
      <c r="F39" s="734"/>
      <c r="I39" s="734"/>
      <c r="J39" s="734"/>
      <c r="K39" s="793" t="str">
        <f>IF(NeoBerInfB!F33/10&gt;0,NeoBerInfB!F33/10&amp;" ml/uur","")</f>
        <v/>
      </c>
      <c r="L39" s="734" t="str">
        <f>IF(NeoBerInfB!G36&gt;0,"= "&amp;ROUND(NeoBerInfB!G36,2),"")</f>
        <v/>
      </c>
      <c r="M39" s="734"/>
      <c r="O39" s="736"/>
      <c r="P39" s="708"/>
    </row>
    <row r="40" spans="1:18" ht="20.100000000000001" customHeight="1" thickTop="1" thickBot="1" x14ac:dyDescent="0.25">
      <c r="A40" s="711" t="str">
        <f>NeoBerInfB!W34</f>
        <v/>
      </c>
      <c r="C40" s="731">
        <v>12</v>
      </c>
      <c r="D40" s="737" t="s">
        <v>549</v>
      </c>
      <c r="E40" s="734"/>
      <c r="F40" s="734"/>
      <c r="I40" s="734"/>
      <c r="J40" s="734"/>
      <c r="K40" s="793" t="str">
        <f>IF(NeoBerInfB!F34/10&gt;0,NeoBerInfB!F34/10&amp;" ml/uur","")</f>
        <v/>
      </c>
      <c r="L40" s="734" t="str">
        <f>IF(NeoBerInfB!G37&gt;0,"= "&amp;ROUND(NeoBerInfB!G37,2),"")</f>
        <v/>
      </c>
      <c r="M40" s="734"/>
      <c r="O40" s="736"/>
      <c r="P40" s="708"/>
    </row>
    <row r="41" spans="1:18" ht="20.100000000000001" customHeight="1" thickTop="1" thickBot="1" x14ac:dyDescent="0.25">
      <c r="A41" s="711" t="str">
        <f>NeoBerInfB!W35</f>
        <v/>
      </c>
      <c r="C41" s="731">
        <v>13</v>
      </c>
      <c r="D41" s="737" t="s">
        <v>550</v>
      </c>
      <c r="E41" s="734"/>
      <c r="F41" s="734"/>
      <c r="I41" s="734"/>
      <c r="J41" s="734"/>
      <c r="K41" s="793" t="str">
        <f>IF(NeoBerInfB!F35/10&gt;0,NeoBerInfB!F35/10&amp;" ml/uur","")</f>
        <v/>
      </c>
      <c r="L41" s="734" t="str">
        <f>IF(NeoBerInfB!G39&gt;0,"= "&amp;ROUND(NeoBerInfB!G39,2),"")</f>
        <v/>
      </c>
      <c r="M41" s="734"/>
      <c r="O41" s="736"/>
      <c r="P41" s="708"/>
    </row>
    <row r="42" spans="1:18" ht="20.100000000000001" customHeight="1" thickTop="1" thickBot="1" x14ac:dyDescent="0.25">
      <c r="A42" s="711" t="str">
        <f>NeoBerInfB!W36</f>
        <v/>
      </c>
      <c r="C42" s="731">
        <v>14</v>
      </c>
      <c r="D42" s="904" t="str">
        <f>IF(Var_Neo_InfB_Cont_MedTekst_1="","",Var_Neo_InfB_Cont_MedTekst_1)</f>
        <v/>
      </c>
      <c r="E42" s="905"/>
      <c r="F42" s="905"/>
      <c r="G42" s="905"/>
      <c r="H42" s="905"/>
      <c r="I42" s="905"/>
      <c r="J42" s="905"/>
      <c r="K42" s="905"/>
      <c r="L42" s="905"/>
      <c r="M42" s="905"/>
      <c r="N42" s="803"/>
      <c r="O42" s="803"/>
      <c r="P42" s="803"/>
      <c r="Q42" s="803"/>
      <c r="R42" s="803"/>
    </row>
    <row r="43" spans="1:18" ht="20.100000000000001" customHeight="1" thickTop="1" thickBot="1" x14ac:dyDescent="0.25">
      <c r="A43" s="711" t="str">
        <f>NeoBerInfB!W37</f>
        <v/>
      </c>
      <c r="C43" s="731">
        <v>15</v>
      </c>
      <c r="D43" s="906" t="str">
        <f>IF(Var_Neo_InfB_Cont_MedTekst_2="","",Var_Neo_InfB_Cont_MedTekst_2)</f>
        <v/>
      </c>
      <c r="E43" s="907"/>
      <c r="F43" s="907"/>
      <c r="G43" s="907"/>
      <c r="H43" s="907"/>
      <c r="I43" s="907"/>
      <c r="J43" s="907"/>
      <c r="K43" s="907"/>
      <c r="L43" s="907"/>
      <c r="M43" s="907"/>
      <c r="N43" s="803"/>
      <c r="O43" s="803"/>
      <c r="P43" s="803"/>
      <c r="Q43" s="803"/>
      <c r="R43" s="803"/>
    </row>
    <row r="44" spans="1:18" ht="8.1" customHeight="1" thickTop="1" x14ac:dyDescent="0.2">
      <c r="D44" s="708"/>
      <c r="E44" s="734"/>
      <c r="F44" s="734"/>
      <c r="I44" s="734"/>
      <c r="J44" s="734"/>
      <c r="K44" s="734"/>
      <c r="L44" s="734"/>
      <c r="M44" s="734"/>
      <c r="O44" s="736"/>
      <c r="P44" s="708"/>
    </row>
    <row r="45" spans="1:18" ht="20.100000000000001" customHeight="1" x14ac:dyDescent="0.2">
      <c r="C45" s="730" t="s">
        <v>4831</v>
      </c>
      <c r="D45" s="738"/>
      <c r="E45" s="739"/>
      <c r="F45" s="739"/>
      <c r="G45" s="730"/>
      <c r="H45" s="730"/>
      <c r="I45" s="739"/>
      <c r="J45" s="739"/>
      <c r="K45" s="739"/>
      <c r="L45" s="739"/>
      <c r="M45" s="739"/>
      <c r="N45" s="730"/>
      <c r="O45" s="740"/>
      <c r="P45" s="738"/>
      <c r="Q45" s="730"/>
      <c r="R45" s="730"/>
    </row>
    <row r="46" spans="1:18" ht="8.1" customHeight="1" thickBot="1" x14ac:dyDescent="0.25">
      <c r="H46" s="708"/>
    </row>
    <row r="47" spans="1:18" ht="20.100000000000001" customHeight="1" thickTop="1" thickBot="1" x14ac:dyDescent="0.25">
      <c r="A47" s="747" t="str">
        <f ca="1">NeoBerInfB!W40</f>
        <v/>
      </c>
      <c r="B47" s="747" t="str">
        <f>NeoBerInfB!X40</f>
        <v>stand</v>
      </c>
      <c r="C47" s="731"/>
      <c r="F47" s="732"/>
      <c r="G47" s="790" t="str">
        <f ca="1">IF(NeoBerInfB!C40&gt;0,NeoBerInfB!C40&amp;" ml","")</f>
        <v/>
      </c>
      <c r="H47" s="734" t="str">
        <f ca="1">IF(G47&lt;&gt;"",ROUND(NeoBerInfB!C40/(_Pat_Gewicht/10),0)&amp;" ml/ kg","")</f>
        <v/>
      </c>
      <c r="L47" s="731" t="s">
        <v>536</v>
      </c>
      <c r="M47" s="708" t="str">
        <f ca="1">IF(NeoBerInfB!B40&gt;0,NeoBerInfB!B40&amp;" ml","")</f>
        <v>12 ml</v>
      </c>
      <c r="N47" s="708"/>
    </row>
    <row r="48" spans="1:18" ht="20.100000000000001" customHeight="1" thickTop="1" x14ac:dyDescent="0.2">
      <c r="C48" s="746"/>
      <c r="D48" s="746"/>
      <c r="E48" s="746"/>
      <c r="F48" s="734"/>
      <c r="G48" s="708"/>
    </row>
    <row r="49" spans="1:18" ht="20.100000000000001" customHeight="1" x14ac:dyDescent="0.2">
      <c r="A49" s="711" t="s">
        <v>4827</v>
      </c>
      <c r="C49" s="731"/>
      <c r="D49" s="731" t="s">
        <v>4833</v>
      </c>
      <c r="E49" s="731"/>
    </row>
    <row r="50" spans="1:18" ht="20.100000000000001" customHeight="1" thickBot="1" x14ac:dyDescent="0.25">
      <c r="C50" s="731"/>
      <c r="D50" s="731"/>
      <c r="E50" s="731"/>
    </row>
    <row r="51" spans="1:18" ht="20.100000000000001" customHeight="1" thickTop="1" thickBot="1" x14ac:dyDescent="0.25">
      <c r="C51" s="731"/>
      <c r="D51" s="731" t="s">
        <v>328</v>
      </c>
      <c r="E51" s="731"/>
      <c r="G51" s="793" t="str">
        <f ca="1">IF(NeoBerInfB!$D$41=1,NeoBerInfB!C42&amp;" ml","")</f>
        <v>0 ml</v>
      </c>
      <c r="K51" s="793" t="str">
        <f>IF(NeoBerInfB!$D$41=3,NeoBerInfB!C42&amp;" ml","")</f>
        <v/>
      </c>
      <c r="M51" s="708" t="str">
        <f ca="1">IF(NeoBerInfB!B42&gt;0,NeoBerInfB!B42&amp;" ml","")</f>
        <v/>
      </c>
      <c r="N51" s="708"/>
    </row>
    <row r="52" spans="1:18" ht="20.100000000000001" customHeight="1" thickTop="1" thickBot="1" x14ac:dyDescent="0.25">
      <c r="C52" s="731"/>
      <c r="D52" s="731" t="s">
        <v>552</v>
      </c>
      <c r="E52" s="731"/>
      <c r="G52" s="793" t="str">
        <f ca="1">IF(NeoBerInfB!$D$41=1,NeoBerInfB!C43&amp;" ml","")</f>
        <v>0 ml</v>
      </c>
      <c r="K52" s="790" t="str">
        <f>IF(NeoBerInfB!$D$41=3,NeoBerInfB!C43&amp;" ml","")</f>
        <v/>
      </c>
      <c r="M52" s="708" t="str">
        <f ca="1">IF(NeoBerInfB!B43&gt;0,NeoBerInfB!B43&amp;" ml","")</f>
        <v/>
      </c>
      <c r="N52" s="708"/>
      <c r="O52" s="708"/>
    </row>
    <row r="53" spans="1:18" ht="20.100000000000001" customHeight="1" thickTop="1" thickBot="1" x14ac:dyDescent="0.25">
      <c r="C53" s="731"/>
      <c r="D53" s="731" t="s">
        <v>553</v>
      </c>
      <c r="E53" s="731"/>
      <c r="G53" s="793" t="str">
        <f ca="1">IF(NeoBerInfB!$D$41=1,NeoBerInfB!C44&amp;" ml","")</f>
        <v>0 ml</v>
      </c>
      <c r="M53" s="708" t="str">
        <f ca="1">IF(NeoBerInfB!B44&gt;0,NeoBerInfB!B44&amp;" ml","")</f>
        <v/>
      </c>
      <c r="N53" s="708"/>
      <c r="O53" s="708"/>
    </row>
    <row r="54" spans="1:18" ht="20.100000000000001" customHeight="1" thickTop="1" thickBot="1" x14ac:dyDescent="0.25">
      <c r="C54" s="731"/>
      <c r="D54" s="731" t="s">
        <v>554</v>
      </c>
      <c r="E54" s="731"/>
      <c r="G54" s="793" t="str">
        <f ca="1">IF(NeoBerInfB!$D$41=1,NeoBerInfB!C45&amp;" ml","")</f>
        <v>0 ml</v>
      </c>
      <c r="M54" s="708" t="str">
        <f ca="1">IF(NeoBerInfB!B45&gt;0,NeoBerInfB!B45&amp;" ml","")</f>
        <v/>
      </c>
      <c r="N54" s="708"/>
      <c r="O54" s="708"/>
    </row>
    <row r="55" spans="1:18" ht="20.100000000000001" customHeight="1" thickTop="1" thickBot="1" x14ac:dyDescent="0.25">
      <c r="C55" s="731"/>
      <c r="D55" s="731" t="s">
        <v>194</v>
      </c>
      <c r="E55" s="731"/>
      <c r="G55" s="793" t="str">
        <f ca="1">IF(NeoBerInfB!$D$41=1,NeoBerInfB!C46&amp;" ml","")</f>
        <v>0 ml</v>
      </c>
      <c r="M55" s="708" t="str">
        <f ca="1">IF(NeoBerInfB!B46&gt;0,NeoBerInfB!B46&amp;" ml","")</f>
        <v/>
      </c>
      <c r="N55" s="708"/>
      <c r="O55" s="708"/>
    </row>
    <row r="56" spans="1:18" ht="20.100000000000001" customHeight="1" thickTop="1" thickBot="1" x14ac:dyDescent="0.25">
      <c r="C56" s="731"/>
      <c r="D56" s="731" t="s">
        <v>514</v>
      </c>
      <c r="E56" s="731"/>
      <c r="G56" s="790" t="str">
        <f ca="1">IF(NeoBerInfB!$D$41=1,NeoBerInfB!C47&amp;" ml","")</f>
        <v>0 ml</v>
      </c>
      <c r="M56" s="708" t="str">
        <f ca="1">IF(NeoBerInfB!B47&gt;0,NeoBerInfB!B47&amp;" ml","")</f>
        <v/>
      </c>
      <c r="N56" s="708"/>
      <c r="O56" s="708"/>
    </row>
    <row r="57" spans="1:18" ht="20.100000000000001" customHeight="1" thickTop="1" thickBot="1" x14ac:dyDescent="0.25">
      <c r="C57" s="731"/>
      <c r="D57" s="731" t="s">
        <v>515</v>
      </c>
      <c r="E57" s="731"/>
      <c r="I57" s="790" t="str">
        <f>IF(NeoBerInfB!D41=2,NeoBerInfB!C48&amp;" ml","")</f>
        <v/>
      </c>
      <c r="J57" s="734" t="str">
        <f>IF(I57&lt;&gt;"","("&amp;ROUND(NeoBerInfB!C48/(_Pat_Gewicht/10),0)&amp;" ml/kg)","")</f>
        <v/>
      </c>
      <c r="M57" s="708" t="str">
        <f ca="1">IF(NeoBerInfB!B48&gt;0,NeoBerInfB!B48&amp;" ml","")</f>
        <v>35 ml</v>
      </c>
      <c r="N57" s="708"/>
      <c r="O57" s="708"/>
    </row>
    <row r="58" spans="1:18" ht="20.100000000000001" customHeight="1" thickTop="1" thickBot="1" x14ac:dyDescent="0.25">
      <c r="C58" s="731"/>
      <c r="D58" s="731" t="s">
        <v>326</v>
      </c>
      <c r="E58" s="731"/>
      <c r="K58" s="790" t="str">
        <f>IF(NeoBerInfB!$D$41=3,NeoBerInfB!C49&amp;" ml","")</f>
        <v/>
      </c>
      <c r="L58" s="734" t="str">
        <f>IF(K58&lt;&gt;"","("&amp;ROUND(NeoBerInfB!C49/(_Pat_Gewicht/10),0)&amp;" ml/kg)","")</f>
        <v/>
      </c>
      <c r="M58" s="708" t="str">
        <f ca="1">IF(NeoBerInfB!B49&gt;0,NeoBerInfB!B49&amp;" ml","")</f>
        <v>35 ml</v>
      </c>
      <c r="N58" s="708"/>
      <c r="O58" s="708"/>
    </row>
    <row r="59" spans="1:18" ht="20.100000000000001" customHeight="1" thickTop="1" x14ac:dyDescent="0.2">
      <c r="C59" s="731"/>
      <c r="G59" s="717">
        <f>IF(NeoBerInfB!D41=1,NeoBerInfB!Y50,"")</f>
        <v>0</v>
      </c>
      <c r="H59" s="710" t="str">
        <f>IF(G59&lt;&gt;"","ml","")</f>
        <v>ml</v>
      </c>
      <c r="I59" s="717" t="str">
        <f>IF(NeoBerInfB!D41=2,NeoBerInfB!Y50,"")</f>
        <v/>
      </c>
      <c r="J59" s="710" t="str">
        <f>IF(I59&lt;&gt;"","ml","")</f>
        <v/>
      </c>
      <c r="K59" s="717" t="str">
        <f>IF(NeoBerInfB!D41=3,NeoBerInfB!Y50,"")</f>
        <v/>
      </c>
      <c r="L59" s="746" t="str">
        <f>IF(K59&lt;&gt;"","ml","")</f>
        <v/>
      </c>
      <c r="M59" s="708"/>
      <c r="N59" s="708"/>
      <c r="O59" s="708"/>
    </row>
    <row r="60" spans="1:18" ht="20.100000000000001" customHeight="1" x14ac:dyDescent="0.2"/>
    <row r="61" spans="1:18" ht="20.100000000000001" customHeight="1" x14ac:dyDescent="0.2">
      <c r="C61" s="730"/>
      <c r="D61" s="730" t="s">
        <v>4832</v>
      </c>
      <c r="E61" s="741"/>
      <c r="F61" s="741"/>
      <c r="G61" s="741"/>
      <c r="H61" s="741"/>
      <c r="I61" s="741"/>
      <c r="J61" s="741"/>
      <c r="K61" s="741"/>
      <c r="L61" s="741"/>
      <c r="M61" s="730"/>
      <c r="N61" s="730"/>
      <c r="O61" s="730"/>
      <c r="P61" s="730"/>
      <c r="Q61" s="730"/>
      <c r="R61" s="730"/>
    </row>
    <row r="62" spans="1:18" ht="20.100000000000001" customHeight="1" x14ac:dyDescent="0.2">
      <c r="C62" s="716"/>
      <c r="D62" s="742" t="s">
        <v>115</v>
      </c>
      <c r="E62" s="743" t="s">
        <v>371</v>
      </c>
      <c r="F62" s="72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722"/>
      <c r="H62" s="722"/>
      <c r="I62" s="722"/>
      <c r="J62" s="722"/>
      <c r="K62" s="722"/>
      <c r="L62" s="722"/>
    </row>
    <row r="63" spans="1:18" ht="20.100000000000001" customHeight="1" x14ac:dyDescent="0.2">
      <c r="C63" s="716"/>
      <c r="D63" s="716"/>
      <c r="E63" s="743" t="s">
        <v>679</v>
      </c>
      <c r="F63" s="72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722"/>
      <c r="H63" s="722"/>
      <c r="I63" s="722"/>
      <c r="J63" s="722"/>
      <c r="K63" s="722"/>
      <c r="L63" s="722"/>
    </row>
    <row r="64" spans="1:18" ht="20.100000000000001" customHeight="1" x14ac:dyDescent="0.2">
      <c r="C64" s="716"/>
      <c r="D64" s="716"/>
      <c r="E64" s="743" t="s">
        <v>680</v>
      </c>
      <c r="F64" s="72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722"/>
      <c r="H64" s="722"/>
      <c r="I64" s="722"/>
      <c r="J64" s="722"/>
      <c r="K64" s="722"/>
      <c r="L64" s="722"/>
    </row>
    <row r="65" spans="1:18" ht="20.100000000000001" customHeight="1" x14ac:dyDescent="0.2">
      <c r="C65" s="716"/>
      <c r="D65" s="716"/>
      <c r="E65" s="743" t="s">
        <v>681</v>
      </c>
      <c r="F65" s="72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722"/>
      <c r="H65" s="722"/>
      <c r="I65" s="722"/>
      <c r="J65" s="722"/>
      <c r="K65" s="722"/>
      <c r="L65" s="722"/>
    </row>
    <row r="66" spans="1:18" ht="20.100000000000001" customHeight="1" x14ac:dyDescent="0.2">
      <c r="C66" s="716"/>
      <c r="D66" s="716"/>
      <c r="E66" s="743" t="s">
        <v>146</v>
      </c>
      <c r="F66" s="72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722"/>
      <c r="H66" s="722"/>
      <c r="I66" s="722"/>
      <c r="J66" s="722"/>
      <c r="K66" s="722"/>
      <c r="L66" s="722"/>
    </row>
    <row r="67" spans="1:18" ht="20.100000000000001" customHeight="1" x14ac:dyDescent="0.2">
      <c r="C67" s="716"/>
      <c r="D67" s="716"/>
      <c r="E67" s="743" t="s">
        <v>682</v>
      </c>
      <c r="F67" s="72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722"/>
      <c r="H67" s="722"/>
      <c r="I67" s="722"/>
      <c r="J67" s="722"/>
      <c r="K67" s="722"/>
      <c r="L67" s="722"/>
    </row>
    <row r="68" spans="1:18" ht="20.100000000000001" customHeight="1" x14ac:dyDescent="0.2">
      <c r="C68" s="716"/>
      <c r="D68" s="716"/>
      <c r="E68" s="743" t="s">
        <v>4824</v>
      </c>
      <c r="F68" s="72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722"/>
      <c r="H68" s="722"/>
      <c r="I68" s="722"/>
      <c r="J68" s="722"/>
      <c r="K68" s="722"/>
      <c r="L68" s="722"/>
    </row>
    <row r="69" spans="1:18" ht="20.100000000000001" customHeight="1" x14ac:dyDescent="0.2">
      <c r="C69" s="716"/>
      <c r="D69" s="716"/>
      <c r="E69" s="743" t="s">
        <v>4825</v>
      </c>
      <c r="F69" s="722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722"/>
      <c r="H69" s="722"/>
      <c r="I69" s="722"/>
      <c r="J69" s="722"/>
      <c r="K69" s="722"/>
      <c r="L69" s="722"/>
    </row>
    <row r="70" spans="1:18" ht="20.100000000000001" customHeight="1" thickBot="1" x14ac:dyDescent="0.25">
      <c r="C70" s="716"/>
      <c r="D70" s="716"/>
      <c r="E70" s="743" t="s">
        <v>4826</v>
      </c>
      <c r="F70" s="722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722"/>
      <c r="H70" s="722"/>
      <c r="I70" s="722"/>
      <c r="J70" s="722"/>
      <c r="K70" s="722"/>
      <c r="L70" s="722"/>
    </row>
    <row r="71" spans="1:18" ht="20.100000000000001" customHeight="1" thickTop="1" thickBot="1" x14ac:dyDescent="0.25">
      <c r="A71" s="711" t="s">
        <v>4827</v>
      </c>
      <c r="C71" s="716"/>
      <c r="D71" s="716"/>
      <c r="E71" s="743" t="s">
        <v>285</v>
      </c>
      <c r="F71" s="901" t="str">
        <f>IF(_Neo_Lab_Opm=0,"",_Neo_Lab_Opm)</f>
        <v/>
      </c>
      <c r="G71" s="902"/>
      <c r="H71" s="902"/>
      <c r="I71" s="902"/>
      <c r="J71" s="902"/>
      <c r="K71" s="902"/>
      <c r="L71" s="902"/>
      <c r="M71" s="902"/>
      <c r="N71" s="902"/>
      <c r="O71" s="902"/>
      <c r="P71" s="902"/>
      <c r="Q71" s="902"/>
      <c r="R71" s="902"/>
    </row>
    <row r="72" spans="1:18" ht="20.100000000000001" customHeight="1" thickTop="1" x14ac:dyDescent="0.2">
      <c r="C72" s="716"/>
      <c r="D72" s="716"/>
      <c r="E72" s="744"/>
      <c r="F72" s="902"/>
      <c r="G72" s="902"/>
      <c r="H72" s="902"/>
      <c r="I72" s="902"/>
      <c r="J72" s="902"/>
      <c r="K72" s="902"/>
      <c r="L72" s="902"/>
      <c r="M72" s="902"/>
      <c r="N72" s="902"/>
      <c r="O72" s="902"/>
      <c r="P72" s="902"/>
      <c r="Q72" s="902"/>
      <c r="R72" s="902"/>
    </row>
    <row r="73" spans="1:18" ht="20.100000000000001" customHeight="1" x14ac:dyDescent="0.2">
      <c r="C73" s="712"/>
      <c r="D73" s="712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762000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762000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762000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762000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762000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762000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762000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76200</xdr:rowOff>
                  </from>
                  <to>
                    <xdr:col>4</xdr:col>
                    <xdr:colOff>209550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85725</xdr:rowOff>
                  </from>
                  <to>
                    <xdr:col>4</xdr:col>
                    <xdr:colOff>209550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6</xdr:col>
                    <xdr:colOff>104775</xdr:colOff>
                    <xdr:row>48</xdr:row>
                    <xdr:rowOff>76200</xdr:rowOff>
                  </from>
                  <to>
                    <xdr:col>7</xdr:col>
                    <xdr:colOff>76200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8</xdr:col>
                    <xdr:colOff>295275</xdr:colOff>
                    <xdr:row>48</xdr:row>
                    <xdr:rowOff>76200</xdr:rowOff>
                  </from>
                  <to>
                    <xdr:col>9</xdr:col>
                    <xdr:colOff>485775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10</xdr:col>
                    <xdr:colOff>304800</xdr:colOff>
                    <xdr:row>48</xdr:row>
                    <xdr:rowOff>76200</xdr:rowOff>
                  </from>
                  <to>
                    <xdr:col>11</xdr:col>
                    <xdr:colOff>590550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6</xdr:col>
                    <xdr:colOff>714375</xdr:colOff>
                    <xdr:row>50</xdr:row>
                    <xdr:rowOff>0</xdr:rowOff>
                  </from>
                  <to>
                    <xdr:col>6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6</xdr:col>
                    <xdr:colOff>714375</xdr:colOff>
                    <xdr:row>51</xdr:row>
                    <xdr:rowOff>0</xdr:rowOff>
                  </from>
                  <to>
                    <xdr:col>6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6</xdr:col>
                    <xdr:colOff>714375</xdr:colOff>
                    <xdr:row>52</xdr:row>
                    <xdr:rowOff>0</xdr:rowOff>
                  </from>
                  <to>
                    <xdr:col>6</xdr:col>
                    <xdr:colOff>838200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6</xdr:col>
                    <xdr:colOff>714375</xdr:colOff>
                    <xdr:row>53</xdr:row>
                    <xdr:rowOff>0</xdr:rowOff>
                  </from>
                  <to>
                    <xdr:col>6</xdr:col>
                    <xdr:colOff>838200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6</xdr:col>
                    <xdr:colOff>714375</xdr:colOff>
                    <xdr:row>54</xdr:row>
                    <xdr:rowOff>0</xdr:rowOff>
                  </from>
                  <to>
                    <xdr:col>6</xdr:col>
                    <xdr:colOff>838200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6</xdr:col>
                    <xdr:colOff>714375</xdr:colOff>
                    <xdr:row>55</xdr:row>
                    <xdr:rowOff>0</xdr:rowOff>
                  </from>
                  <to>
                    <xdr:col>6</xdr:col>
                    <xdr:colOff>838200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8</xdr:col>
                    <xdr:colOff>723900</xdr:colOff>
                    <xdr:row>55</xdr:row>
                    <xdr:rowOff>238125</xdr:rowOff>
                  </from>
                  <to>
                    <xdr:col>9</xdr:col>
                    <xdr:colOff>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10</xdr:col>
                    <xdr:colOff>714375</xdr:colOff>
                    <xdr:row>50</xdr:row>
                    <xdr:rowOff>0</xdr:rowOff>
                  </from>
                  <to>
                    <xdr:col>10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10</xdr:col>
                    <xdr:colOff>714375</xdr:colOff>
                    <xdr:row>51</xdr:row>
                    <xdr:rowOff>0</xdr:rowOff>
                  </from>
                  <to>
                    <xdr:col>10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10</xdr:col>
                    <xdr:colOff>714375</xdr:colOff>
                    <xdr:row>56</xdr:row>
                    <xdr:rowOff>228600</xdr:rowOff>
                  </from>
                  <to>
                    <xdr:col>10</xdr:col>
                    <xdr:colOff>838200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695325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9</xdr:col>
                    <xdr:colOff>685800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419100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762000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6</xdr:col>
                    <xdr:colOff>723900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3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4" name="Pos">
              <controlPr defaultSize="0" autoLine="0" autoPict="0" macro="[0]!NeoInfB_ChangeVoed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838200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5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6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7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8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9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762000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0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1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2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3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4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5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6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7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8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9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0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1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2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3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4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5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6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7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8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9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10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11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12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3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4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5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6" name="Drop Down 149">
              <controlPr defaultSize="0" autoLine="0" autoPict="0" macro="[0]!Vervolgkeuzelijst97_BijWijzigen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219075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7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8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9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20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762000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21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22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3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4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5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6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7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8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9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30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31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32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3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NeoBerInfB!R23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expression" priority="2" stopIfTrue="1" id="{00000000-0000-0000-0000-000000000000}">
            <xm:f>NeoBerInfB!R24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expression" priority="3" stopIfTrue="1" id="{00000000-0000-0000-0000-000000000000}">
            <xm:f>NeoBerInfB!R25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expression" priority="4" stopIfTrue="1" id="{00000000-0000-0000-0000-000000000000}">
            <xm:f>NeoBerInfB!R26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expression" priority="5" stopIfTrue="1" id="{00000000-0000-0000-0000-000000000000}">
            <xm:f>NeoBerInfB!R27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expression" priority="6" stopIfTrue="1" id="{00000000-0000-0000-0000-000000000000}">
            <xm:f>NeoBerInfB!R28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expression" priority="7" stopIfTrue="1" id="{00000000-0000-0000-0000-000000000000}">
            <xm:f>NeoBerInfB!R29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expression" priority="8" stopIfTrue="1" id="{00000000-0000-0000-0000-000000000000}">
            <xm:f>NeoBerInfB!R30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expression" priority="9" stopIfTrue="1" id="{00000000-0000-0000-0000-000000000000}">
            <xm:f>NeoBerInfB!R31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expression" priority="10" stopIfTrue="1" id="{00000000-0000-0000-0000-000000000000}">
            <xm:f>NeoBerInfB!R32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NeoBerInfB!S23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</xm:sqref>
        </x14:conditionalFormatting>
        <x14:conditionalFormatting xmlns:xm="http://schemas.microsoft.com/office/excel/2006/main">
          <x14:cfRule type="expression" priority="12" stopIfTrue="1" id="{00000000-0000-0000-0000-000000000000}">
            <xm:f>NeoBerInfB!S24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expression" priority="13" stopIfTrue="1" id="{00000000-0000-0000-0000-000000000000}">
            <xm:f>NeoBerInfB!S25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H30</xm:sqref>
        </x14:conditionalFormatting>
        <x14:conditionalFormatting xmlns:xm="http://schemas.microsoft.com/office/excel/2006/main">
          <x14:cfRule type="expression" priority="14" stopIfTrue="1" id="{00000000-0000-0000-0000-000000000000}">
            <xm:f>NeoBerInfB!S26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H31</xm:sqref>
        </x14:conditionalFormatting>
        <x14:conditionalFormatting xmlns:xm="http://schemas.microsoft.com/office/excel/2006/main">
          <x14:cfRule type="expression" priority="15" stopIfTrue="1" id="{00000000-0000-0000-0000-000000000000}">
            <xm:f>NeoBerInfB!S27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H32</xm:sqref>
        </x14:conditionalFormatting>
        <x14:conditionalFormatting xmlns:xm="http://schemas.microsoft.com/office/excel/2006/main">
          <x14:cfRule type="expression" priority="16" stopIfTrue="1" id="{00000000-0000-0000-0000-000000000000}">
            <xm:f>NeoBerInfB!S28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H33</xm:sqref>
        </x14:conditionalFormatting>
        <x14:conditionalFormatting xmlns:xm="http://schemas.microsoft.com/office/excel/2006/main">
          <x14:cfRule type="expression" priority="17" stopIfTrue="1" id="{00000000-0000-0000-0000-000000000000}">
            <xm:f>NeoBerInfB!S29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H34</xm:sqref>
        </x14:conditionalFormatting>
        <x14:conditionalFormatting xmlns:xm="http://schemas.microsoft.com/office/excel/2006/main">
          <x14:cfRule type="expression" priority="18" stopIfTrue="1" id="{00000000-0000-0000-0000-000000000000}">
            <xm:f>NeoBerInfB!S30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expression" priority="19" stopIfTrue="1" id="{00000000-0000-0000-0000-000000000000}">
            <xm:f>NeoBerInfB!S31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expression" priority="20" stopIfTrue="1" id="{00000000-0000-0000-0000-000000000000}">
            <xm:f>NeoBerInfB!S32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NeoBerInfB!V23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</xm:sqref>
        </x14:conditionalFormatting>
        <x14:conditionalFormatting xmlns:xm="http://schemas.microsoft.com/office/excel/2006/main">
          <x14:cfRule type="expression" priority="23" stopIfTrue="1" id="{00000000-0000-0000-0000-000000000000}">
            <xm:f>NeoBerInfB!V24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4" id="{00000000-0000-0000-0000-000000000000}">
            <xm:f>NeoBerInfB!U24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expression" priority="25" stopIfTrue="1" id="{00000000-0000-0000-0000-000000000000}">
            <xm:f>NeoBerInfB!V25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6" id="{00000000-0000-0000-0000-000000000000}">
            <xm:f>NeoBerInfB!U25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L30</xm:sqref>
        </x14:conditionalFormatting>
        <x14:conditionalFormatting xmlns:xm="http://schemas.microsoft.com/office/excel/2006/main">
          <x14:cfRule type="expression" priority="27" stopIfTrue="1" id="{00000000-0000-0000-0000-000000000000}">
            <xm:f>NeoBerInfB!V26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8" id="{00000000-0000-0000-0000-000000000000}">
            <xm:f>NeoBerInfB!U26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L31</xm:sqref>
        </x14:conditionalFormatting>
        <x14:conditionalFormatting xmlns:xm="http://schemas.microsoft.com/office/excel/2006/main">
          <x14:cfRule type="expression" priority="29" stopIfTrue="1" id="{00000000-0000-0000-0000-000000000000}">
            <xm:f>NeoBerInfB!V27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0" id="{00000000-0000-0000-0000-000000000000}">
            <xm:f>NeoBerInfB!U27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NeoBerInfB!V28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</xm:sqref>
        </x14:conditionalFormatting>
        <x14:conditionalFormatting xmlns:xm="http://schemas.microsoft.com/office/excel/2006/main">
          <x14:cfRule type="expression" priority="32" id="{00000000-0000-0000-0000-000000000000}">
            <xm:f>NeoBerInfB!U28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</xm:sqref>
        </x14:conditionalFormatting>
        <x14:conditionalFormatting xmlns:xm="http://schemas.microsoft.com/office/excel/2006/main">
          <x14:cfRule type="expression" priority="33" stopIfTrue="1" id="{00000000-0000-0000-0000-000000000000}">
            <xm:f>NeoBerInfB!V29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L34</xm:sqref>
        </x14:conditionalFormatting>
        <x14:conditionalFormatting xmlns:xm="http://schemas.microsoft.com/office/excel/2006/main">
          <x14:cfRule type="expression" priority="34" id="{00000000-0000-0000-0000-000000000000}">
            <xm:f>NeoBerInfB!U29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L34</xm:sqref>
        </x14:conditionalFormatting>
        <x14:conditionalFormatting xmlns:xm="http://schemas.microsoft.com/office/excel/2006/main">
          <x14:cfRule type="expression" priority="35" stopIfTrue="1" id="{00000000-0000-0000-0000-000000000000}">
            <xm:f>NeoBerInfB!V30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L35</xm:sqref>
        </x14:conditionalFormatting>
        <x14:conditionalFormatting xmlns:xm="http://schemas.microsoft.com/office/excel/2006/main">
          <x14:cfRule type="expression" priority="36" id="{00000000-0000-0000-0000-000000000000}">
            <xm:f>NeoBerInfB!U30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L35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NeoBerInfB!V31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L36</xm:sqref>
        </x14:conditionalFormatting>
        <x14:conditionalFormatting xmlns:xm="http://schemas.microsoft.com/office/excel/2006/main">
          <x14:cfRule type="expression" priority="38" id="{00000000-0000-0000-0000-000000000000}">
            <xm:f>NeoBerInfB!U31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L36</xm:sqref>
        </x14:conditionalFormatting>
        <x14:conditionalFormatting xmlns:xm="http://schemas.microsoft.com/office/excel/2006/main">
          <x14:cfRule type="expression" priority="39" stopIfTrue="1" id="{00000000-0000-0000-0000-000000000000}">
            <xm:f>NeoBerInfB!V32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L37</xm:sqref>
        </x14:conditionalFormatting>
        <x14:conditionalFormatting xmlns:xm="http://schemas.microsoft.com/office/excel/2006/main">
          <x14:cfRule type="expression" priority="40" id="{00000000-0000-0000-0000-000000000000}">
            <xm:f>NeoBerInfB!U32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W78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R23" sqref="R23"/>
    </sheetView>
  </sheetViews>
  <sheetFormatPr defaultColWidth="9.140625" defaultRowHeight="12.75" x14ac:dyDescent="0.2"/>
  <cols>
    <col min="1" max="1" width="24.85546875" style="154" customWidth="1"/>
    <col min="2" max="8" width="8.42578125" style="154" customWidth="1"/>
    <col min="9" max="9" width="9" style="154" customWidth="1"/>
    <col min="10" max="10" width="12" style="454" customWidth="1"/>
    <col min="11" max="11" width="11.5703125" style="454" customWidth="1"/>
    <col min="12" max="12" width="9" style="454" customWidth="1"/>
    <col min="13" max="13" width="19.5703125" style="454" customWidth="1"/>
    <col min="14" max="14" width="10" style="454" customWidth="1"/>
    <col min="15" max="15" width="14.140625" style="454" customWidth="1"/>
    <col min="16" max="16" width="20.28515625" style="454" customWidth="1"/>
    <col min="17" max="18" width="8.42578125" style="454" customWidth="1"/>
    <col min="19" max="22" width="6.85546875" style="454" customWidth="1"/>
    <col min="23" max="24" width="6.5703125" style="454" customWidth="1"/>
    <col min="25" max="25" width="8.28515625" style="154" customWidth="1"/>
    <col min="26" max="26" width="9.140625" style="154" customWidth="1"/>
    <col min="27" max="36" width="8.140625" style="154" customWidth="1"/>
    <col min="37" max="37" width="8.140625" style="454" customWidth="1"/>
    <col min="38" max="39" width="9" style="154" customWidth="1"/>
    <col min="40" max="40" width="6" style="154" customWidth="1"/>
    <col min="41" max="41" width="81.85546875" style="154" customWidth="1"/>
    <col min="42" max="42" width="13.42578125" style="154" customWidth="1"/>
    <col min="43" max="43" width="9.140625" style="154"/>
    <col min="44" max="44" width="14.28515625" style="154" customWidth="1"/>
    <col min="45" max="45" width="19.28515625" style="154" customWidth="1"/>
    <col min="46" max="46" width="12.42578125" style="154" customWidth="1"/>
    <col min="47" max="16384" width="9.140625" style="154"/>
  </cols>
  <sheetData>
    <row r="1" spans="1:43" s="454" customFormat="1" x14ac:dyDescent="0.2">
      <c r="A1" s="454" t="s">
        <v>4801</v>
      </c>
      <c r="J1" s="655">
        <v>1</v>
      </c>
      <c r="K1" s="655">
        <v>2</v>
      </c>
      <c r="L1" s="655"/>
      <c r="M1" s="655"/>
      <c r="N1" s="655"/>
      <c r="O1" s="655">
        <v>3</v>
      </c>
      <c r="P1" s="154">
        <v>11</v>
      </c>
      <c r="Q1" s="154"/>
      <c r="Z1" s="655">
        <v>6</v>
      </c>
      <c r="AA1" s="655">
        <v>7</v>
      </c>
      <c r="AB1" s="655">
        <v>8</v>
      </c>
      <c r="AC1" s="655">
        <v>10</v>
      </c>
      <c r="AD1" s="655">
        <v>9</v>
      </c>
      <c r="AE1" s="655">
        <v>3</v>
      </c>
      <c r="AF1" s="655">
        <v>4</v>
      </c>
      <c r="AG1" s="655">
        <v>5</v>
      </c>
      <c r="AH1" s="655">
        <v>2</v>
      </c>
      <c r="AI1" s="655">
        <v>13</v>
      </c>
      <c r="AJ1" s="655">
        <v>12</v>
      </c>
      <c r="AK1" s="655">
        <v>11</v>
      </c>
    </row>
    <row r="2" spans="1:43" s="653" customFormat="1" ht="25.5" x14ac:dyDescent="0.2">
      <c r="A2" s="682" t="s">
        <v>28</v>
      </c>
      <c r="C2" s="653" t="s">
        <v>4634</v>
      </c>
      <c r="D2" s="653" t="s">
        <v>3780</v>
      </c>
      <c r="E2" s="653" t="s">
        <v>4617</v>
      </c>
      <c r="F2" s="653" t="s">
        <v>4805</v>
      </c>
      <c r="G2" s="653" t="s">
        <v>1001</v>
      </c>
      <c r="H2" s="653" t="s">
        <v>4807</v>
      </c>
      <c r="I2" s="653" t="s">
        <v>497</v>
      </c>
      <c r="J2" s="653" t="s">
        <v>324</v>
      </c>
      <c r="K2" s="653" t="s">
        <v>199</v>
      </c>
      <c r="L2" s="653" t="s">
        <v>3780</v>
      </c>
      <c r="M2" s="653" t="s">
        <v>4806</v>
      </c>
      <c r="N2" s="653" t="s">
        <v>4799</v>
      </c>
      <c r="O2" s="653" t="s">
        <v>4802</v>
      </c>
      <c r="P2" s="653" t="s">
        <v>536</v>
      </c>
      <c r="Q2" s="653" t="s">
        <v>369</v>
      </c>
      <c r="R2" s="653" t="s">
        <v>5179</v>
      </c>
      <c r="S2" s="653" t="s">
        <v>5177</v>
      </c>
      <c r="T2" s="653" t="s">
        <v>5178</v>
      </c>
      <c r="U2" s="653" t="s">
        <v>5175</v>
      </c>
      <c r="V2" s="653" t="s">
        <v>5176</v>
      </c>
      <c r="W2" s="653" t="s">
        <v>4822</v>
      </c>
      <c r="X2" s="653" t="s">
        <v>4823</v>
      </c>
      <c r="Y2" s="653" t="s">
        <v>304</v>
      </c>
      <c r="Z2" s="653" t="s">
        <v>222</v>
      </c>
      <c r="AA2" s="653" t="s">
        <v>223</v>
      </c>
      <c r="AB2" s="653" t="s">
        <v>224</v>
      </c>
      <c r="AC2" s="653" t="s">
        <v>225</v>
      </c>
      <c r="AD2" s="653" t="s">
        <v>520</v>
      </c>
      <c r="AE2" s="653" t="s">
        <v>221</v>
      </c>
      <c r="AF2" s="653" t="s">
        <v>521</v>
      </c>
      <c r="AG2" s="653" t="s">
        <v>522</v>
      </c>
      <c r="AH2" s="653" t="s">
        <v>523</v>
      </c>
      <c r="AI2" s="653" t="s">
        <v>569</v>
      </c>
      <c r="AJ2" s="653" t="s">
        <v>532</v>
      </c>
      <c r="AK2" s="653" t="s">
        <v>851</v>
      </c>
      <c r="AL2" s="653" t="s">
        <v>547</v>
      </c>
      <c r="AM2" s="653" t="s">
        <v>585</v>
      </c>
      <c r="AO2" s="653" t="s">
        <v>4809</v>
      </c>
    </row>
    <row r="3" spans="1:43" s="454" customFormat="1" x14ac:dyDescent="0.2">
      <c r="A3" s="350" t="s">
        <v>4251</v>
      </c>
      <c r="B3" s="454" t="s">
        <v>5141</v>
      </c>
    </row>
    <row r="4" spans="1:43" x14ac:dyDescent="0.2">
      <c r="A4" s="350" t="s">
        <v>586</v>
      </c>
      <c r="B4" s="304">
        <f ca="1">TODAY()-__4_GebDatum+1</f>
        <v>41294</v>
      </c>
      <c r="C4" s="154">
        <f ca="1">IF(B4&lt;7,B4,6)</f>
        <v>6</v>
      </c>
    </row>
    <row r="5" spans="1:43" x14ac:dyDescent="0.2"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</row>
    <row r="6" spans="1:43" x14ac:dyDescent="0.2">
      <c r="A6" s="154" t="s">
        <v>539</v>
      </c>
      <c r="B6" s="154">
        <v>2</v>
      </c>
      <c r="AO6" s="154" t="str">
        <f>CONCATENATE(A6,": ",IF(B6=1,"Ja","Nee"))</f>
        <v>Fototherapie: Nee</v>
      </c>
    </row>
    <row r="7" spans="1:43" x14ac:dyDescent="0.2">
      <c r="A7" s="154" t="s">
        <v>587</v>
      </c>
      <c r="B7" s="154">
        <f ca="1">IF(AND(_Pat_GestWeken&lt;37,(_Pat_Gewicht/10)&gt;=1),INDEX(NeoBerAdvies!B3:G3,1,C4),IF((_Pat_Gewicht/10)&lt;1,INDEX(NeoBerAdvies!B4:G4,1,C4),INDEX(NeoBerAdvies!B5:G5,1,C4)))+IF(B6=1,20,0)</f>
        <v>150</v>
      </c>
      <c r="C7" s="154">
        <f ca="1">ROUND(B7/5,0)*5+(D7-5000)</f>
        <v>150</v>
      </c>
      <c r="D7" s="154">
        <v>5000</v>
      </c>
      <c r="N7" s="454">
        <f ca="1">IF(_Pat_Gewicht&gt;0,IF(B21,C7,ROUND(Y54/(_Pat_Gewicht/10),1)),"")</f>
        <v>50.4</v>
      </c>
      <c r="W7" s="454" t="str">
        <f>IF(AND(D7=5000,B12),"","verw")</f>
        <v/>
      </c>
      <c r="AO7" s="154" t="str">
        <f ca="1">IF(AND(_Pat_Gewicht&gt;0,Y54&gt;0),CONCATENATE("Vochtintake: ",Y54/(_Pat_Gewicht/10)," ","ml/kg/dag"," ","(= ",Y54," ml/dag)"),"")</f>
        <v>Vochtintake: 50,4 ml/kg/dag (= 50,4 ml/dag)</v>
      </c>
    </row>
    <row r="8" spans="1:43" s="454" customFormat="1" x14ac:dyDescent="0.2">
      <c r="AO8" s="154"/>
      <c r="AP8" s="154"/>
      <c r="AQ8" s="154"/>
    </row>
    <row r="9" spans="1:43" s="454" customFormat="1" x14ac:dyDescent="0.2">
      <c r="A9" s="154" t="s">
        <v>277</v>
      </c>
      <c r="B9" s="154">
        <v>1</v>
      </c>
      <c r="C9" s="154">
        <v>0</v>
      </c>
      <c r="F9" s="154">
        <v>0</v>
      </c>
      <c r="I9" s="154">
        <v>2</v>
      </c>
      <c r="L9" s="454" t="str">
        <f>IF($B9&gt;1,(C9/10)&amp;" ml","")</f>
        <v/>
      </c>
      <c r="M9" s="454" t="str">
        <f>IF($B9&gt;1,INDEX(Tbl_Neo_Voed,$B9,1),"")</f>
        <v/>
      </c>
      <c r="W9" s="454" t="str">
        <f>IF(Var_Neo_InfB_Ent_Voeding=1,"","verw")</f>
        <v/>
      </c>
      <c r="Y9" s="154">
        <f>IF(AND(Var_Neo_InfB_Cont_VochtExtra_01=2,Var_Neo_InfB_Ent_Voeding&gt;1),(F9*C9+F10*C10)/10,0)</f>
        <v>0</v>
      </c>
      <c r="Z9" s="386">
        <f>INDEX(Tbl_Neo_Voed,$B9,Z$1)*$Y9</f>
        <v>0</v>
      </c>
      <c r="AA9" s="386">
        <f>INDEX(Tbl_Neo_Voed,$B9,AA$1)*$Y9</f>
        <v>0</v>
      </c>
      <c r="AB9" s="386">
        <f>INDEX(Tbl_Neo_Voed,$B9,AB$1)*$Y9</f>
        <v>0</v>
      </c>
      <c r="AC9" s="386">
        <f>INDEX(Tbl_Neo_Voed,$B9,AC$1)*$Y9</f>
        <v>0</v>
      </c>
      <c r="AD9" s="386">
        <f>INDEX(Tbl_Neo_Voed,$B9,AD$1)*$Y9</f>
        <v>0</v>
      </c>
      <c r="AE9" s="386">
        <f>INDEX(Tbl_Neo_Voed,$B9,AE$1)*$Y9</f>
        <v>0</v>
      </c>
      <c r="AF9" s="386">
        <f>INDEX(Tbl_Neo_Voed,$B9,AF$1)*$Y9</f>
        <v>0</v>
      </c>
      <c r="AG9" s="386">
        <f>INDEX(Tbl_Neo_Voed,$B9,AG$1)*$Y9</f>
        <v>0</v>
      </c>
      <c r="AH9" s="386">
        <f>INDEX(Tbl_Neo_Voed,$B9,AH$1)*$Y9</f>
        <v>0</v>
      </c>
      <c r="AI9" s="386">
        <f>INDEX(Tbl_Neo_Voed,$B9,AI$1)*$Y9</f>
        <v>0</v>
      </c>
      <c r="AJ9" s="386">
        <f>INDEX(Tbl_Neo_Voed,$B9,AJ$1)*$Y9</f>
        <v>0</v>
      </c>
      <c r="AK9" s="386">
        <f>INDEX(Tbl_Neo_Voed,$B9,AK$1)*$Y9</f>
        <v>0</v>
      </c>
      <c r="AO9" s="387" t="str">
        <f>IF(M9="","",CONCATENATE(M9," ",IF(F9&gt;0,F9&amp;" x "&amp;L9,""), IF(F10&gt;0," en "&amp;F10&amp;" x "&amp;L10,"")," ","(= ",Y9," ml)"))</f>
        <v/>
      </c>
      <c r="AP9" s="154"/>
      <c r="AQ9" s="154"/>
    </row>
    <row r="10" spans="1:43" s="454" customFormat="1" x14ac:dyDescent="0.2">
      <c r="B10" s="454">
        <v>1</v>
      </c>
      <c r="C10" s="154">
        <v>0</v>
      </c>
      <c r="F10" s="154">
        <v>0</v>
      </c>
      <c r="L10" s="454" t="str">
        <f>IF($B9&gt;1,(C10/10)&amp;" ml","")</f>
        <v/>
      </c>
      <c r="AO10" s="154"/>
      <c r="AP10" s="154"/>
      <c r="AQ10" s="154"/>
    </row>
    <row r="11" spans="1:43" s="454" customFormat="1" x14ac:dyDescent="0.2">
      <c r="A11" s="154" t="s">
        <v>850</v>
      </c>
      <c r="B11" s="154">
        <v>2</v>
      </c>
      <c r="C11" s="154"/>
      <c r="D11" s="154"/>
      <c r="E11" s="154"/>
      <c r="F11" s="154">
        <v>1</v>
      </c>
      <c r="G11" s="154">
        <f t="shared" ref="G11:G19" si="0">(H11/100)*$Y$9</f>
        <v>0</v>
      </c>
      <c r="H11" s="435">
        <f>INDEX(tbl_Neo_NutrBMFWaard,F11)</f>
        <v>0</v>
      </c>
      <c r="K11" s="454" t="str">
        <f>IF(H11&gt;0,H11&amp;" %","")</f>
        <v/>
      </c>
      <c r="L11" s="454" t="str">
        <f t="shared" ref="L11:L19" si="1">IF($B11&gt;1,ROUND(G11,2)&amp;" gram","")</f>
        <v>0 gram</v>
      </c>
      <c r="M11" s="454" t="str">
        <f t="shared" ref="M11:M15" si="2">IF(B11&gt;1,INDEX(Tbl_Neo_PoedMM,$B11,1),"")</f>
        <v>Nutrilon Nenatal BMF</v>
      </c>
      <c r="Z11" s="386">
        <f t="shared" ref="Z11:AK19" si="3">INDEX(Tbl_Neo_PoedMM,$B11,Z$1)*$G11</f>
        <v>0</v>
      </c>
      <c r="AA11" s="386">
        <f t="shared" si="3"/>
        <v>0</v>
      </c>
      <c r="AB11" s="386">
        <f t="shared" si="3"/>
        <v>0</v>
      </c>
      <c r="AC11" s="386">
        <f t="shared" si="3"/>
        <v>0</v>
      </c>
      <c r="AD11" s="386">
        <f t="shared" si="3"/>
        <v>0</v>
      </c>
      <c r="AE11" s="386">
        <f t="shared" si="3"/>
        <v>0</v>
      </c>
      <c r="AF11" s="386">
        <f t="shared" si="3"/>
        <v>0</v>
      </c>
      <c r="AG11" s="386">
        <f t="shared" si="3"/>
        <v>0</v>
      </c>
      <c r="AH11" s="386">
        <f t="shared" si="3"/>
        <v>0</v>
      </c>
      <c r="AI11" s="386">
        <f t="shared" si="3"/>
        <v>0</v>
      </c>
      <c r="AJ11" s="386">
        <f t="shared" si="3"/>
        <v>0</v>
      </c>
      <c r="AK11" s="386">
        <f t="shared" si="3"/>
        <v>0</v>
      </c>
      <c r="AO11" s="387" t="str">
        <f>IF(K11="","", CONCATENATE(M11," ",K11," = (",L11,")"))</f>
        <v/>
      </c>
      <c r="AP11" s="154"/>
      <c r="AQ11" s="154"/>
    </row>
    <row r="12" spans="1:43" s="454" customFormat="1" x14ac:dyDescent="0.2">
      <c r="A12" s="154" t="s">
        <v>841</v>
      </c>
      <c r="B12" s="154">
        <v>1</v>
      </c>
      <c r="C12" s="154"/>
      <c r="D12" s="154"/>
      <c r="E12" s="154"/>
      <c r="F12" s="154">
        <v>1</v>
      </c>
      <c r="G12" s="454">
        <f t="shared" si="0"/>
        <v>0</v>
      </c>
      <c r="H12" s="435">
        <f t="shared" ref="H12:H19" si="4">INDEX(tbl_Neo_NutrToevWaard,F12)</f>
        <v>0</v>
      </c>
      <c r="K12" s="454" t="str">
        <f t="shared" ref="K12:K19" si="5">IF(H12&gt;0,H12&amp;" %","")</f>
        <v/>
      </c>
      <c r="L12" s="454" t="str">
        <f t="shared" si="1"/>
        <v/>
      </c>
      <c r="M12" s="454" t="str">
        <f t="shared" si="2"/>
        <v/>
      </c>
      <c r="Z12" s="386">
        <f t="shared" si="3"/>
        <v>0</v>
      </c>
      <c r="AA12" s="386">
        <f t="shared" si="3"/>
        <v>0</v>
      </c>
      <c r="AB12" s="386">
        <f t="shared" si="3"/>
        <v>0</v>
      </c>
      <c r="AC12" s="386">
        <f t="shared" si="3"/>
        <v>0</v>
      </c>
      <c r="AD12" s="386">
        <f t="shared" si="3"/>
        <v>0</v>
      </c>
      <c r="AE12" s="386">
        <f t="shared" si="3"/>
        <v>0</v>
      </c>
      <c r="AF12" s="386">
        <f t="shared" si="3"/>
        <v>0</v>
      </c>
      <c r="AG12" s="386">
        <f t="shared" si="3"/>
        <v>0</v>
      </c>
      <c r="AH12" s="386">
        <f t="shared" si="3"/>
        <v>0</v>
      </c>
      <c r="AI12" s="386">
        <f t="shared" si="3"/>
        <v>0</v>
      </c>
      <c r="AJ12" s="386">
        <f t="shared" si="3"/>
        <v>0</v>
      </c>
      <c r="AK12" s="386">
        <f t="shared" si="3"/>
        <v>0</v>
      </c>
      <c r="AO12" s="454" t="str">
        <f t="shared" ref="AO12:AO19" si="6">IF(K12="","", CONCATENATE(M12," ",K12," = (",L12,")"))</f>
        <v/>
      </c>
      <c r="AP12" s="154"/>
      <c r="AQ12" s="154"/>
    </row>
    <row r="13" spans="1:43" s="454" customFormat="1" x14ac:dyDescent="0.2">
      <c r="A13" s="154" t="s">
        <v>842</v>
      </c>
      <c r="B13" s="154">
        <v>1</v>
      </c>
      <c r="C13" s="384"/>
      <c r="D13" s="154"/>
      <c r="E13" s="154"/>
      <c r="F13" s="154">
        <v>1</v>
      </c>
      <c r="G13" s="454">
        <f t="shared" si="0"/>
        <v>0</v>
      </c>
      <c r="H13" s="435">
        <f t="shared" si="4"/>
        <v>0</v>
      </c>
      <c r="K13" s="454" t="str">
        <f t="shared" si="5"/>
        <v/>
      </c>
      <c r="L13" s="454" t="str">
        <f t="shared" si="1"/>
        <v/>
      </c>
      <c r="M13" s="454" t="str">
        <f t="shared" si="2"/>
        <v/>
      </c>
      <c r="Z13" s="386">
        <f t="shared" si="3"/>
        <v>0</v>
      </c>
      <c r="AA13" s="386">
        <f t="shared" si="3"/>
        <v>0</v>
      </c>
      <c r="AB13" s="386">
        <f t="shared" si="3"/>
        <v>0</v>
      </c>
      <c r="AC13" s="386">
        <f t="shared" si="3"/>
        <v>0</v>
      </c>
      <c r="AD13" s="386">
        <f t="shared" si="3"/>
        <v>0</v>
      </c>
      <c r="AE13" s="386">
        <f t="shared" si="3"/>
        <v>0</v>
      </c>
      <c r="AF13" s="386">
        <f t="shared" si="3"/>
        <v>0</v>
      </c>
      <c r="AG13" s="386">
        <f t="shared" si="3"/>
        <v>0</v>
      </c>
      <c r="AH13" s="386">
        <f t="shared" si="3"/>
        <v>0</v>
      </c>
      <c r="AI13" s="386">
        <f t="shared" si="3"/>
        <v>0</v>
      </c>
      <c r="AJ13" s="386">
        <f t="shared" si="3"/>
        <v>0</v>
      </c>
      <c r="AK13" s="386">
        <f t="shared" si="3"/>
        <v>0</v>
      </c>
      <c r="AO13" s="454" t="str">
        <f t="shared" si="6"/>
        <v/>
      </c>
      <c r="AP13" s="154"/>
      <c r="AQ13" s="154"/>
    </row>
    <row r="14" spans="1:43" s="454" customFormat="1" x14ac:dyDescent="0.2">
      <c r="A14" s="154" t="s">
        <v>843</v>
      </c>
      <c r="B14" s="154">
        <v>1</v>
      </c>
      <c r="C14" s="384"/>
      <c r="D14" s="154"/>
      <c r="E14" s="154"/>
      <c r="F14" s="154">
        <v>1</v>
      </c>
      <c r="G14" s="454">
        <f t="shared" si="0"/>
        <v>0</v>
      </c>
      <c r="H14" s="435">
        <f t="shared" si="4"/>
        <v>0</v>
      </c>
      <c r="K14" s="454" t="str">
        <f t="shared" si="5"/>
        <v/>
      </c>
      <c r="L14" s="454" t="str">
        <f t="shared" si="1"/>
        <v/>
      </c>
      <c r="M14" s="454" t="str">
        <f t="shared" si="2"/>
        <v/>
      </c>
      <c r="Z14" s="386">
        <f t="shared" si="3"/>
        <v>0</v>
      </c>
      <c r="AA14" s="386">
        <f t="shared" si="3"/>
        <v>0</v>
      </c>
      <c r="AB14" s="386">
        <f t="shared" si="3"/>
        <v>0</v>
      </c>
      <c r="AC14" s="386">
        <f t="shared" si="3"/>
        <v>0</v>
      </c>
      <c r="AD14" s="386">
        <f t="shared" si="3"/>
        <v>0</v>
      </c>
      <c r="AE14" s="386">
        <f t="shared" si="3"/>
        <v>0</v>
      </c>
      <c r="AF14" s="386">
        <f t="shared" si="3"/>
        <v>0</v>
      </c>
      <c r="AG14" s="386">
        <f t="shared" si="3"/>
        <v>0</v>
      </c>
      <c r="AH14" s="386">
        <f t="shared" si="3"/>
        <v>0</v>
      </c>
      <c r="AI14" s="386">
        <f t="shared" si="3"/>
        <v>0</v>
      </c>
      <c r="AJ14" s="386">
        <f t="shared" si="3"/>
        <v>0</v>
      </c>
      <c r="AK14" s="386">
        <f t="shared" si="3"/>
        <v>0</v>
      </c>
      <c r="AO14" s="454" t="str">
        <f t="shared" si="6"/>
        <v/>
      </c>
      <c r="AP14" s="154"/>
      <c r="AQ14" s="154"/>
    </row>
    <row r="15" spans="1:43" s="454" customFormat="1" x14ac:dyDescent="0.2">
      <c r="A15" s="154" t="s">
        <v>844</v>
      </c>
      <c r="B15" s="154">
        <v>1</v>
      </c>
      <c r="C15" s="384"/>
      <c r="D15" s="154"/>
      <c r="E15" s="154"/>
      <c r="F15" s="154">
        <v>1</v>
      </c>
      <c r="G15" s="454">
        <f t="shared" si="0"/>
        <v>0</v>
      </c>
      <c r="H15" s="435">
        <f t="shared" si="4"/>
        <v>0</v>
      </c>
      <c r="K15" s="454" t="str">
        <f t="shared" si="5"/>
        <v/>
      </c>
      <c r="L15" s="454" t="str">
        <f t="shared" si="1"/>
        <v/>
      </c>
      <c r="M15" s="454" t="str">
        <f t="shared" si="2"/>
        <v/>
      </c>
      <c r="Z15" s="386">
        <f t="shared" si="3"/>
        <v>0</v>
      </c>
      <c r="AA15" s="386">
        <f t="shared" si="3"/>
        <v>0</v>
      </c>
      <c r="AB15" s="386">
        <f t="shared" si="3"/>
        <v>0</v>
      </c>
      <c r="AC15" s="386">
        <f t="shared" si="3"/>
        <v>0</v>
      </c>
      <c r="AD15" s="386">
        <f t="shared" si="3"/>
        <v>0</v>
      </c>
      <c r="AE15" s="386">
        <f t="shared" si="3"/>
        <v>0</v>
      </c>
      <c r="AF15" s="386">
        <f t="shared" si="3"/>
        <v>0</v>
      </c>
      <c r="AG15" s="386">
        <f t="shared" si="3"/>
        <v>0</v>
      </c>
      <c r="AH15" s="386">
        <f t="shared" si="3"/>
        <v>0</v>
      </c>
      <c r="AI15" s="386">
        <f t="shared" si="3"/>
        <v>0</v>
      </c>
      <c r="AJ15" s="386">
        <f t="shared" si="3"/>
        <v>0</v>
      </c>
      <c r="AK15" s="386">
        <f t="shared" si="3"/>
        <v>0</v>
      </c>
      <c r="AO15" s="454" t="str">
        <f t="shared" si="6"/>
        <v/>
      </c>
      <c r="AP15" s="154"/>
      <c r="AQ15" s="154"/>
    </row>
    <row r="16" spans="1:43" s="454" customFormat="1" x14ac:dyDescent="0.2">
      <c r="A16" s="154" t="s">
        <v>845</v>
      </c>
      <c r="B16" s="154">
        <v>1</v>
      </c>
      <c r="C16" s="384"/>
      <c r="D16" s="154"/>
      <c r="E16" s="154"/>
      <c r="F16" s="154">
        <v>1</v>
      </c>
      <c r="G16" s="454">
        <f t="shared" si="0"/>
        <v>0</v>
      </c>
      <c r="H16" s="435">
        <f t="shared" si="4"/>
        <v>0</v>
      </c>
      <c r="K16" s="454" t="str">
        <f t="shared" si="5"/>
        <v/>
      </c>
      <c r="L16" s="454" t="str">
        <f t="shared" si="1"/>
        <v/>
      </c>
      <c r="M16" s="454" t="str">
        <f>IF(B16&gt;1,INDEX(Tbl_Neo_PoedKV,$B16,1),"")</f>
        <v/>
      </c>
      <c r="Z16" s="386">
        <f t="shared" si="3"/>
        <v>0</v>
      </c>
      <c r="AA16" s="386">
        <f t="shared" si="3"/>
        <v>0</v>
      </c>
      <c r="AB16" s="386">
        <f t="shared" si="3"/>
        <v>0</v>
      </c>
      <c r="AC16" s="386">
        <f t="shared" si="3"/>
        <v>0</v>
      </c>
      <c r="AD16" s="386">
        <f t="shared" si="3"/>
        <v>0</v>
      </c>
      <c r="AE16" s="386">
        <f t="shared" si="3"/>
        <v>0</v>
      </c>
      <c r="AF16" s="386">
        <f t="shared" si="3"/>
        <v>0</v>
      </c>
      <c r="AG16" s="386">
        <f t="shared" si="3"/>
        <v>0</v>
      </c>
      <c r="AH16" s="386">
        <f t="shared" si="3"/>
        <v>0</v>
      </c>
      <c r="AI16" s="386">
        <f t="shared" si="3"/>
        <v>0</v>
      </c>
      <c r="AJ16" s="386">
        <f t="shared" si="3"/>
        <v>0</v>
      </c>
      <c r="AK16" s="386">
        <f t="shared" si="3"/>
        <v>0</v>
      </c>
      <c r="AO16" s="454" t="str">
        <f t="shared" si="6"/>
        <v/>
      </c>
      <c r="AP16" s="154"/>
      <c r="AQ16" s="154"/>
    </row>
    <row r="17" spans="1:43" s="454" customFormat="1" x14ac:dyDescent="0.2">
      <c r="A17" s="154" t="s">
        <v>846</v>
      </c>
      <c r="B17" s="154">
        <v>1</v>
      </c>
      <c r="C17" s="384"/>
      <c r="D17" s="154"/>
      <c r="E17" s="154"/>
      <c r="F17" s="154">
        <v>1</v>
      </c>
      <c r="G17" s="454">
        <f t="shared" si="0"/>
        <v>0</v>
      </c>
      <c r="H17" s="435">
        <f t="shared" si="4"/>
        <v>0</v>
      </c>
      <c r="K17" s="454" t="str">
        <f t="shared" si="5"/>
        <v/>
      </c>
      <c r="L17" s="454" t="str">
        <f t="shared" si="1"/>
        <v/>
      </c>
      <c r="M17" s="454" t="str">
        <f>IF(B17&gt;1,INDEX(Tbl_Neo_PoedKV,$B17,1),"")</f>
        <v/>
      </c>
      <c r="Z17" s="386">
        <f t="shared" si="3"/>
        <v>0</v>
      </c>
      <c r="AA17" s="386">
        <f t="shared" si="3"/>
        <v>0</v>
      </c>
      <c r="AB17" s="386">
        <f t="shared" si="3"/>
        <v>0</v>
      </c>
      <c r="AC17" s="386">
        <f t="shared" si="3"/>
        <v>0</v>
      </c>
      <c r="AD17" s="386">
        <f t="shared" si="3"/>
        <v>0</v>
      </c>
      <c r="AE17" s="386">
        <f t="shared" si="3"/>
        <v>0</v>
      </c>
      <c r="AF17" s="386">
        <f t="shared" si="3"/>
        <v>0</v>
      </c>
      <c r="AG17" s="386">
        <f t="shared" si="3"/>
        <v>0</v>
      </c>
      <c r="AH17" s="386">
        <f t="shared" si="3"/>
        <v>0</v>
      </c>
      <c r="AI17" s="386">
        <f t="shared" si="3"/>
        <v>0</v>
      </c>
      <c r="AJ17" s="386">
        <f t="shared" si="3"/>
        <v>0</v>
      </c>
      <c r="AK17" s="386">
        <f t="shared" si="3"/>
        <v>0</v>
      </c>
      <c r="AO17" s="454" t="str">
        <f t="shared" si="6"/>
        <v/>
      </c>
      <c r="AP17" s="154"/>
      <c r="AQ17" s="154"/>
    </row>
    <row r="18" spans="1:43" s="454" customFormat="1" x14ac:dyDescent="0.2">
      <c r="A18" s="154" t="s">
        <v>847</v>
      </c>
      <c r="B18" s="154">
        <v>1</v>
      </c>
      <c r="C18" s="384"/>
      <c r="D18" s="154"/>
      <c r="E18" s="154"/>
      <c r="F18" s="154">
        <v>1</v>
      </c>
      <c r="G18" s="454">
        <f t="shared" si="0"/>
        <v>0</v>
      </c>
      <c r="H18" s="435">
        <f t="shared" si="4"/>
        <v>0</v>
      </c>
      <c r="K18" s="454" t="str">
        <f t="shared" si="5"/>
        <v/>
      </c>
      <c r="L18" s="454" t="str">
        <f t="shared" si="1"/>
        <v/>
      </c>
      <c r="M18" s="454" t="str">
        <f>IF(B18&gt;1,INDEX(Tbl_Neo_PoedKV,$B18,1),"")</f>
        <v/>
      </c>
      <c r="Z18" s="386">
        <f t="shared" si="3"/>
        <v>0</v>
      </c>
      <c r="AA18" s="386">
        <f t="shared" si="3"/>
        <v>0</v>
      </c>
      <c r="AB18" s="386">
        <f t="shared" si="3"/>
        <v>0</v>
      </c>
      <c r="AC18" s="386">
        <f t="shared" si="3"/>
        <v>0</v>
      </c>
      <c r="AD18" s="386">
        <f t="shared" si="3"/>
        <v>0</v>
      </c>
      <c r="AE18" s="386">
        <f t="shared" si="3"/>
        <v>0</v>
      </c>
      <c r="AF18" s="386">
        <f t="shared" si="3"/>
        <v>0</v>
      </c>
      <c r="AG18" s="386">
        <f t="shared" si="3"/>
        <v>0</v>
      </c>
      <c r="AH18" s="386">
        <f t="shared" si="3"/>
        <v>0</v>
      </c>
      <c r="AI18" s="386">
        <f t="shared" si="3"/>
        <v>0</v>
      </c>
      <c r="AJ18" s="386">
        <f t="shared" si="3"/>
        <v>0</v>
      </c>
      <c r="AK18" s="386">
        <f t="shared" si="3"/>
        <v>0</v>
      </c>
      <c r="AO18" s="454" t="str">
        <f t="shared" si="6"/>
        <v/>
      </c>
      <c r="AP18" s="154"/>
      <c r="AQ18" s="154"/>
    </row>
    <row r="19" spans="1:43" s="454" customFormat="1" x14ac:dyDescent="0.2">
      <c r="A19" s="154" t="s">
        <v>848</v>
      </c>
      <c r="B19" s="154">
        <v>1</v>
      </c>
      <c r="C19" s="384"/>
      <c r="D19" s="154"/>
      <c r="E19" s="154"/>
      <c r="F19" s="154">
        <v>1</v>
      </c>
      <c r="G19" s="454">
        <f t="shared" si="0"/>
        <v>0</v>
      </c>
      <c r="H19" s="435">
        <f t="shared" si="4"/>
        <v>0</v>
      </c>
      <c r="K19" s="454" t="str">
        <f t="shared" si="5"/>
        <v/>
      </c>
      <c r="L19" s="454" t="str">
        <f t="shared" si="1"/>
        <v/>
      </c>
      <c r="M19" s="454" t="str">
        <f>IF(B19&gt;1,INDEX(Tbl_Neo_PoedKV,$B19,1),"")</f>
        <v/>
      </c>
      <c r="Z19" s="386">
        <f t="shared" si="3"/>
        <v>0</v>
      </c>
      <c r="AA19" s="386">
        <f t="shared" si="3"/>
        <v>0</v>
      </c>
      <c r="AB19" s="386">
        <f t="shared" si="3"/>
        <v>0</v>
      </c>
      <c r="AC19" s="386">
        <f t="shared" si="3"/>
        <v>0</v>
      </c>
      <c r="AD19" s="386">
        <f t="shared" si="3"/>
        <v>0</v>
      </c>
      <c r="AE19" s="386">
        <f t="shared" si="3"/>
        <v>0</v>
      </c>
      <c r="AF19" s="386">
        <f t="shared" si="3"/>
        <v>0</v>
      </c>
      <c r="AG19" s="386">
        <f t="shared" si="3"/>
        <v>0</v>
      </c>
      <c r="AH19" s="386">
        <f t="shared" si="3"/>
        <v>0</v>
      </c>
      <c r="AI19" s="386">
        <f t="shared" si="3"/>
        <v>0</v>
      </c>
      <c r="AJ19" s="386">
        <f t="shared" si="3"/>
        <v>0</v>
      </c>
      <c r="AK19" s="386">
        <f t="shared" si="3"/>
        <v>0</v>
      </c>
      <c r="AO19" s="454" t="str">
        <f t="shared" si="6"/>
        <v/>
      </c>
      <c r="AP19" s="154"/>
      <c r="AQ19" s="154"/>
    </row>
    <row r="20" spans="1:43" s="454" customFormat="1" x14ac:dyDescent="0.2">
      <c r="AP20" s="154"/>
      <c r="AQ20" s="154"/>
    </row>
    <row r="21" spans="1:43" x14ac:dyDescent="0.2">
      <c r="A21" s="154" t="s">
        <v>588</v>
      </c>
      <c r="B21" s="154" t="b">
        <v>0</v>
      </c>
      <c r="C21" s="154">
        <f ca="1">ROUND(C7*(_Pat_Gewicht/10)-Y9,0)</f>
        <v>150</v>
      </c>
    </row>
    <row r="22" spans="1:43" x14ac:dyDescent="0.2">
      <c r="A22" s="154" t="s">
        <v>687</v>
      </c>
      <c r="B22" s="154">
        <v>0</v>
      </c>
      <c r="I22" s="154" t="b">
        <v>0</v>
      </c>
      <c r="J22" s="154"/>
      <c r="K22" s="154"/>
      <c r="L22" s="154"/>
      <c r="M22" s="154" t="s">
        <v>4804</v>
      </c>
      <c r="N22" s="454" t="str">
        <f>IF(B22&gt;0,(B22/10)&amp;" ml/uur","")</f>
        <v/>
      </c>
      <c r="O22" s="154"/>
      <c r="P22" s="154"/>
      <c r="Q22" s="154"/>
      <c r="W22" s="454" t="str">
        <f>IF(B22&gt;0,"verw","")</f>
        <v/>
      </c>
      <c r="Y22" s="154">
        <f>IF(I22,0,B22*2.4)</f>
        <v>0</v>
      </c>
      <c r="Z22" s="454">
        <f>IF($B22&gt;0,VLOOKUP($M22,Tbl_Glob_ParEnt,Z$1,FALSE),0)*$Y22</f>
        <v>0</v>
      </c>
      <c r="AA22" s="454">
        <f>IF($B22&gt;0,VLOOKUP($M22,Tbl_Glob_ParEnt,AA$1,FALSE),0)*$Y22</f>
        <v>0</v>
      </c>
      <c r="AB22" s="454">
        <f>IF($B22&gt;0,VLOOKUP($M22,Tbl_Glob_ParEnt,AB$1,FALSE),0)*$Y22</f>
        <v>0</v>
      </c>
      <c r="AC22" s="454">
        <f>IF($B22&gt;0,VLOOKUP($M22,Tbl_Glob_ParEnt,AC$1,FALSE),0)*$Y22</f>
        <v>0</v>
      </c>
      <c r="AD22" s="454">
        <f>IF($B22&gt;0,VLOOKUP($M22,Tbl_Glob_ParEnt,AD$1,FALSE),0)*$Y22</f>
        <v>0</v>
      </c>
      <c r="AE22" s="454">
        <f>IF($B22&gt;0,VLOOKUP($M22,Tbl_Glob_ParEnt,AE$1,FALSE),0)*$Y22</f>
        <v>0</v>
      </c>
      <c r="AF22" s="454">
        <f>IF($B22&gt;0,VLOOKUP($M22,Tbl_Glob_ParEnt,AF$1,FALSE),0)*$Y22</f>
        <v>0</v>
      </c>
      <c r="AG22" s="454">
        <f>IF($B22&gt;0,VLOOKUP($M22,Tbl_Glob_ParEnt,AG$1,FALSE),0)*$Y22</f>
        <v>0</v>
      </c>
      <c r="AH22" s="454">
        <f>IF($B22&gt;0,VLOOKUP($M22,Tbl_Glob_ParEnt,AH$1,FALSE),0)*$Y22</f>
        <v>0</v>
      </c>
      <c r="AI22" s="454">
        <f>IF($B22&gt;0,VLOOKUP($M22,Tbl_Glob_ParEnt,AI$1,FALSE),0)*$Y22</f>
        <v>0</v>
      </c>
      <c r="AJ22" s="454">
        <f>IF($B22&gt;0,VLOOKUP($M22,Tbl_Glob_ParEnt,AJ$1,FALSE),0)*$Y22</f>
        <v>0</v>
      </c>
      <c r="AK22" s="454">
        <f>IF($B22&gt;0,VLOOKUP($M22,Tbl_Glob_ParEnt,AK$1,FALSE),0)*$Y22</f>
        <v>0</v>
      </c>
      <c r="AO22" s="154" t="str">
        <f>IF(B22&gt;0,CONCATENATE(A22," ",B22/10," ml/uur"),"")</f>
        <v/>
      </c>
    </row>
    <row r="23" spans="1:43" x14ac:dyDescent="0.2">
      <c r="A23" s="154" t="s">
        <v>590</v>
      </c>
      <c r="B23" s="154">
        <v>6</v>
      </c>
      <c r="C23" s="154">
        <v>0.1</v>
      </c>
      <c r="D23" s="154">
        <v>12</v>
      </c>
      <c r="E23" s="154">
        <v>12</v>
      </c>
      <c r="F23" s="154">
        <v>16</v>
      </c>
      <c r="G23" s="154">
        <f t="shared" ref="G23:G31" si="7">IF(AND(_Pat_Gewicht&gt;0,D23&gt;0),ROUND( ((C23/10)/D23)*(F23/10)*H23/(_Pat_Gewicht/10),2),0)</f>
        <v>1.33</v>
      </c>
      <c r="H23" s="154">
        <f t="shared" ref="H23:H31" si="8">IF(B23&gt;1,INDEX(Tbl_Neo_MedIV,B23,12),1)</f>
        <v>1000</v>
      </c>
      <c r="I23" s="154" t="b">
        <v>0</v>
      </c>
      <c r="J23" s="154" t="str">
        <f t="shared" ref="J23:J32" si="9">IF($B23&gt;1,INDEX(Tbl_Neo_MedIV,$B23,J$1),"")</f>
        <v>clonidine</v>
      </c>
      <c r="K23" s="154" t="str">
        <f t="shared" ref="K23:K31" si="10">IF($B23&gt;1,(C23/10)&amp;" "&amp;INDEX(Tbl_Neo_MedIV,$B23,K$1),"")</f>
        <v>0,01 mg</v>
      </c>
      <c r="L23" s="454" t="str">
        <f t="shared" ref="L23:L31" si="11">IF($B23&gt;1,(D23)&amp;" ml","")</f>
        <v>12 ml</v>
      </c>
      <c r="M23" s="154" t="str">
        <f t="shared" ref="M23:M35" si="12">IF(E23&gt;1,INDEX(Tbl_Neo_OplVlst,E23,1),"")</f>
        <v>NaCl 0,9%</v>
      </c>
      <c r="N23" s="154" t="str">
        <f>IF(B23&gt;1,(F23/10)&amp;" ml/uur","")</f>
        <v>1,6 ml/uur</v>
      </c>
      <c r="O23" s="154" t="str">
        <f t="shared" ref="O23:O31" si="13">IF(B23&gt;1,INDEX(Tbl_Neo_MedIV,B23,O$1),"")</f>
        <v>microg/kg/uur</v>
      </c>
      <c r="P23" s="154" t="str">
        <f t="shared" ref="P23:P31" si="14">IF(B23&gt;1,INDEX(Tbl_Neo_MedIV,B23,P$1),"")</f>
        <v>0,25-2 microg/kg/uur</v>
      </c>
      <c r="Q23" s="154" t="str">
        <f t="shared" ref="Q23:Q31" si="15">IF(B23&gt;1,IF(AM23*10&gt;1,AL23&amp;" uren",AL23&amp;" minuten"),"")</f>
        <v>8 uren</v>
      </c>
      <c r="R23" s="454" t="b">
        <f>NOT(OR(B23=1,F23=5))</f>
        <v>1</v>
      </c>
      <c r="S23" s="454" t="b">
        <f>NOT(OR(B23=1,D23=12))</f>
        <v>0</v>
      </c>
      <c r="T23" s="454" t="b">
        <f>NOT(OR(B23=1,E23=INDEX(Tbl_Neo_MedIV,B23,9)))</f>
        <v>0</v>
      </c>
      <c r="U23" s="454" t="b">
        <f>AND(B23&gt;1,NOT(AND(G23&gt;=INDEX(Tbl_Neo_MedIV,B23,6),G28&lt;=INDEX(Tbl_Neo_MedIV,B23,7))))</f>
        <v>0</v>
      </c>
      <c r="V23" s="454" t="b">
        <f>AND(B23&gt;1,AND(G23&gt;0,G23&gt;INDEX(Tbl_Neo_MedIV,B23,8)))</f>
        <v>0</v>
      </c>
      <c r="W23" s="454" t="str">
        <f>IF(B23&gt;1,"verw","")</f>
        <v>verw</v>
      </c>
      <c r="X23" s="454" t="str">
        <f>IF(OR(R23,S23,T23),"stand","")</f>
        <v>stand</v>
      </c>
      <c r="Y23" s="154">
        <f t="shared" ref="Y23:Y35" si="16">IF(I23,0,F23*2.4)</f>
        <v>38.4</v>
      </c>
      <c r="Z23" s="154">
        <f>IF($E23&gt;1,VLOOKUP($M23,Tbl_Glob_ParEnt,Z$1,FALSE),0)*$Y23</f>
        <v>5.952</v>
      </c>
      <c r="AA23" s="454">
        <f>IF($E23&gt;1,VLOOKUP($M23,Tbl_Glob_ParEnt,AA$1,FALSE),0)*$Y23</f>
        <v>0</v>
      </c>
      <c r="AB23" s="454">
        <f>IF($E23&gt;1,VLOOKUP($M23,Tbl_Glob_ParEnt,AB$1,FALSE),0)*$Y23</f>
        <v>0</v>
      </c>
      <c r="AC23" s="454">
        <f>IF($E23&gt;1,VLOOKUP($M23,Tbl_Glob_ParEnt,AC$1,FALSE),0)*$Y23</f>
        <v>0</v>
      </c>
      <c r="AD23" s="454">
        <f>IF($E23&gt;1,VLOOKUP($M23,Tbl_Glob_ParEnt,AD$1,FALSE),0)*$Y23</f>
        <v>0</v>
      </c>
      <c r="AE23" s="454">
        <f>IF($E23&gt;1,VLOOKUP($M23,Tbl_Glob_ParEnt,AE$1,FALSE),0)*$Y23</f>
        <v>0</v>
      </c>
      <c r="AF23" s="454">
        <f>IF($E23&gt;1,VLOOKUP($M23,Tbl_Glob_ParEnt,AF$1,FALSE),0)*$Y23</f>
        <v>0</v>
      </c>
      <c r="AG23" s="454">
        <f>IF($E23&gt;1,VLOOKUP($M23,Tbl_Glob_ParEnt,AG$1,FALSE),0)*$Y23</f>
        <v>0</v>
      </c>
      <c r="AH23" s="454">
        <f>IF($E23&gt;1,VLOOKUP($M23,Tbl_Glob_ParEnt,AH$1,FALSE),0)*$Y23</f>
        <v>0</v>
      </c>
      <c r="AI23" s="454">
        <f>IF($E23&gt;1,VLOOKUP($M23,Tbl_Glob_ParEnt,AI$1,FALSE),0)*$Y23</f>
        <v>5.952</v>
      </c>
      <c r="AJ23" s="454">
        <f>IF($E23&gt;1,VLOOKUP($M23,Tbl_Glob_ParEnt,AJ$1,FALSE),0)*$Y23</f>
        <v>0</v>
      </c>
      <c r="AK23" s="454">
        <f>IF($E23&gt;1,VLOOKUP($M23,Tbl_Glob_ParEnt,AK$1,FALSE),0)*$Y23</f>
        <v>0</v>
      </c>
      <c r="AL23" s="154">
        <f>ROUND(IF(AM23*10&gt;1,AM23*10,AM23*600),0)</f>
        <v>8</v>
      </c>
      <c r="AM23" s="154">
        <f t="shared" ref="AM23:AM35" si="17">IF(F23&gt;0,D23/F23,0)</f>
        <v>0.75</v>
      </c>
      <c r="AO23" s="154" t="str">
        <f>IF(B23&gt;1,CONCATENATE(J23," ",K23," in ",L23," ",M23,", ",N23," = ",G23," ",O23," (in ",Q23, ")"),"")</f>
        <v>clonidine 0,01 mg in 12 ml NaCl 0,9%, 1,6 ml/uur = 1,33 microg/kg/uur (in 8 uren)</v>
      </c>
    </row>
    <row r="24" spans="1:43" x14ac:dyDescent="0.2">
      <c r="A24" s="154" t="s">
        <v>591</v>
      </c>
      <c r="B24" s="154">
        <v>10</v>
      </c>
      <c r="C24" s="154">
        <v>300</v>
      </c>
      <c r="D24" s="154">
        <v>12</v>
      </c>
      <c r="E24" s="154">
        <v>1</v>
      </c>
      <c r="F24" s="154">
        <v>5</v>
      </c>
      <c r="G24" s="454">
        <f t="shared" si="7"/>
        <v>1.25</v>
      </c>
      <c r="H24" s="454">
        <f t="shared" si="8"/>
        <v>1</v>
      </c>
      <c r="I24" s="154" t="b">
        <v>0</v>
      </c>
      <c r="J24" s="454" t="str">
        <f t="shared" si="9"/>
        <v>Epi bupi 2,5 mg, sufenta 1 mcg /ml</v>
      </c>
      <c r="K24" s="454" t="str">
        <f t="shared" si="10"/>
        <v>30 ml</v>
      </c>
      <c r="L24" s="454" t="str">
        <f t="shared" si="11"/>
        <v>12 ml</v>
      </c>
      <c r="M24" s="454" t="str">
        <f t="shared" si="12"/>
        <v/>
      </c>
      <c r="N24" s="454" t="str">
        <f t="shared" ref="N24:N31" si="18">IF(B24&gt;1,(F24/10)&amp;" ml/uur","")</f>
        <v>0,5 ml/uur</v>
      </c>
      <c r="O24" s="454" t="str">
        <f t="shared" si="13"/>
        <v>ml/uur</v>
      </c>
      <c r="P24" s="454" t="str">
        <f t="shared" si="14"/>
        <v>N.B. Epiduraal, volgens voorschrift anesthesist!</v>
      </c>
      <c r="Q24" s="454" t="str">
        <f t="shared" si="15"/>
        <v>24 uren</v>
      </c>
      <c r="R24" s="454" t="b">
        <f t="shared" ref="R24:R32" si="19">NOT(OR(B24=1,F24=5))</f>
        <v>0</v>
      </c>
      <c r="S24" s="454" t="b">
        <f t="shared" ref="S24:S32" si="20">NOT(OR(B24=1,D24=12))</f>
        <v>0</v>
      </c>
      <c r="T24" s="454" t="b">
        <f>NOT(OR(B24=1,E24=INDEX(Tbl_Neo_MedIV,B24,9)))</f>
        <v>0</v>
      </c>
      <c r="U24" s="454" t="b">
        <f>AND(B24&gt;1,NOT(AND(G24&gt;=INDEX(Tbl_Neo_MedIV,B24,6),G29&lt;=INDEX(Tbl_Neo_MedIV,B24,7))))</f>
        <v>0</v>
      </c>
      <c r="V24" s="454" t="b">
        <f>AND(B24&gt;1,AND(G24&gt;0,G24&gt;INDEX(Tbl_Neo_MedIV,B24,8)))</f>
        <v>0</v>
      </c>
      <c r="W24" s="454" t="str">
        <f t="shared" ref="W24:W32" si="21">IF(B24&gt;1,"verw","")</f>
        <v>verw</v>
      </c>
      <c r="X24" s="454" t="str">
        <f t="shared" ref="X24:X32" si="22">IF(OR(R24,S24,T24),"stand","")</f>
        <v/>
      </c>
      <c r="Y24" s="154">
        <f t="shared" si="16"/>
        <v>12</v>
      </c>
      <c r="Z24" s="454">
        <f>IF($E24&gt;1,VLOOKUP($M24,Tbl_Glob_ParEnt,Z$1,FALSE),0)*$Y24</f>
        <v>0</v>
      </c>
      <c r="AA24" s="454">
        <f>IF($E24&gt;1,VLOOKUP($M24,Tbl_Glob_ParEnt,AA$1,FALSE),0)*$Y24</f>
        <v>0</v>
      </c>
      <c r="AB24" s="454">
        <f>IF($E24&gt;1,VLOOKUP($M24,Tbl_Glob_ParEnt,AB$1,FALSE),0)*$Y24</f>
        <v>0</v>
      </c>
      <c r="AC24" s="454">
        <f>IF($E24&gt;1,VLOOKUP($M24,Tbl_Glob_ParEnt,AC$1,FALSE),0)*$Y24</f>
        <v>0</v>
      </c>
      <c r="AD24" s="454">
        <f>IF($E24&gt;1,VLOOKUP($M24,Tbl_Glob_ParEnt,AD$1,FALSE),0)*$Y24</f>
        <v>0</v>
      </c>
      <c r="AE24" s="454">
        <f>IF($E24&gt;1,VLOOKUP($M24,Tbl_Glob_ParEnt,AE$1,FALSE),0)*$Y24</f>
        <v>0</v>
      </c>
      <c r="AF24" s="454">
        <f>IF($E24&gt;1,VLOOKUP($M24,Tbl_Glob_ParEnt,AF$1,FALSE),0)*$Y24</f>
        <v>0</v>
      </c>
      <c r="AG24" s="454">
        <f>IF($E24&gt;1,VLOOKUP($M24,Tbl_Glob_ParEnt,AG$1,FALSE),0)*$Y24</f>
        <v>0</v>
      </c>
      <c r="AH24" s="454">
        <f>IF($E24&gt;1,VLOOKUP($M24,Tbl_Glob_ParEnt,AH$1,FALSE),0)*$Y24</f>
        <v>0</v>
      </c>
      <c r="AI24" s="454">
        <f>IF($E24&gt;1,VLOOKUP($M24,Tbl_Glob_ParEnt,AI$1,FALSE),0)*$Y24</f>
        <v>0</v>
      </c>
      <c r="AJ24" s="454">
        <f>IF($E24&gt;1,VLOOKUP($M24,Tbl_Glob_ParEnt,AJ$1,FALSE),0)*$Y24</f>
        <v>0</v>
      </c>
      <c r="AK24" s="454">
        <f>IF($E24&gt;1,VLOOKUP($M24,Tbl_Glob_ParEnt,AK$1,FALSE),0)*$Y24</f>
        <v>0</v>
      </c>
      <c r="AL24" s="154">
        <f t="shared" ref="AL24:AL31" si="23">ROUND(IF(AM24*10&gt;1,AM24*10,AM24*600),0)</f>
        <v>24</v>
      </c>
      <c r="AM24" s="154">
        <f t="shared" si="17"/>
        <v>2.4</v>
      </c>
      <c r="AO24" s="454" t="str">
        <f t="shared" ref="AO24:AO31" si="24">IF(B24&gt;1,CONCATENATE(J24," ",K24," in ",L24," ",M24,", ",N24," = ",G24," ",O24," (in ",Q24, ")"),"")</f>
        <v>Epi bupi 2,5 mg, sufenta 1 mcg /ml 30 ml in 12 ml , 0,5 ml/uur = 1,25 ml/uur (in 24 uren)</v>
      </c>
    </row>
    <row r="25" spans="1:43" x14ac:dyDescent="0.2">
      <c r="A25" s="154" t="s">
        <v>592</v>
      </c>
      <c r="B25" s="154">
        <v>1</v>
      </c>
      <c r="C25" s="154">
        <v>0</v>
      </c>
      <c r="D25" s="154">
        <v>0</v>
      </c>
      <c r="E25" s="154">
        <v>1</v>
      </c>
      <c r="F25" s="154">
        <v>0</v>
      </c>
      <c r="G25" s="454">
        <f t="shared" si="7"/>
        <v>0</v>
      </c>
      <c r="H25" s="454">
        <f t="shared" si="8"/>
        <v>1</v>
      </c>
      <c r="I25" s="154" t="b">
        <v>0</v>
      </c>
      <c r="J25" s="454" t="str">
        <f t="shared" si="9"/>
        <v/>
      </c>
      <c r="K25" s="454" t="str">
        <f t="shared" si="10"/>
        <v/>
      </c>
      <c r="L25" s="454" t="str">
        <f t="shared" si="11"/>
        <v/>
      </c>
      <c r="M25" s="454" t="str">
        <f t="shared" si="12"/>
        <v/>
      </c>
      <c r="N25" s="454" t="str">
        <f t="shared" si="18"/>
        <v/>
      </c>
      <c r="O25" s="454" t="str">
        <f t="shared" si="13"/>
        <v/>
      </c>
      <c r="P25" s="454" t="str">
        <f t="shared" si="14"/>
        <v/>
      </c>
      <c r="Q25" s="454" t="str">
        <f t="shared" si="15"/>
        <v/>
      </c>
      <c r="R25" s="454" t="b">
        <f t="shared" si="19"/>
        <v>0</v>
      </c>
      <c r="S25" s="454" t="b">
        <f t="shared" si="20"/>
        <v>0</v>
      </c>
      <c r="T25" s="454" t="b">
        <f>NOT(OR(B25=1,E25=INDEX(Tbl_Neo_MedIV,B25,9)))</f>
        <v>0</v>
      </c>
      <c r="U25" s="454" t="b">
        <f>AND(B25&gt;1,NOT(AND(G25&gt;=INDEX(Tbl_Neo_MedIV,B25,6),G30&lt;=INDEX(Tbl_Neo_MedIV,B25,7))))</f>
        <v>0</v>
      </c>
      <c r="V25" s="454" t="b">
        <f>AND(B25&gt;1,AND(G25&gt;0,G25&gt;INDEX(Tbl_Neo_MedIV,B25,8)))</f>
        <v>0</v>
      </c>
      <c r="W25" s="454" t="str">
        <f t="shared" si="21"/>
        <v/>
      </c>
      <c r="X25" s="454" t="str">
        <f t="shared" si="22"/>
        <v/>
      </c>
      <c r="Y25" s="154">
        <f t="shared" si="16"/>
        <v>0</v>
      </c>
      <c r="Z25" s="454">
        <f>IF($E25&gt;1,VLOOKUP($M25,Tbl_Glob_ParEnt,Z$1,FALSE),0)*$Y25</f>
        <v>0</v>
      </c>
      <c r="AA25" s="454">
        <f>IF($E25&gt;1,VLOOKUP($M25,Tbl_Glob_ParEnt,AA$1,FALSE),0)*$Y25</f>
        <v>0</v>
      </c>
      <c r="AB25" s="454">
        <f>IF($E25&gt;1,VLOOKUP($M25,Tbl_Glob_ParEnt,AB$1,FALSE),0)*$Y25</f>
        <v>0</v>
      </c>
      <c r="AC25" s="454">
        <f>IF($E25&gt;1,VLOOKUP($M25,Tbl_Glob_ParEnt,AC$1,FALSE),0)*$Y25</f>
        <v>0</v>
      </c>
      <c r="AD25" s="454">
        <f>IF($E25&gt;1,VLOOKUP($M25,Tbl_Glob_ParEnt,AD$1,FALSE),0)*$Y25</f>
        <v>0</v>
      </c>
      <c r="AE25" s="454">
        <f>IF($E25&gt;1,VLOOKUP($M25,Tbl_Glob_ParEnt,AE$1,FALSE),0)*$Y25</f>
        <v>0</v>
      </c>
      <c r="AF25" s="454">
        <f>IF($E25&gt;1,VLOOKUP($M25,Tbl_Glob_ParEnt,AF$1,FALSE),0)*$Y25</f>
        <v>0</v>
      </c>
      <c r="AG25" s="454">
        <f>IF($E25&gt;1,VLOOKUP($M25,Tbl_Glob_ParEnt,AG$1,FALSE),0)*$Y25</f>
        <v>0</v>
      </c>
      <c r="AH25" s="454">
        <f>IF($E25&gt;1,VLOOKUP($M25,Tbl_Glob_ParEnt,AH$1,FALSE),0)*$Y25</f>
        <v>0</v>
      </c>
      <c r="AI25" s="454">
        <f>IF($E25&gt;1,VLOOKUP($M25,Tbl_Glob_ParEnt,AI$1,FALSE),0)*$Y25</f>
        <v>0</v>
      </c>
      <c r="AJ25" s="454">
        <f>IF($E25&gt;1,VLOOKUP($M25,Tbl_Glob_ParEnt,AJ$1,FALSE),0)*$Y25</f>
        <v>0</v>
      </c>
      <c r="AK25" s="454">
        <f>IF($E25&gt;1,VLOOKUP($M25,Tbl_Glob_ParEnt,AK$1,FALSE),0)*$Y25</f>
        <v>0</v>
      </c>
      <c r="AL25" s="154">
        <f t="shared" si="23"/>
        <v>0</v>
      </c>
      <c r="AM25" s="154">
        <f t="shared" si="17"/>
        <v>0</v>
      </c>
      <c r="AO25" s="454" t="str">
        <f t="shared" si="24"/>
        <v/>
      </c>
    </row>
    <row r="26" spans="1:43" x14ac:dyDescent="0.2">
      <c r="A26" s="154" t="s">
        <v>593</v>
      </c>
      <c r="B26" s="154">
        <v>1</v>
      </c>
      <c r="C26" s="154">
        <v>0</v>
      </c>
      <c r="D26" s="154">
        <v>0</v>
      </c>
      <c r="E26" s="154">
        <v>1</v>
      </c>
      <c r="F26" s="154">
        <v>0</v>
      </c>
      <c r="G26" s="454">
        <f t="shared" si="7"/>
        <v>0</v>
      </c>
      <c r="H26" s="454">
        <f t="shared" si="8"/>
        <v>1</v>
      </c>
      <c r="I26" s="154" t="b">
        <v>0</v>
      </c>
      <c r="J26" s="454" t="str">
        <f t="shared" si="9"/>
        <v/>
      </c>
      <c r="K26" s="454" t="str">
        <f t="shared" si="10"/>
        <v/>
      </c>
      <c r="L26" s="454" t="str">
        <f t="shared" si="11"/>
        <v/>
      </c>
      <c r="M26" s="454" t="str">
        <f t="shared" si="12"/>
        <v/>
      </c>
      <c r="N26" s="454" t="str">
        <f t="shared" si="18"/>
        <v/>
      </c>
      <c r="O26" s="454" t="str">
        <f t="shared" si="13"/>
        <v/>
      </c>
      <c r="P26" s="454" t="str">
        <f t="shared" si="14"/>
        <v/>
      </c>
      <c r="Q26" s="454" t="str">
        <f t="shared" si="15"/>
        <v/>
      </c>
      <c r="R26" s="454" t="b">
        <f t="shared" si="19"/>
        <v>0</v>
      </c>
      <c r="S26" s="454" t="b">
        <f t="shared" si="20"/>
        <v>0</v>
      </c>
      <c r="T26" s="454" t="b">
        <f>NOT(OR(B26=1,E26=INDEX(Tbl_Neo_MedIV,B26,9)))</f>
        <v>0</v>
      </c>
      <c r="U26" s="454" t="b">
        <f>AND(B26&gt;1,NOT(AND(G26&gt;=INDEX(Tbl_Neo_MedIV,B26,6),G31&lt;=INDEX(Tbl_Neo_MedIV,B26,7))))</f>
        <v>0</v>
      </c>
      <c r="V26" s="454" t="b">
        <f>AND(B26&gt;1,AND(G26&gt;0,G26&gt;INDEX(Tbl_Neo_MedIV,B26,8)))</f>
        <v>0</v>
      </c>
      <c r="W26" s="454" t="str">
        <f t="shared" si="21"/>
        <v/>
      </c>
      <c r="X26" s="454" t="str">
        <f t="shared" si="22"/>
        <v/>
      </c>
      <c r="Y26" s="154">
        <f t="shared" si="16"/>
        <v>0</v>
      </c>
      <c r="Z26" s="454">
        <f>IF($E26&gt;1,VLOOKUP($M26,Tbl_Glob_ParEnt,Z$1,FALSE),0)*$Y26</f>
        <v>0</v>
      </c>
      <c r="AA26" s="454">
        <f>IF($E26&gt;1,VLOOKUP($M26,Tbl_Glob_ParEnt,AA$1,FALSE),0)*$Y26</f>
        <v>0</v>
      </c>
      <c r="AB26" s="454">
        <f>IF($E26&gt;1,VLOOKUP($M26,Tbl_Glob_ParEnt,AB$1,FALSE),0)*$Y26</f>
        <v>0</v>
      </c>
      <c r="AC26" s="454">
        <f>IF($E26&gt;1,VLOOKUP($M26,Tbl_Glob_ParEnt,AC$1,FALSE),0)*$Y26</f>
        <v>0</v>
      </c>
      <c r="AD26" s="454">
        <f>IF($E26&gt;1,VLOOKUP($M26,Tbl_Glob_ParEnt,AD$1,FALSE),0)*$Y26</f>
        <v>0</v>
      </c>
      <c r="AE26" s="454">
        <f>IF($E26&gt;1,VLOOKUP($M26,Tbl_Glob_ParEnt,AE$1,FALSE),0)*$Y26</f>
        <v>0</v>
      </c>
      <c r="AF26" s="454">
        <f>IF($E26&gt;1,VLOOKUP($M26,Tbl_Glob_ParEnt,AF$1,FALSE),0)*$Y26</f>
        <v>0</v>
      </c>
      <c r="AG26" s="454">
        <f>IF($E26&gt;1,VLOOKUP($M26,Tbl_Glob_ParEnt,AG$1,FALSE),0)*$Y26</f>
        <v>0</v>
      </c>
      <c r="AH26" s="454">
        <f>IF($E26&gt;1,VLOOKUP($M26,Tbl_Glob_ParEnt,AH$1,FALSE),0)*$Y26</f>
        <v>0</v>
      </c>
      <c r="AI26" s="454">
        <f>IF($E26&gt;1,VLOOKUP($M26,Tbl_Glob_ParEnt,AI$1,FALSE),0)*$Y26</f>
        <v>0</v>
      </c>
      <c r="AJ26" s="454">
        <f>IF($E26&gt;1,VLOOKUP($M26,Tbl_Glob_ParEnt,AJ$1,FALSE),0)*$Y26</f>
        <v>0</v>
      </c>
      <c r="AK26" s="454">
        <f>IF($E26&gt;1,VLOOKUP($M26,Tbl_Glob_ParEnt,AK$1,FALSE),0)*$Y26</f>
        <v>0</v>
      </c>
      <c r="AL26" s="154">
        <f t="shared" si="23"/>
        <v>0</v>
      </c>
      <c r="AM26" s="154">
        <f t="shared" si="17"/>
        <v>0</v>
      </c>
      <c r="AO26" s="454" t="str">
        <f t="shared" si="24"/>
        <v/>
      </c>
    </row>
    <row r="27" spans="1:43" x14ac:dyDescent="0.2">
      <c r="A27" s="154" t="s">
        <v>594</v>
      </c>
      <c r="B27" s="154">
        <v>1</v>
      </c>
      <c r="C27" s="154">
        <v>0</v>
      </c>
      <c r="D27" s="154">
        <v>0</v>
      </c>
      <c r="E27" s="154">
        <v>1</v>
      </c>
      <c r="F27" s="154">
        <v>0</v>
      </c>
      <c r="G27" s="454">
        <f t="shared" si="7"/>
        <v>0</v>
      </c>
      <c r="H27" s="454">
        <f t="shared" si="8"/>
        <v>1</v>
      </c>
      <c r="I27" s="154" t="b">
        <v>0</v>
      </c>
      <c r="J27" s="454" t="str">
        <f t="shared" si="9"/>
        <v/>
      </c>
      <c r="K27" s="454" t="str">
        <f t="shared" si="10"/>
        <v/>
      </c>
      <c r="L27" s="454" t="str">
        <f t="shared" si="11"/>
        <v/>
      </c>
      <c r="M27" s="454" t="str">
        <f t="shared" si="12"/>
        <v/>
      </c>
      <c r="N27" s="454" t="str">
        <f t="shared" si="18"/>
        <v/>
      </c>
      <c r="O27" s="454" t="str">
        <f t="shared" si="13"/>
        <v/>
      </c>
      <c r="P27" s="454" t="str">
        <f t="shared" si="14"/>
        <v/>
      </c>
      <c r="Q27" s="454" t="str">
        <f t="shared" si="15"/>
        <v/>
      </c>
      <c r="R27" s="454" t="b">
        <f t="shared" si="19"/>
        <v>0</v>
      </c>
      <c r="S27" s="454" t="b">
        <f t="shared" si="20"/>
        <v>0</v>
      </c>
      <c r="T27" s="454" t="b">
        <f>NOT(OR(B27=1,E27=INDEX(Tbl_Neo_MedIV,B27,9)))</f>
        <v>0</v>
      </c>
      <c r="U27" s="454" t="b">
        <f>AND(B27&gt;1,NOT(AND(G27&gt;=INDEX(Tbl_Neo_MedIV,B27,6),G32&lt;=INDEX(Tbl_Neo_MedIV,B27,7))))</f>
        <v>0</v>
      </c>
      <c r="V27" s="454" t="b">
        <f>AND(B27&gt;1,AND(G27&gt;0,G27&gt;INDEX(Tbl_Neo_MedIV,B27,8)))</f>
        <v>0</v>
      </c>
      <c r="W27" s="454" t="str">
        <f t="shared" si="21"/>
        <v/>
      </c>
      <c r="X27" s="454" t="str">
        <f t="shared" si="22"/>
        <v/>
      </c>
      <c r="Y27" s="154">
        <f t="shared" si="16"/>
        <v>0</v>
      </c>
      <c r="Z27" s="454">
        <f>IF($E27&gt;1,VLOOKUP($M27,Tbl_Glob_ParEnt,Z$1,FALSE),0)*$Y27</f>
        <v>0</v>
      </c>
      <c r="AA27" s="454">
        <f>IF($E27&gt;1,VLOOKUP($M27,Tbl_Glob_ParEnt,AA$1,FALSE),0)*$Y27</f>
        <v>0</v>
      </c>
      <c r="AB27" s="454">
        <f>IF($E27&gt;1,VLOOKUP($M27,Tbl_Glob_ParEnt,AB$1,FALSE),0)*$Y27</f>
        <v>0</v>
      </c>
      <c r="AC27" s="454">
        <f>IF($E27&gt;1,VLOOKUP($M27,Tbl_Glob_ParEnt,AC$1,FALSE),0)*$Y27</f>
        <v>0</v>
      </c>
      <c r="AD27" s="454">
        <f>IF($E27&gt;1,VLOOKUP($M27,Tbl_Glob_ParEnt,AD$1,FALSE),0)*$Y27</f>
        <v>0</v>
      </c>
      <c r="AE27" s="454">
        <f>IF($E27&gt;1,VLOOKUP($M27,Tbl_Glob_ParEnt,AE$1,FALSE),0)*$Y27</f>
        <v>0</v>
      </c>
      <c r="AF27" s="454">
        <f>IF($E27&gt;1,VLOOKUP($M27,Tbl_Glob_ParEnt,AF$1,FALSE),0)*$Y27</f>
        <v>0</v>
      </c>
      <c r="AG27" s="454">
        <f>IF($E27&gt;1,VLOOKUP($M27,Tbl_Glob_ParEnt,AG$1,FALSE),0)*$Y27</f>
        <v>0</v>
      </c>
      <c r="AH27" s="454">
        <f>IF($E27&gt;1,VLOOKUP($M27,Tbl_Glob_ParEnt,AH$1,FALSE),0)*$Y27</f>
        <v>0</v>
      </c>
      <c r="AI27" s="454">
        <f>IF($E27&gt;1,VLOOKUP($M27,Tbl_Glob_ParEnt,AI$1,FALSE),0)*$Y27</f>
        <v>0</v>
      </c>
      <c r="AJ27" s="454">
        <f>IF($E27&gt;1,VLOOKUP($M27,Tbl_Glob_ParEnt,AJ$1,FALSE),0)*$Y27</f>
        <v>0</v>
      </c>
      <c r="AK27" s="454">
        <f>IF($E27&gt;1,VLOOKUP($M27,Tbl_Glob_ParEnt,AK$1,FALSE),0)*$Y27</f>
        <v>0</v>
      </c>
      <c r="AL27" s="154">
        <f t="shared" si="23"/>
        <v>0</v>
      </c>
      <c r="AM27" s="154">
        <f t="shared" si="17"/>
        <v>0</v>
      </c>
      <c r="AO27" s="454" t="str">
        <f t="shared" si="24"/>
        <v/>
      </c>
    </row>
    <row r="28" spans="1:43" x14ac:dyDescent="0.2">
      <c r="A28" s="154" t="s">
        <v>595</v>
      </c>
      <c r="B28" s="154">
        <v>1</v>
      </c>
      <c r="C28" s="154">
        <v>0</v>
      </c>
      <c r="D28" s="154">
        <v>0</v>
      </c>
      <c r="E28" s="154">
        <v>1</v>
      </c>
      <c r="F28" s="154">
        <v>0</v>
      </c>
      <c r="G28" s="454">
        <f t="shared" si="7"/>
        <v>0</v>
      </c>
      <c r="H28" s="454">
        <f t="shared" si="8"/>
        <v>1</v>
      </c>
      <c r="I28" s="154" t="b">
        <v>0</v>
      </c>
      <c r="J28" s="454" t="str">
        <f t="shared" si="9"/>
        <v/>
      </c>
      <c r="K28" s="454" t="str">
        <f t="shared" si="10"/>
        <v/>
      </c>
      <c r="L28" s="454" t="str">
        <f t="shared" si="11"/>
        <v/>
      </c>
      <c r="M28" s="454" t="str">
        <f t="shared" si="12"/>
        <v/>
      </c>
      <c r="N28" s="454" t="str">
        <f t="shared" si="18"/>
        <v/>
      </c>
      <c r="O28" s="454" t="str">
        <f t="shared" si="13"/>
        <v/>
      </c>
      <c r="P28" s="454" t="str">
        <f t="shared" si="14"/>
        <v/>
      </c>
      <c r="Q28" s="454" t="str">
        <f t="shared" si="15"/>
        <v/>
      </c>
      <c r="R28" s="454" t="b">
        <f t="shared" si="19"/>
        <v>0</v>
      </c>
      <c r="S28" s="454" t="b">
        <f t="shared" si="20"/>
        <v>0</v>
      </c>
      <c r="T28" s="454" t="b">
        <f>NOT(OR(B28=1,E28=INDEX(Tbl_Neo_MedIV,B28,9)))</f>
        <v>0</v>
      </c>
      <c r="U28" s="454" t="b">
        <f>AND(B28&gt;1,NOT(AND(G28&gt;=INDEX(Tbl_Neo_MedIV,B28,6),G33&lt;=INDEX(Tbl_Neo_MedIV,B28,7))))</f>
        <v>0</v>
      </c>
      <c r="V28" s="454" t="b">
        <f>AND(B28&gt;1,AND(G28&gt;0,G28&gt;INDEX(Tbl_Neo_MedIV,B28,8)))</f>
        <v>0</v>
      </c>
      <c r="W28" s="454" t="str">
        <f t="shared" si="21"/>
        <v/>
      </c>
      <c r="X28" s="454" t="str">
        <f t="shared" si="22"/>
        <v/>
      </c>
      <c r="Y28" s="154">
        <f t="shared" si="16"/>
        <v>0</v>
      </c>
      <c r="Z28" s="454">
        <f>IF($E28&gt;1,VLOOKUP($M28,Tbl_Glob_ParEnt,Z$1,FALSE),0)*$Y28</f>
        <v>0</v>
      </c>
      <c r="AA28" s="454">
        <f>IF($E28&gt;1,VLOOKUP($M28,Tbl_Glob_ParEnt,AA$1,FALSE),0)*$Y28</f>
        <v>0</v>
      </c>
      <c r="AB28" s="454">
        <f>IF($E28&gt;1,VLOOKUP($M28,Tbl_Glob_ParEnt,AB$1,FALSE),0)*$Y28</f>
        <v>0</v>
      </c>
      <c r="AC28" s="454">
        <f>IF($E28&gt;1,VLOOKUP($M28,Tbl_Glob_ParEnt,AC$1,FALSE),0)*$Y28</f>
        <v>0</v>
      </c>
      <c r="AD28" s="454">
        <f>IF($E28&gt;1,VLOOKUP($M28,Tbl_Glob_ParEnt,AD$1,FALSE),0)*$Y28</f>
        <v>0</v>
      </c>
      <c r="AE28" s="454">
        <f>IF($E28&gt;1,VLOOKUP($M28,Tbl_Glob_ParEnt,AE$1,FALSE),0)*$Y28</f>
        <v>0</v>
      </c>
      <c r="AF28" s="454">
        <f>IF($E28&gt;1,VLOOKUP($M28,Tbl_Glob_ParEnt,AF$1,FALSE),0)*$Y28</f>
        <v>0</v>
      </c>
      <c r="AG28" s="454">
        <f>IF($E28&gt;1,VLOOKUP($M28,Tbl_Glob_ParEnt,AG$1,FALSE),0)*$Y28</f>
        <v>0</v>
      </c>
      <c r="AH28" s="454">
        <f>IF($E28&gt;1,VLOOKUP($M28,Tbl_Glob_ParEnt,AH$1,FALSE),0)*$Y28</f>
        <v>0</v>
      </c>
      <c r="AI28" s="454">
        <f>IF($E28&gt;1,VLOOKUP($M28,Tbl_Glob_ParEnt,AI$1,FALSE),0)*$Y28</f>
        <v>0</v>
      </c>
      <c r="AJ28" s="454">
        <f>IF($E28&gt;1,VLOOKUP($M28,Tbl_Glob_ParEnt,AJ$1,FALSE),0)*$Y28</f>
        <v>0</v>
      </c>
      <c r="AK28" s="454">
        <f>IF($E28&gt;1,VLOOKUP($M28,Tbl_Glob_ParEnt,AK$1,FALSE),0)*$Y28</f>
        <v>0</v>
      </c>
      <c r="AL28" s="154">
        <f t="shared" si="23"/>
        <v>0</v>
      </c>
      <c r="AM28" s="154">
        <f t="shared" si="17"/>
        <v>0</v>
      </c>
      <c r="AO28" s="454" t="str">
        <f t="shared" si="24"/>
        <v/>
      </c>
    </row>
    <row r="29" spans="1:43" x14ac:dyDescent="0.2">
      <c r="A29" s="154" t="s">
        <v>596</v>
      </c>
      <c r="B29" s="154">
        <v>1</v>
      </c>
      <c r="C29" s="154">
        <v>0</v>
      </c>
      <c r="D29" s="154">
        <v>0</v>
      </c>
      <c r="E29" s="154">
        <v>1</v>
      </c>
      <c r="F29" s="154">
        <v>0</v>
      </c>
      <c r="G29" s="454">
        <f t="shared" si="7"/>
        <v>0</v>
      </c>
      <c r="H29" s="454">
        <f t="shared" si="8"/>
        <v>1</v>
      </c>
      <c r="I29" s="154" t="b">
        <v>0</v>
      </c>
      <c r="J29" s="454" t="str">
        <f t="shared" si="9"/>
        <v/>
      </c>
      <c r="K29" s="454" t="str">
        <f t="shared" si="10"/>
        <v/>
      </c>
      <c r="L29" s="454" t="str">
        <f t="shared" si="11"/>
        <v/>
      </c>
      <c r="M29" s="454" t="str">
        <f t="shared" si="12"/>
        <v/>
      </c>
      <c r="N29" s="454" t="str">
        <f t="shared" si="18"/>
        <v/>
      </c>
      <c r="O29" s="454" t="str">
        <f t="shared" si="13"/>
        <v/>
      </c>
      <c r="P29" s="454" t="str">
        <f t="shared" si="14"/>
        <v/>
      </c>
      <c r="Q29" s="454" t="str">
        <f t="shared" si="15"/>
        <v/>
      </c>
      <c r="R29" s="454" t="b">
        <f t="shared" si="19"/>
        <v>0</v>
      </c>
      <c r="S29" s="454" t="b">
        <f t="shared" si="20"/>
        <v>0</v>
      </c>
      <c r="T29" s="454" t="b">
        <f>NOT(OR(B29=1,E29=INDEX(Tbl_Neo_MedIV,B29,9)))</f>
        <v>0</v>
      </c>
      <c r="U29" s="454" t="b">
        <f>AND(B29&gt;1,NOT(AND(G29&gt;=INDEX(Tbl_Neo_MedIV,B29,6),G34&lt;=INDEX(Tbl_Neo_MedIV,B29,7))))</f>
        <v>0</v>
      </c>
      <c r="V29" s="454" t="b">
        <f>AND(B29&gt;1,AND(G29&gt;0,G29&gt;INDEX(Tbl_Neo_MedIV,B29,8)))</f>
        <v>0</v>
      </c>
      <c r="W29" s="454" t="str">
        <f t="shared" si="21"/>
        <v/>
      </c>
      <c r="X29" s="454" t="str">
        <f t="shared" si="22"/>
        <v/>
      </c>
      <c r="Y29" s="154">
        <f t="shared" si="16"/>
        <v>0</v>
      </c>
      <c r="Z29" s="454">
        <f>IF($E29&gt;1,VLOOKUP($M29,Tbl_Glob_ParEnt,Z$1,FALSE),0)*$Y29</f>
        <v>0</v>
      </c>
      <c r="AA29" s="454">
        <f>IF($E29&gt;1,VLOOKUP($M29,Tbl_Glob_ParEnt,AA$1,FALSE),0)*$Y29</f>
        <v>0</v>
      </c>
      <c r="AB29" s="454">
        <f>IF($E29&gt;1,VLOOKUP($M29,Tbl_Glob_ParEnt,AB$1,FALSE),0)*$Y29</f>
        <v>0</v>
      </c>
      <c r="AC29" s="454">
        <f>IF($E29&gt;1,VLOOKUP($M29,Tbl_Glob_ParEnt,AC$1,FALSE),0)*$Y29</f>
        <v>0</v>
      </c>
      <c r="AD29" s="454">
        <f>IF($E29&gt;1,VLOOKUP($M29,Tbl_Glob_ParEnt,AD$1,FALSE),0)*$Y29</f>
        <v>0</v>
      </c>
      <c r="AE29" s="454">
        <f>IF($E29&gt;1,VLOOKUP($M29,Tbl_Glob_ParEnt,AE$1,FALSE),0)*$Y29</f>
        <v>0</v>
      </c>
      <c r="AF29" s="454">
        <f>IF($E29&gt;1,VLOOKUP($M29,Tbl_Glob_ParEnt,AF$1,FALSE),0)*$Y29</f>
        <v>0</v>
      </c>
      <c r="AG29" s="454">
        <f>IF($E29&gt;1,VLOOKUP($M29,Tbl_Glob_ParEnt,AG$1,FALSE),0)*$Y29</f>
        <v>0</v>
      </c>
      <c r="AH29" s="454">
        <f>IF($E29&gt;1,VLOOKUP($M29,Tbl_Glob_ParEnt,AH$1,FALSE),0)*$Y29</f>
        <v>0</v>
      </c>
      <c r="AI29" s="454">
        <f>IF($E29&gt;1,VLOOKUP($M29,Tbl_Glob_ParEnt,AI$1,FALSE),0)*$Y29</f>
        <v>0</v>
      </c>
      <c r="AJ29" s="454">
        <f>IF($E29&gt;1,VLOOKUP($M29,Tbl_Glob_ParEnt,AJ$1,FALSE),0)*$Y29</f>
        <v>0</v>
      </c>
      <c r="AK29" s="454">
        <f>IF($E29&gt;1,VLOOKUP($M29,Tbl_Glob_ParEnt,AK$1,FALSE),0)*$Y29</f>
        <v>0</v>
      </c>
      <c r="AL29" s="154">
        <f t="shared" si="23"/>
        <v>0</v>
      </c>
      <c r="AM29" s="154">
        <f t="shared" si="17"/>
        <v>0</v>
      </c>
      <c r="AO29" s="454" t="str">
        <f t="shared" si="24"/>
        <v/>
      </c>
    </row>
    <row r="30" spans="1:43" x14ac:dyDescent="0.2">
      <c r="A30" s="154" t="s">
        <v>597</v>
      </c>
      <c r="B30" s="154">
        <v>1</v>
      </c>
      <c r="C30" s="154">
        <v>0</v>
      </c>
      <c r="D30" s="154">
        <v>0</v>
      </c>
      <c r="E30" s="154">
        <v>1</v>
      </c>
      <c r="F30" s="154">
        <v>0</v>
      </c>
      <c r="G30" s="454">
        <f t="shared" si="7"/>
        <v>0</v>
      </c>
      <c r="H30" s="454">
        <f t="shared" si="8"/>
        <v>1</v>
      </c>
      <c r="I30" s="154" t="b">
        <v>0</v>
      </c>
      <c r="J30" s="454" t="str">
        <f t="shared" si="9"/>
        <v/>
      </c>
      <c r="K30" s="454" t="str">
        <f t="shared" si="10"/>
        <v/>
      </c>
      <c r="L30" s="454" t="str">
        <f t="shared" si="11"/>
        <v/>
      </c>
      <c r="M30" s="454" t="str">
        <f t="shared" si="12"/>
        <v/>
      </c>
      <c r="N30" s="454" t="str">
        <f t="shared" si="18"/>
        <v/>
      </c>
      <c r="O30" s="454" t="str">
        <f t="shared" si="13"/>
        <v/>
      </c>
      <c r="P30" s="454" t="str">
        <f t="shared" si="14"/>
        <v/>
      </c>
      <c r="Q30" s="454" t="str">
        <f t="shared" si="15"/>
        <v/>
      </c>
      <c r="R30" s="454" t="b">
        <f t="shared" si="19"/>
        <v>0</v>
      </c>
      <c r="S30" s="454" t="b">
        <f t="shared" si="20"/>
        <v>0</v>
      </c>
      <c r="T30" s="454" t="b">
        <f>NOT(OR(B30=1,E30=INDEX(Tbl_Neo_MedIV,B30,9)))</f>
        <v>0</v>
      </c>
      <c r="U30" s="454" t="b">
        <f>AND(B30&gt;1,NOT(AND(G30&gt;=INDEX(Tbl_Neo_MedIV,B30,6),G35&lt;=INDEX(Tbl_Neo_MedIV,B30,7))))</f>
        <v>0</v>
      </c>
      <c r="V30" s="454" t="b">
        <f>AND(B30&gt;1,AND(G30&gt;0,G30&gt;INDEX(Tbl_Neo_MedIV,B30,8)))</f>
        <v>0</v>
      </c>
      <c r="W30" s="454" t="str">
        <f t="shared" si="21"/>
        <v/>
      </c>
      <c r="X30" s="454" t="str">
        <f t="shared" si="22"/>
        <v/>
      </c>
      <c r="Y30" s="154">
        <f t="shared" si="16"/>
        <v>0</v>
      </c>
      <c r="Z30" s="454">
        <f>IF($E30&gt;1,VLOOKUP($M30,Tbl_Glob_ParEnt,Z$1,FALSE),0)*$Y30</f>
        <v>0</v>
      </c>
      <c r="AA30" s="454">
        <f>IF($E30&gt;1,VLOOKUP($M30,Tbl_Glob_ParEnt,AA$1,FALSE),0)*$Y30</f>
        <v>0</v>
      </c>
      <c r="AB30" s="454">
        <f>IF($E30&gt;1,VLOOKUP($M30,Tbl_Glob_ParEnt,AB$1,FALSE),0)*$Y30</f>
        <v>0</v>
      </c>
      <c r="AC30" s="454">
        <f>IF($E30&gt;1,VLOOKUP($M30,Tbl_Glob_ParEnt,AC$1,FALSE),0)*$Y30</f>
        <v>0</v>
      </c>
      <c r="AD30" s="454">
        <f>IF($E30&gt;1,VLOOKUP($M30,Tbl_Glob_ParEnt,AD$1,FALSE),0)*$Y30</f>
        <v>0</v>
      </c>
      <c r="AE30" s="454">
        <f>IF($E30&gt;1,VLOOKUP($M30,Tbl_Glob_ParEnt,AE$1,FALSE),0)*$Y30</f>
        <v>0</v>
      </c>
      <c r="AF30" s="454">
        <f>IF($E30&gt;1,VLOOKUP($M30,Tbl_Glob_ParEnt,AF$1,FALSE),0)*$Y30</f>
        <v>0</v>
      </c>
      <c r="AG30" s="454">
        <f>IF($E30&gt;1,VLOOKUP($M30,Tbl_Glob_ParEnt,AG$1,FALSE),0)*$Y30</f>
        <v>0</v>
      </c>
      <c r="AH30" s="454">
        <f>IF($E30&gt;1,VLOOKUP($M30,Tbl_Glob_ParEnt,AH$1,FALSE),0)*$Y30</f>
        <v>0</v>
      </c>
      <c r="AI30" s="454">
        <f>IF($E30&gt;1,VLOOKUP($M30,Tbl_Glob_ParEnt,AI$1,FALSE),0)*$Y30</f>
        <v>0</v>
      </c>
      <c r="AJ30" s="454">
        <f>IF($E30&gt;1,VLOOKUP($M30,Tbl_Glob_ParEnt,AJ$1,FALSE),0)*$Y30</f>
        <v>0</v>
      </c>
      <c r="AK30" s="454">
        <f>IF($E30&gt;1,VLOOKUP($M30,Tbl_Glob_ParEnt,AK$1,FALSE),0)*$Y30</f>
        <v>0</v>
      </c>
      <c r="AL30" s="154">
        <f t="shared" si="23"/>
        <v>0</v>
      </c>
      <c r="AM30" s="154">
        <f t="shared" si="17"/>
        <v>0</v>
      </c>
      <c r="AO30" s="454" t="str">
        <f t="shared" si="24"/>
        <v/>
      </c>
    </row>
    <row r="31" spans="1:43" x14ac:dyDescent="0.2">
      <c r="A31" s="154" t="s">
        <v>598</v>
      </c>
      <c r="B31" s="154">
        <v>1</v>
      </c>
      <c r="C31" s="154">
        <v>0</v>
      </c>
      <c r="D31" s="154">
        <v>0</v>
      </c>
      <c r="E31" s="154">
        <v>1</v>
      </c>
      <c r="F31" s="154">
        <v>0</v>
      </c>
      <c r="G31" s="454">
        <f t="shared" si="7"/>
        <v>0</v>
      </c>
      <c r="H31" s="454">
        <f t="shared" si="8"/>
        <v>1</v>
      </c>
      <c r="I31" s="154" t="b">
        <v>0</v>
      </c>
      <c r="J31" s="454" t="str">
        <f t="shared" si="9"/>
        <v/>
      </c>
      <c r="K31" s="454" t="str">
        <f t="shared" si="10"/>
        <v/>
      </c>
      <c r="L31" s="454" t="str">
        <f t="shared" si="11"/>
        <v/>
      </c>
      <c r="M31" s="454" t="str">
        <f t="shared" si="12"/>
        <v/>
      </c>
      <c r="N31" s="454" t="str">
        <f t="shared" si="18"/>
        <v/>
      </c>
      <c r="O31" s="454" t="str">
        <f t="shared" si="13"/>
        <v/>
      </c>
      <c r="P31" s="454" t="str">
        <f t="shared" si="14"/>
        <v/>
      </c>
      <c r="Q31" s="454" t="str">
        <f t="shared" si="15"/>
        <v/>
      </c>
      <c r="R31" s="454" t="b">
        <f t="shared" si="19"/>
        <v>0</v>
      </c>
      <c r="S31" s="454" t="b">
        <f t="shared" si="20"/>
        <v>0</v>
      </c>
      <c r="T31" s="454" t="b">
        <f>NOT(OR(B31=1,E31=INDEX(Tbl_Neo_MedIV,B31,9)))</f>
        <v>0</v>
      </c>
      <c r="U31" s="454" t="b">
        <f>AND(B31&gt;1,NOT(AND(G31&gt;=INDEX(Tbl_Neo_MedIV,B31,6),G36&lt;=INDEX(Tbl_Neo_MedIV,B31,7))))</f>
        <v>0</v>
      </c>
      <c r="V31" s="454" t="b">
        <f>AND(B31&gt;1,AND(G31&gt;0,G31&gt;INDEX(Tbl_Neo_MedIV,B31,8)))</f>
        <v>0</v>
      </c>
      <c r="W31" s="454" t="str">
        <f t="shared" si="21"/>
        <v/>
      </c>
      <c r="X31" s="454" t="str">
        <f t="shared" si="22"/>
        <v/>
      </c>
      <c r="Y31" s="154">
        <f t="shared" si="16"/>
        <v>0</v>
      </c>
      <c r="Z31" s="454">
        <f>IF($E31&gt;1,VLOOKUP($M31,Tbl_Glob_ParEnt,Z$1,FALSE),0)*$Y31</f>
        <v>0</v>
      </c>
      <c r="AA31" s="454">
        <f>IF($E31&gt;1,VLOOKUP($M31,Tbl_Glob_ParEnt,AA$1,FALSE),0)*$Y31</f>
        <v>0</v>
      </c>
      <c r="AB31" s="454">
        <f>IF($E31&gt;1,VLOOKUP($M31,Tbl_Glob_ParEnt,AB$1,FALSE),0)*$Y31</f>
        <v>0</v>
      </c>
      <c r="AC31" s="454">
        <f>IF($E31&gt;1,VLOOKUP($M31,Tbl_Glob_ParEnt,AC$1,FALSE),0)*$Y31</f>
        <v>0</v>
      </c>
      <c r="AD31" s="454">
        <f>IF($E31&gt;1,VLOOKUP($M31,Tbl_Glob_ParEnt,AD$1,FALSE),0)*$Y31</f>
        <v>0</v>
      </c>
      <c r="AE31" s="454">
        <f>IF($E31&gt;1,VLOOKUP($M31,Tbl_Glob_ParEnt,AE$1,FALSE),0)*$Y31</f>
        <v>0</v>
      </c>
      <c r="AF31" s="454">
        <f>IF($E31&gt;1,VLOOKUP($M31,Tbl_Glob_ParEnt,AF$1,FALSE),0)*$Y31</f>
        <v>0</v>
      </c>
      <c r="AG31" s="454">
        <f>IF($E31&gt;1,VLOOKUP($M31,Tbl_Glob_ParEnt,AG$1,FALSE),0)*$Y31</f>
        <v>0</v>
      </c>
      <c r="AH31" s="454">
        <f>IF($E31&gt;1,VLOOKUP($M31,Tbl_Glob_ParEnt,AH$1,FALSE),0)*$Y31</f>
        <v>0</v>
      </c>
      <c r="AI31" s="454">
        <f>IF($E31&gt;1,VLOOKUP($M31,Tbl_Glob_ParEnt,AI$1,FALSE),0)*$Y31</f>
        <v>0</v>
      </c>
      <c r="AJ31" s="454">
        <f>IF($E31&gt;1,VLOOKUP($M31,Tbl_Glob_ParEnt,AJ$1,FALSE),0)*$Y31</f>
        <v>0</v>
      </c>
      <c r="AK31" s="454">
        <f>IF($E31&gt;1,VLOOKUP($M31,Tbl_Glob_ParEnt,AK$1,FALSE),0)*$Y31</f>
        <v>0</v>
      </c>
      <c r="AL31" s="154">
        <f t="shared" si="23"/>
        <v>0</v>
      </c>
      <c r="AM31" s="154">
        <f t="shared" si="17"/>
        <v>0</v>
      </c>
      <c r="AO31" s="454" t="str">
        <f t="shared" si="24"/>
        <v/>
      </c>
    </row>
    <row r="32" spans="1:43" s="454" customFormat="1" x14ac:dyDescent="0.2">
      <c r="A32" s="454" t="s">
        <v>4834</v>
      </c>
      <c r="B32" s="454">
        <v>1</v>
      </c>
      <c r="C32" s="454">
        <v>0</v>
      </c>
      <c r="D32" s="454">
        <v>0</v>
      </c>
      <c r="E32" s="454">
        <v>1</v>
      </c>
      <c r="F32" s="454">
        <v>0</v>
      </c>
      <c r="G32" s="454">
        <f t="shared" ref="G32" si="25">IF(AND(_Pat_Gewicht&gt;0,D32&gt;0),ROUND( ((C32/10)/D32)*(F32/10)*H32/(_Pat_Gewicht/10),2),0)</f>
        <v>0</v>
      </c>
      <c r="H32" s="454">
        <f t="shared" ref="H32" si="26">IF(B32&gt;1,INDEX(Tbl_Neo_MedIV,B32,12),1)</f>
        <v>1</v>
      </c>
      <c r="I32" s="454" t="b">
        <v>0</v>
      </c>
      <c r="J32" s="454" t="str">
        <f t="shared" si="9"/>
        <v/>
      </c>
      <c r="K32" s="454" t="str">
        <f t="shared" ref="K32" si="27">IF($B32&gt;1,(C32/10)&amp;" "&amp;INDEX(Tbl_Neo_MedIV,$B32,K$1),"")</f>
        <v/>
      </c>
      <c r="L32" s="454" t="str">
        <f t="shared" ref="L32" si="28">IF($B32&gt;1,(D32)&amp;" ml","")</f>
        <v/>
      </c>
      <c r="M32" s="454" t="str">
        <f t="shared" ref="M32" si="29">IF(E32&gt;1,INDEX(Tbl_Neo_OplVlst,E32,1),"")</f>
        <v/>
      </c>
      <c r="N32" s="454" t="str">
        <f t="shared" ref="N32" si="30">IF(B32&gt;1,(F32/10)&amp;" ml/uur","")</f>
        <v/>
      </c>
      <c r="O32" s="454" t="str">
        <f t="shared" ref="O32" si="31">IF(B32&gt;1,INDEX(Tbl_Neo_MedIV,B32,O$1),"")</f>
        <v/>
      </c>
      <c r="P32" s="454" t="str">
        <f t="shared" ref="P32" si="32">IF(B32&gt;1,INDEX(Tbl_Neo_MedIV,B32,P$1),"")</f>
        <v/>
      </c>
      <c r="Q32" s="454" t="str">
        <f t="shared" ref="Q32" si="33">IF(B32&gt;1,IF(AM32*10&gt;1,AL32&amp;" uren",AL32&amp;" minuten"),"")</f>
        <v/>
      </c>
      <c r="R32" s="454" t="b">
        <f t="shared" si="19"/>
        <v>0</v>
      </c>
      <c r="S32" s="454" t="b">
        <f t="shared" si="20"/>
        <v>0</v>
      </c>
      <c r="T32" s="454" t="b">
        <f>NOT(OR(B32=1,E32=INDEX(Tbl_Neo_MedIV,B32,9)))</f>
        <v>0</v>
      </c>
      <c r="U32" s="454" t="b">
        <f>AND(B32&gt;1,NOT(AND(G32&gt;=INDEX(Tbl_Neo_MedIV,B32,6),G37&lt;=INDEX(Tbl_Neo_MedIV,B32,7))))</f>
        <v>0</v>
      </c>
      <c r="V32" s="454" t="b">
        <f>AND(B32&gt;1,AND(G32&gt;0,G32&gt;INDEX(Tbl_Neo_MedIV,B32,8)))</f>
        <v>0</v>
      </c>
      <c r="W32" s="454" t="str">
        <f t="shared" si="21"/>
        <v/>
      </c>
      <c r="X32" s="454" t="str">
        <f t="shared" si="22"/>
        <v/>
      </c>
      <c r="Y32" s="454">
        <f t="shared" ref="Y32" si="34">IF(I32,0,F32*2.4)</f>
        <v>0</v>
      </c>
      <c r="Z32" s="454">
        <f>IF($E32&gt;1,VLOOKUP($M32,Tbl_Glob_ParEnt,Z$1,FALSE),0)*$Y32</f>
        <v>0</v>
      </c>
      <c r="AA32" s="454">
        <f>IF($E32&gt;1,VLOOKUP($M32,Tbl_Glob_ParEnt,AA$1,FALSE),0)*$Y32</f>
        <v>0</v>
      </c>
      <c r="AB32" s="454">
        <f>IF($E32&gt;1,VLOOKUP($M32,Tbl_Glob_ParEnt,AB$1,FALSE),0)*$Y32</f>
        <v>0</v>
      </c>
      <c r="AC32" s="454">
        <f>IF($E32&gt;1,VLOOKUP($M32,Tbl_Glob_ParEnt,AC$1,FALSE),0)*$Y32</f>
        <v>0</v>
      </c>
      <c r="AD32" s="454">
        <f>IF($E32&gt;1,VLOOKUP($M32,Tbl_Glob_ParEnt,AD$1,FALSE),0)*$Y32</f>
        <v>0</v>
      </c>
      <c r="AE32" s="454">
        <f>IF($E32&gt;1,VLOOKUP($M32,Tbl_Glob_ParEnt,AE$1,FALSE),0)*$Y32</f>
        <v>0</v>
      </c>
      <c r="AF32" s="454">
        <f>IF($E32&gt;1,VLOOKUP($M32,Tbl_Glob_ParEnt,AF$1,FALSE),0)*$Y32</f>
        <v>0</v>
      </c>
      <c r="AG32" s="454">
        <f>IF($E32&gt;1,VLOOKUP($M32,Tbl_Glob_ParEnt,AG$1,FALSE),0)*$Y32</f>
        <v>0</v>
      </c>
      <c r="AH32" s="454">
        <f>IF($E32&gt;1,VLOOKUP($M32,Tbl_Glob_ParEnt,AH$1,FALSE),0)*$Y32</f>
        <v>0</v>
      </c>
      <c r="AI32" s="454">
        <f>IF($E32&gt;1,VLOOKUP($M32,Tbl_Glob_ParEnt,AI$1,FALSE),0)*$Y32</f>
        <v>0</v>
      </c>
      <c r="AJ32" s="454">
        <f>IF($E32&gt;1,VLOOKUP($M32,Tbl_Glob_ParEnt,AJ$1,FALSE),0)*$Y32</f>
        <v>0</v>
      </c>
      <c r="AK32" s="454">
        <f>IF($E32&gt;1,VLOOKUP($M32,Tbl_Glob_ParEnt,AK$1,FALSE),0)*$Y32</f>
        <v>0</v>
      </c>
      <c r="AL32" s="454">
        <f t="shared" ref="AL32" si="35">ROUND(IF(AM32*10&gt;1,AM32*10,AM32*600),0)</f>
        <v>0</v>
      </c>
      <c r="AM32" s="454">
        <f t="shared" ref="AM32" si="36">IF(F32&gt;0,D32/F32,0)</f>
        <v>0</v>
      </c>
      <c r="AO32" s="454" t="str">
        <f t="shared" ref="AO32" si="37">IF(B32&gt;1,CONCATENATE(J32," ",K32," in ",L32," ",M32,", ",N32," = ",G32," ",O32," (in ",Q32, ")"),"")</f>
        <v/>
      </c>
    </row>
    <row r="33" spans="1:49" x14ac:dyDescent="0.2">
      <c r="A33" s="154" t="s">
        <v>548</v>
      </c>
      <c r="E33" s="154">
        <v>1</v>
      </c>
      <c r="F33" s="154">
        <v>0</v>
      </c>
      <c r="I33" s="154" t="b">
        <v>0</v>
      </c>
      <c r="J33" s="154"/>
      <c r="K33" s="154"/>
      <c r="L33" s="154"/>
      <c r="M33" s="454" t="str">
        <f t="shared" si="12"/>
        <v/>
      </c>
      <c r="N33" s="454" t="str">
        <f>IF(F33&gt;0,(F33/10)&amp;" ml/uur","")</f>
        <v/>
      </c>
      <c r="O33" s="154"/>
      <c r="P33" s="154"/>
      <c r="Q33" s="154"/>
      <c r="W33" s="454" t="str">
        <f>IF(E33=1,"","verw")</f>
        <v/>
      </c>
      <c r="Y33" s="154">
        <f t="shared" si="16"/>
        <v>0</v>
      </c>
      <c r="Z33" s="454">
        <f>IF($E33&gt;1,VLOOKUP($M33,Tbl_Glob_ParEnt,Z$1,FALSE),0)*$Y33</f>
        <v>0</v>
      </c>
      <c r="AA33" s="454">
        <f>IF($E33&gt;1,VLOOKUP($M33,Tbl_Glob_ParEnt,AA$1,FALSE),0)*$Y33</f>
        <v>0</v>
      </c>
      <c r="AB33" s="454">
        <f>IF($E33&gt;1,VLOOKUP($M33,Tbl_Glob_ParEnt,AB$1,FALSE),0)*$Y33</f>
        <v>0</v>
      </c>
      <c r="AC33" s="454">
        <f>IF($E33&gt;1,VLOOKUP($M33,Tbl_Glob_ParEnt,AC$1,FALSE),0)*$Y33</f>
        <v>0</v>
      </c>
      <c r="AD33" s="454">
        <f>IF($E33&gt;1,VLOOKUP($M33,Tbl_Glob_ParEnt,AD$1,FALSE),0)*$Y33</f>
        <v>0</v>
      </c>
      <c r="AE33" s="454">
        <f>IF($E33&gt;1,VLOOKUP($M33,Tbl_Glob_ParEnt,AE$1,FALSE),0)*$Y33</f>
        <v>0</v>
      </c>
      <c r="AF33" s="454">
        <f>IF($E33&gt;1,VLOOKUP($M33,Tbl_Glob_ParEnt,AF$1,FALSE),0)*$Y33</f>
        <v>0</v>
      </c>
      <c r="AG33" s="454">
        <f>IF($E33&gt;1,VLOOKUP($M33,Tbl_Glob_ParEnt,AG$1,FALSE),0)*$Y33</f>
        <v>0</v>
      </c>
      <c r="AH33" s="454">
        <f>IF($E33&gt;1,VLOOKUP($M33,Tbl_Glob_ParEnt,AH$1,FALSE),0)*$Y33</f>
        <v>0</v>
      </c>
      <c r="AI33" s="454">
        <f>IF($E33&gt;1,VLOOKUP($M33,Tbl_Glob_ParEnt,AI$1,FALSE),0)*$Y33</f>
        <v>0</v>
      </c>
      <c r="AJ33" s="454">
        <f>IF($E33&gt;1,VLOOKUP($M33,Tbl_Glob_ParEnt,AJ$1,FALSE),0)*$Y33</f>
        <v>0</v>
      </c>
      <c r="AK33" s="454">
        <f>IF($E33&gt;1,VLOOKUP($M33,Tbl_Glob_ParEnt,AK$1,FALSE),0)*$Y33</f>
        <v>0</v>
      </c>
      <c r="AL33" s="154">
        <f>ROUND(IF(AM33*10&gt;1,AM33*10,AM33*600),0)</f>
        <v>0</v>
      </c>
      <c r="AM33" s="154">
        <f t="shared" si="17"/>
        <v>0</v>
      </c>
      <c r="AO33" s="435" t="str">
        <f>IF(M33="","",CONCATENATE(A33," ",M33," ",N33))</f>
        <v/>
      </c>
    </row>
    <row r="34" spans="1:49" x14ac:dyDescent="0.2">
      <c r="A34" s="154" t="s">
        <v>549</v>
      </c>
      <c r="E34" s="154">
        <v>1</v>
      </c>
      <c r="F34" s="154">
        <v>0</v>
      </c>
      <c r="I34" s="154" t="b">
        <v>0</v>
      </c>
      <c r="J34" s="154"/>
      <c r="K34" s="154"/>
      <c r="L34" s="154"/>
      <c r="M34" s="454" t="str">
        <f t="shared" si="12"/>
        <v/>
      </c>
      <c r="N34" s="454" t="str">
        <f t="shared" ref="N34:N35" si="38">IF(F34&gt;0,(F34/10)&amp;" ml/uur","")</f>
        <v/>
      </c>
      <c r="O34" s="154"/>
      <c r="P34" s="154"/>
      <c r="Q34" s="154"/>
      <c r="W34" s="454" t="str">
        <f t="shared" ref="W34:W35" si="39">IF(E34=1,"","verw")</f>
        <v/>
      </c>
      <c r="Y34" s="154">
        <f t="shared" si="16"/>
        <v>0</v>
      </c>
      <c r="Z34" s="454">
        <f>IF($E34&gt;1,VLOOKUP($M34,Tbl_Glob_ParEnt,Z$1,FALSE),0)*$Y34</f>
        <v>0</v>
      </c>
      <c r="AA34" s="454">
        <f>IF($E34&gt;1,VLOOKUP($M34,Tbl_Glob_ParEnt,AA$1,FALSE),0)*$Y34</f>
        <v>0</v>
      </c>
      <c r="AB34" s="454">
        <f>IF($E34&gt;1,VLOOKUP($M34,Tbl_Glob_ParEnt,AB$1,FALSE),0)*$Y34</f>
        <v>0</v>
      </c>
      <c r="AC34" s="454">
        <f>IF($E34&gt;1,VLOOKUP($M34,Tbl_Glob_ParEnt,AC$1,FALSE),0)*$Y34</f>
        <v>0</v>
      </c>
      <c r="AD34" s="454">
        <f>IF($E34&gt;1,VLOOKUP($M34,Tbl_Glob_ParEnt,AD$1,FALSE),0)*$Y34</f>
        <v>0</v>
      </c>
      <c r="AE34" s="454">
        <f>IF($E34&gt;1,VLOOKUP($M34,Tbl_Glob_ParEnt,AE$1,FALSE),0)*$Y34</f>
        <v>0</v>
      </c>
      <c r="AF34" s="454">
        <f>IF($E34&gt;1,VLOOKUP($M34,Tbl_Glob_ParEnt,AF$1,FALSE),0)*$Y34</f>
        <v>0</v>
      </c>
      <c r="AG34" s="454">
        <f>IF($E34&gt;1,VLOOKUP($M34,Tbl_Glob_ParEnt,AG$1,FALSE),0)*$Y34</f>
        <v>0</v>
      </c>
      <c r="AH34" s="454">
        <f>IF($E34&gt;1,VLOOKUP($M34,Tbl_Glob_ParEnt,AH$1,FALSE),0)*$Y34</f>
        <v>0</v>
      </c>
      <c r="AI34" s="454">
        <f>IF($E34&gt;1,VLOOKUP($M34,Tbl_Glob_ParEnt,AI$1,FALSE),0)*$Y34</f>
        <v>0</v>
      </c>
      <c r="AJ34" s="454">
        <f>IF($E34&gt;1,VLOOKUP($M34,Tbl_Glob_ParEnt,AJ$1,FALSE),0)*$Y34</f>
        <v>0</v>
      </c>
      <c r="AK34" s="454">
        <f>IF($E34&gt;1,VLOOKUP($M34,Tbl_Glob_ParEnt,AK$1,FALSE),0)*$Y34</f>
        <v>0</v>
      </c>
      <c r="AL34" s="154">
        <f>ROUND(IF(AM34*10&gt;1,AM34*10,AM34*600),0)</f>
        <v>0</v>
      </c>
      <c r="AM34" s="154">
        <f t="shared" si="17"/>
        <v>0</v>
      </c>
      <c r="AO34" s="454" t="str">
        <f t="shared" ref="AO34:AO35" si="40">IF(M34="","",CONCATENATE(A34," ",M34," ",N34))</f>
        <v/>
      </c>
    </row>
    <row r="35" spans="1:49" x14ac:dyDescent="0.2">
      <c r="A35" s="154" t="s">
        <v>550</v>
      </c>
      <c r="E35" s="154">
        <v>1</v>
      </c>
      <c r="F35" s="154">
        <v>0</v>
      </c>
      <c r="I35" s="154" t="b">
        <v>0</v>
      </c>
      <c r="J35" s="154"/>
      <c r="K35" s="154"/>
      <c r="L35" s="154"/>
      <c r="M35" s="454" t="str">
        <f t="shared" si="12"/>
        <v/>
      </c>
      <c r="N35" s="454" t="str">
        <f t="shared" si="38"/>
        <v/>
      </c>
      <c r="O35" s="154"/>
      <c r="P35" s="154"/>
      <c r="Q35" s="154"/>
      <c r="W35" s="454" t="str">
        <f t="shared" si="39"/>
        <v/>
      </c>
      <c r="Y35" s="154">
        <f t="shared" si="16"/>
        <v>0</v>
      </c>
      <c r="Z35" s="454">
        <f>IF($E35&gt;1,VLOOKUP($M35,Tbl_Glob_ParEnt,Z$1,FALSE),0)*$Y35</f>
        <v>0</v>
      </c>
      <c r="AA35" s="454">
        <f>IF($E35&gt;1,VLOOKUP($M35,Tbl_Glob_ParEnt,AA$1,FALSE),0)*$Y35</f>
        <v>0</v>
      </c>
      <c r="AB35" s="454">
        <f>IF($E35&gt;1,VLOOKUP($M35,Tbl_Glob_ParEnt,AB$1,FALSE),0)*$Y35</f>
        <v>0</v>
      </c>
      <c r="AC35" s="454">
        <f>IF($E35&gt;1,VLOOKUP($M35,Tbl_Glob_ParEnt,AC$1,FALSE),0)*$Y35</f>
        <v>0</v>
      </c>
      <c r="AD35" s="454">
        <f>IF($E35&gt;1,VLOOKUP($M35,Tbl_Glob_ParEnt,AD$1,FALSE),0)*$Y35</f>
        <v>0</v>
      </c>
      <c r="AE35" s="454">
        <f>IF($E35&gt;1,VLOOKUP($M35,Tbl_Glob_ParEnt,AE$1,FALSE),0)*$Y35</f>
        <v>0</v>
      </c>
      <c r="AF35" s="454">
        <f>IF($E35&gt;1,VLOOKUP($M35,Tbl_Glob_ParEnt,AF$1,FALSE),0)*$Y35</f>
        <v>0</v>
      </c>
      <c r="AG35" s="454">
        <f>IF($E35&gt;1,VLOOKUP($M35,Tbl_Glob_ParEnt,AG$1,FALSE),0)*$Y35</f>
        <v>0</v>
      </c>
      <c r="AH35" s="454">
        <f>IF($E35&gt;1,VLOOKUP($M35,Tbl_Glob_ParEnt,AH$1,FALSE),0)*$Y35</f>
        <v>0</v>
      </c>
      <c r="AI35" s="454">
        <f>IF($E35&gt;1,VLOOKUP($M35,Tbl_Glob_ParEnt,AI$1,FALSE),0)*$Y35</f>
        <v>0</v>
      </c>
      <c r="AJ35" s="454">
        <f>IF($E35&gt;1,VLOOKUP($M35,Tbl_Glob_ParEnt,AJ$1,FALSE),0)*$Y35</f>
        <v>0</v>
      </c>
      <c r="AK35" s="454">
        <f>IF($E35&gt;1,VLOOKUP($M35,Tbl_Glob_ParEnt,AK$1,FALSE),0)*$Y35</f>
        <v>0</v>
      </c>
      <c r="AL35" s="154">
        <f>ROUND(IF(AM35*10&gt;1,AM35*10,AM35*600),0)</f>
        <v>0</v>
      </c>
      <c r="AM35" s="154">
        <f t="shared" si="17"/>
        <v>0</v>
      </c>
      <c r="AO35" s="454" t="str">
        <f t="shared" si="40"/>
        <v/>
      </c>
    </row>
    <row r="36" spans="1:49" x14ac:dyDescent="0.2">
      <c r="A36" s="387" t="s">
        <v>982</v>
      </c>
      <c r="W36" s="454" t="str">
        <f>IF(B36="","","verw")</f>
        <v/>
      </c>
      <c r="AO36" s="154" t="str">
        <f>IF(B36="","",B36)</f>
        <v/>
      </c>
    </row>
    <row r="37" spans="1:49" x14ac:dyDescent="0.2">
      <c r="A37" s="387" t="s">
        <v>4835</v>
      </c>
      <c r="W37" s="454" t="str">
        <f>IF(B37="","","verw")</f>
        <v/>
      </c>
      <c r="AO37" s="435" t="str">
        <f>IF(B37="","",B37)</f>
        <v/>
      </c>
    </row>
    <row r="38" spans="1:49" s="454" customFormat="1" x14ac:dyDescent="0.2"/>
    <row r="39" spans="1:49" x14ac:dyDescent="0.2">
      <c r="A39" s="154" t="s">
        <v>226</v>
      </c>
      <c r="B39" s="154" t="s">
        <v>536</v>
      </c>
      <c r="C39" s="154" t="s">
        <v>51</v>
      </c>
      <c r="D39" s="154" t="s">
        <v>4803</v>
      </c>
      <c r="F39" s="154" t="s">
        <v>989</v>
      </c>
      <c r="AP39" s="454"/>
    </row>
    <row r="40" spans="1:49" x14ac:dyDescent="0.2">
      <c r="A40" s="154" t="s">
        <v>191</v>
      </c>
      <c r="B40" s="304">
        <f ca="1">ROUND((_Pat_Gewicht/10)*INDEX(NeoBerAdvies!$B$8:$G$15,8,$C$4),0)</f>
        <v>12</v>
      </c>
      <c r="C40" s="154">
        <f ca="1">ROUND(IF(AND(B21,B40+(D40-5000)&gt;0),B40+(D40-5000),0),0)</f>
        <v>0</v>
      </c>
      <c r="D40" s="154">
        <v>5000</v>
      </c>
      <c r="F40" s="154">
        <v>1</v>
      </c>
      <c r="M40" s="454" t="str">
        <f>INDEX(tbl_Neo_IntralipidSmof,Var_Neo_InfB_TPN_IntralipidSmof)</f>
        <v>Intralipid 20% (incl vitintra)</v>
      </c>
      <c r="N40" s="454" t="str">
        <f ca="1">IF(C40&gt;0,C40/10&amp;" ml/uur","")</f>
        <v/>
      </c>
      <c r="W40" s="454" t="str">
        <f ca="1">IF(AND(Var_Neo_InfB_TPN_Parenteraal,C40&gt;0),"verw","")</f>
        <v/>
      </c>
      <c r="X40" s="454" t="str">
        <f>IF(AND(Var_Neo_InfB_TPN_Parenteraal,Var_Neo_InfB_TPN_IntraLipid=5000),"","stand")</f>
        <v>stand</v>
      </c>
      <c r="Y40" s="154">
        <f ca="1">C40</f>
        <v>0</v>
      </c>
      <c r="Z40" s="454">
        <f ca="1">IF($C40&gt;0,VLOOKUP($M40,Tbl_Glob_ParEnt,Z$1,FALSE),0)*$Y40</f>
        <v>0</v>
      </c>
      <c r="AA40" s="454">
        <f ca="1">IF($C40&gt;0,VLOOKUP($M40,Tbl_Glob_ParEnt,AA$1,FALSE),0)*$Y40</f>
        <v>0</v>
      </c>
      <c r="AB40" s="454">
        <f ca="1">IF($C40&gt;0,VLOOKUP($M40,Tbl_Glob_ParEnt,AB$1,FALSE),0)*$Y40</f>
        <v>0</v>
      </c>
      <c r="AC40" s="454">
        <f ca="1">IF($C40&gt;0,VLOOKUP($M40,Tbl_Glob_ParEnt,AC$1,FALSE),0)*$Y40</f>
        <v>0</v>
      </c>
      <c r="AD40" s="454">
        <f ca="1">IF($C40&gt;0,VLOOKUP($M40,Tbl_Glob_ParEnt,AD$1,FALSE),0)*$Y40</f>
        <v>0</v>
      </c>
      <c r="AE40" s="454">
        <f ca="1">IF($C40&gt;0,VLOOKUP($M40,Tbl_Glob_ParEnt,AE$1,FALSE),0)*$Y40</f>
        <v>0</v>
      </c>
      <c r="AF40" s="454">
        <f ca="1">IF($C40&gt;0,VLOOKUP($M40,Tbl_Glob_ParEnt,AF$1,FALSE),0)*$Y40</f>
        <v>0</v>
      </c>
      <c r="AG40" s="454">
        <f ca="1">IF($C40&gt;0,VLOOKUP($M40,Tbl_Glob_ParEnt,AG$1,FALSE),0)*$Y40</f>
        <v>0</v>
      </c>
      <c r="AH40" s="454">
        <f ca="1">IF($C40&gt;0,VLOOKUP($M40,Tbl_Glob_ParEnt,AH$1,FALSE),0)*$Y40</f>
        <v>0</v>
      </c>
      <c r="AI40" s="454">
        <f ca="1">IF($C40&gt;0,VLOOKUP($M40,Tbl_Glob_ParEnt,AI$1,FALSE),0)*$Y40</f>
        <v>0</v>
      </c>
      <c r="AJ40" s="454">
        <f ca="1">IF($C40&gt;0,VLOOKUP($M40,Tbl_Glob_ParEnt,AJ$1,FALSE),0)*$Y40</f>
        <v>0</v>
      </c>
      <c r="AK40" s="454">
        <f ca="1">IF($C40&gt;0,VLOOKUP($M40,Tbl_Glob_ParEnt,AK$1,FALSE),0)*$Y40</f>
        <v>0</v>
      </c>
      <c r="AO40" s="154" t="str">
        <f ca="1">IF(C40&lt;&gt;0,CONCATENATE("Intralipid 20% (incl.vitintra) ",ROUNDUP(C40/24,1)," ml/uur"),"")</f>
        <v/>
      </c>
      <c r="AP40" s="454"/>
    </row>
    <row r="41" spans="1:49" x14ac:dyDescent="0.2">
      <c r="A41" s="154" t="s">
        <v>4808</v>
      </c>
      <c r="B41" s="304"/>
      <c r="D41" s="154">
        <v>1</v>
      </c>
      <c r="L41" s="454" t="str">
        <f>IF(Var_Neo_InfB_TPN_Parenteraal,ROUND(SUM(Y42:Y50),1)&amp;" ml","")</f>
        <v/>
      </c>
      <c r="N41" s="454" t="str">
        <f>IF(Var_Neo_InfB_TPN_Parenteraal,ROUND(SUM(Y42:Y50)/24,1)&amp;" ml/uur","")</f>
        <v/>
      </c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O41" s="154" t="str">
        <f>IF(N41="","","TPN "&amp;L41&amp;" ("&amp;N41&amp;")")</f>
        <v/>
      </c>
    </row>
    <row r="42" spans="1:49" x14ac:dyDescent="0.2">
      <c r="A42" s="154" t="s">
        <v>328</v>
      </c>
      <c r="B42" s="304">
        <f ca="1">ROUND((_Pat_Gewicht/10)*INDEX(NeoBerAdvies!$B$8:$G$15,2,$C$4),0)</f>
        <v>0</v>
      </c>
      <c r="C42" s="154">
        <f ca="1">IF(AND($B$21,B42+(D42-5000)/10&gt;0),ROUND(B42+(D42-5000)/10,1),0)</f>
        <v>0</v>
      </c>
      <c r="D42" s="154">
        <v>5000</v>
      </c>
      <c r="L42" s="454" t="str">
        <f ca="1">IF(Y42&gt;0,Y42&amp;" ml","")</f>
        <v/>
      </c>
      <c r="M42" s="454" t="str">
        <f t="shared" ref="M42:M49" si="41">A42</f>
        <v>NaCl 2,9%</v>
      </c>
      <c r="Y42" s="154">
        <f ca="1">IF(OR($D$41=1,$D$41=3),C42,0)</f>
        <v>0</v>
      </c>
      <c r="Z42" s="454">
        <f ca="1">IF($C42&gt;0,VLOOKUP($M42,Tbl_Glob_ParEnt,Z$1,FALSE),0)*$Y42</f>
        <v>0</v>
      </c>
      <c r="AA42" s="454">
        <f ca="1">IF($C42&gt;0,VLOOKUP($M42,Tbl_Glob_ParEnt,AA$1,FALSE),0)*$Y42</f>
        <v>0</v>
      </c>
      <c r="AB42" s="454">
        <f ca="1">IF($C42&gt;0,VLOOKUP($M42,Tbl_Glob_ParEnt,AB$1,FALSE),0)*$Y42</f>
        <v>0</v>
      </c>
      <c r="AC42" s="454">
        <f ca="1">IF($C42&gt;0,VLOOKUP($M42,Tbl_Glob_ParEnt,AC$1,FALSE),0)*$Y42</f>
        <v>0</v>
      </c>
      <c r="AD42" s="454">
        <f ca="1">IF($C42&gt;0,VLOOKUP($M42,Tbl_Glob_ParEnt,AD$1,FALSE),0)*$Y42</f>
        <v>0</v>
      </c>
      <c r="AE42" s="454">
        <f ca="1">IF($C42&gt;0,VLOOKUP($M42,Tbl_Glob_ParEnt,AE$1,FALSE),0)*$Y42</f>
        <v>0</v>
      </c>
      <c r="AF42" s="454">
        <f ca="1">IF($C42&gt;0,VLOOKUP($M42,Tbl_Glob_ParEnt,AF$1,FALSE),0)*$Y42</f>
        <v>0</v>
      </c>
      <c r="AG42" s="454">
        <f ca="1">IF($C42&gt;0,VLOOKUP($M42,Tbl_Glob_ParEnt,AG$1,FALSE),0)*$Y42</f>
        <v>0</v>
      </c>
      <c r="AH42" s="454">
        <f ca="1">IF($C42&gt;0,VLOOKUP($M42,Tbl_Glob_ParEnt,AH$1,FALSE),0)*$Y42</f>
        <v>0</v>
      </c>
      <c r="AI42" s="454">
        <f ca="1">IF($C42&gt;0,VLOOKUP($M42,Tbl_Glob_ParEnt,AI$1,FALSE),0)*$Y42</f>
        <v>0</v>
      </c>
      <c r="AJ42" s="454">
        <f ca="1">IF($C42&gt;0,VLOOKUP($M42,Tbl_Glob_ParEnt,AJ$1,FALSE),0)*$Y42</f>
        <v>0</v>
      </c>
      <c r="AK42" s="454">
        <f ca="1">IF($C42&gt;0,VLOOKUP($M42,Tbl_Glob_ParEnt,AK$1,FALSE),0)*$Y42</f>
        <v>0</v>
      </c>
      <c r="AM42" s="655"/>
      <c r="AN42" s="655"/>
      <c r="AO42" s="154" t="str">
        <f ca="1">IF(L42="","",M42&amp;" "&amp;L42)</f>
        <v/>
      </c>
      <c r="AQ42" s="655"/>
      <c r="AR42" s="655"/>
      <c r="AS42" s="655"/>
      <c r="AT42" s="655"/>
      <c r="AU42" s="655"/>
      <c r="AV42" s="655"/>
      <c r="AW42" s="655"/>
    </row>
    <row r="43" spans="1:49" x14ac:dyDescent="0.2">
      <c r="A43" s="154" t="s">
        <v>552</v>
      </c>
      <c r="B43" s="304">
        <f ca="1">ROUND((_Pat_Gewicht/10)*INDEX(NeoBerAdvies!$B$8:$G$15,3,$C$4),0)</f>
        <v>0</v>
      </c>
      <c r="C43" s="154">
        <f ca="1">IF(AND($B$21,B43+(D43-5000)/10&gt;0),ROUND(B43+(D43-5000)/10,1),0)</f>
        <v>0</v>
      </c>
      <c r="D43" s="154">
        <v>5000</v>
      </c>
      <c r="L43" s="454" t="str">
        <f t="shared" ref="L43:L50" ca="1" si="42">IF(Y43&gt;0,Y43&amp;" ml","")</f>
        <v/>
      </c>
      <c r="M43" s="454" t="str">
        <f t="shared" si="41"/>
        <v>Kacetaat</v>
      </c>
      <c r="Y43" s="154">
        <f ca="1">IF(OR($D$41=1,$D$41=3),C43,0)</f>
        <v>0</v>
      </c>
      <c r="Z43" s="454">
        <f ca="1">IF($C43&gt;0,VLOOKUP($M43,Tbl_Glob_ParEnt,Z$1,FALSE),0)*$Y43</f>
        <v>0</v>
      </c>
      <c r="AA43" s="454">
        <f ca="1">IF($C43&gt;0,VLOOKUP($M43,Tbl_Glob_ParEnt,AA$1,FALSE),0)*$Y43</f>
        <v>0</v>
      </c>
      <c r="AB43" s="454">
        <f ca="1">IF($C43&gt;0,VLOOKUP($M43,Tbl_Glob_ParEnt,AB$1,FALSE),0)*$Y43</f>
        <v>0</v>
      </c>
      <c r="AC43" s="454">
        <f ca="1">IF($C43&gt;0,VLOOKUP($M43,Tbl_Glob_ParEnt,AC$1,FALSE),0)*$Y43</f>
        <v>0</v>
      </c>
      <c r="AD43" s="454">
        <f ca="1">IF($C43&gt;0,VLOOKUP($M43,Tbl_Glob_ParEnt,AD$1,FALSE),0)*$Y43</f>
        <v>0</v>
      </c>
      <c r="AE43" s="454">
        <f ca="1">IF($C43&gt;0,VLOOKUP($M43,Tbl_Glob_ParEnt,AE$1,FALSE),0)*$Y43</f>
        <v>0</v>
      </c>
      <c r="AF43" s="454">
        <f ca="1">IF($C43&gt;0,VLOOKUP($M43,Tbl_Glob_ParEnt,AF$1,FALSE),0)*$Y43</f>
        <v>0</v>
      </c>
      <c r="AG43" s="454">
        <f ca="1">IF($C43&gt;0,VLOOKUP($M43,Tbl_Glob_ParEnt,AG$1,FALSE),0)*$Y43</f>
        <v>0</v>
      </c>
      <c r="AH43" s="454">
        <f ca="1">IF($C43&gt;0,VLOOKUP($M43,Tbl_Glob_ParEnt,AH$1,FALSE),0)*$Y43</f>
        <v>0</v>
      </c>
      <c r="AI43" s="454">
        <f ca="1">IF($C43&gt;0,VLOOKUP($M43,Tbl_Glob_ParEnt,AI$1,FALSE),0)*$Y43</f>
        <v>0</v>
      </c>
      <c r="AJ43" s="454">
        <f ca="1">IF($C43&gt;0,VLOOKUP($M43,Tbl_Glob_ParEnt,AJ$1,FALSE),0)*$Y43</f>
        <v>0</v>
      </c>
      <c r="AK43" s="454">
        <f ca="1">IF($C43&gt;0,VLOOKUP($M43,Tbl_Glob_ParEnt,AK$1,FALSE),0)*$Y43</f>
        <v>0</v>
      </c>
      <c r="AO43" s="454" t="str">
        <f t="shared" ref="AO43:AO50" ca="1" si="43">IF(L43="","",M43&amp;" "&amp;L43)</f>
        <v/>
      </c>
    </row>
    <row r="44" spans="1:49" x14ac:dyDescent="0.2">
      <c r="A44" s="154" t="s">
        <v>553</v>
      </c>
      <c r="B44" s="304">
        <f ca="1">ROUND((_Pat_Gewicht/10)*INDEX(NeoBerAdvies!$B$8:$G$15,4,$C$4),0)</f>
        <v>0</v>
      </c>
      <c r="C44" s="154">
        <f ca="1">IF(AND($B$21,B44+(D44-5000)/10&gt;0),ROUND(B44+(D44-5000)/10,1),0)</f>
        <v>0</v>
      </c>
      <c r="D44" s="154">
        <v>5000</v>
      </c>
      <c r="L44" s="454" t="str">
        <f t="shared" ca="1" si="42"/>
        <v/>
      </c>
      <c r="M44" s="454" t="str">
        <f t="shared" si="41"/>
        <v>CaCl2</v>
      </c>
      <c r="Y44" s="154">
        <f ca="1">IF($D$41=1,C44,0)</f>
        <v>0</v>
      </c>
      <c r="Z44" s="454">
        <f ca="1">IF($C44&gt;0,VLOOKUP($M44,Tbl_Glob_ParEnt,Z$1,FALSE),0)*$Y44</f>
        <v>0</v>
      </c>
      <c r="AA44" s="454">
        <f ca="1">IF($C44&gt;0,VLOOKUP($M44,Tbl_Glob_ParEnt,AA$1,FALSE),0)*$Y44</f>
        <v>0</v>
      </c>
      <c r="AB44" s="454">
        <f ca="1">IF($C44&gt;0,VLOOKUP($M44,Tbl_Glob_ParEnt,AB$1,FALSE),0)*$Y44</f>
        <v>0</v>
      </c>
      <c r="AC44" s="454">
        <f ca="1">IF($C44&gt;0,VLOOKUP($M44,Tbl_Glob_ParEnt,AC$1,FALSE),0)*$Y44</f>
        <v>0</v>
      </c>
      <c r="AD44" s="454">
        <f ca="1">IF($C44&gt;0,VLOOKUP($M44,Tbl_Glob_ParEnt,AD$1,FALSE),0)*$Y44</f>
        <v>0</v>
      </c>
      <c r="AE44" s="454">
        <f ca="1">IF($C44&gt;0,VLOOKUP($M44,Tbl_Glob_ParEnt,AE$1,FALSE),0)*$Y44</f>
        <v>0</v>
      </c>
      <c r="AF44" s="454">
        <f ca="1">IF($C44&gt;0,VLOOKUP($M44,Tbl_Glob_ParEnt,AF$1,FALSE),0)*$Y44</f>
        <v>0</v>
      </c>
      <c r="AG44" s="454">
        <f ca="1">IF($C44&gt;0,VLOOKUP($M44,Tbl_Glob_ParEnt,AG$1,FALSE),0)*$Y44</f>
        <v>0</v>
      </c>
      <c r="AH44" s="454">
        <f ca="1">IF($C44&gt;0,VLOOKUP($M44,Tbl_Glob_ParEnt,AH$1,FALSE),0)*$Y44</f>
        <v>0</v>
      </c>
      <c r="AI44" s="454">
        <f ca="1">IF($C44&gt;0,VLOOKUP($M44,Tbl_Glob_ParEnt,AI$1,FALSE),0)*$Y44</f>
        <v>0</v>
      </c>
      <c r="AJ44" s="454">
        <f ca="1">IF($C44&gt;0,VLOOKUP($M44,Tbl_Glob_ParEnt,AJ$1,FALSE),0)*$Y44</f>
        <v>0</v>
      </c>
      <c r="AK44" s="454">
        <f ca="1">IF($C44&gt;0,VLOOKUP($M44,Tbl_Glob_ParEnt,AK$1,FALSE),0)*$Y44</f>
        <v>0</v>
      </c>
      <c r="AO44" s="454" t="str">
        <f t="shared" ca="1" si="43"/>
        <v/>
      </c>
      <c r="AP44" s="655"/>
    </row>
    <row r="45" spans="1:49" x14ac:dyDescent="0.2">
      <c r="A45" s="154" t="s">
        <v>554</v>
      </c>
      <c r="B45" s="304">
        <f ca="1">ROUND((_Pat_Gewicht/10)*INDEX(NeoBerAdvies!$B$8:$G$15,5,$C$4),1)</f>
        <v>0</v>
      </c>
      <c r="C45" s="154">
        <f ca="1">IF(AND($B$21,B45+(D45-5000)/10&gt;0),ROUND(B45+(D45-5000)/10,1),0)</f>
        <v>0</v>
      </c>
      <c r="D45" s="154">
        <v>5000</v>
      </c>
      <c r="L45" s="454" t="str">
        <f t="shared" ca="1" si="42"/>
        <v/>
      </c>
      <c r="M45" s="454" t="str">
        <f t="shared" si="41"/>
        <v>MgCl2</v>
      </c>
      <c r="Y45" s="154">
        <f ca="1">IF($D$41=1,C45,0)</f>
        <v>0</v>
      </c>
      <c r="Z45" s="454">
        <f ca="1">IF($C45&gt;0,VLOOKUP($M45,Tbl_Glob_ParEnt,Z$1,FALSE),0)*$Y45</f>
        <v>0</v>
      </c>
      <c r="AA45" s="454">
        <f ca="1">IF($C45&gt;0,VLOOKUP($M45,Tbl_Glob_ParEnt,AA$1,FALSE),0)*$Y45</f>
        <v>0</v>
      </c>
      <c r="AB45" s="454">
        <f ca="1">IF($C45&gt;0,VLOOKUP($M45,Tbl_Glob_ParEnt,AB$1,FALSE),0)*$Y45</f>
        <v>0</v>
      </c>
      <c r="AC45" s="454">
        <f ca="1">IF($C45&gt;0,VLOOKUP($M45,Tbl_Glob_ParEnt,AC$1,FALSE),0)*$Y45</f>
        <v>0</v>
      </c>
      <c r="AD45" s="454">
        <f ca="1">IF($C45&gt;0,VLOOKUP($M45,Tbl_Glob_ParEnt,AD$1,FALSE),0)*$Y45</f>
        <v>0</v>
      </c>
      <c r="AE45" s="454">
        <f ca="1">IF($C45&gt;0,VLOOKUP($M45,Tbl_Glob_ParEnt,AE$1,FALSE),0)*$Y45</f>
        <v>0</v>
      </c>
      <c r="AF45" s="454">
        <f ca="1">IF($C45&gt;0,VLOOKUP($M45,Tbl_Glob_ParEnt,AF$1,FALSE),0)*$Y45</f>
        <v>0</v>
      </c>
      <c r="AG45" s="454">
        <f ca="1">IF($C45&gt;0,VLOOKUP($M45,Tbl_Glob_ParEnt,AG$1,FALSE),0)*$Y45</f>
        <v>0</v>
      </c>
      <c r="AH45" s="454">
        <f ca="1">IF($C45&gt;0,VLOOKUP($M45,Tbl_Glob_ParEnt,AH$1,FALSE),0)*$Y45</f>
        <v>0</v>
      </c>
      <c r="AI45" s="454">
        <f ca="1">IF($C45&gt;0,VLOOKUP($M45,Tbl_Glob_ParEnt,AI$1,FALSE),0)*$Y45</f>
        <v>0</v>
      </c>
      <c r="AJ45" s="454">
        <f ca="1">IF($C45&gt;0,VLOOKUP($M45,Tbl_Glob_ParEnt,AJ$1,FALSE),0)*$Y45</f>
        <v>0</v>
      </c>
      <c r="AK45" s="454">
        <f ca="1">IF($C45&gt;0,VLOOKUP($M45,Tbl_Glob_ParEnt,AK$1,FALSE),0)*$Y45</f>
        <v>0</v>
      </c>
      <c r="AO45" s="454" t="str">
        <f t="shared" ca="1" si="43"/>
        <v/>
      </c>
    </row>
    <row r="46" spans="1:49" x14ac:dyDescent="0.2">
      <c r="A46" s="154" t="s">
        <v>194</v>
      </c>
      <c r="B46" s="304">
        <f ca="1">ROUND((_Pat_Gewicht/10)*INDEX(NeoBerAdvies!$B$8:$G$15,6,$C$4),1)</f>
        <v>0</v>
      </c>
      <c r="C46" s="154">
        <f ca="1">IF(AND($B$21,B46+(D46-5000)/10&gt;0),ROUND(B46+(D46-5000)/10,1),0)</f>
        <v>0</v>
      </c>
      <c r="D46" s="154">
        <v>5000</v>
      </c>
      <c r="L46" s="454" t="str">
        <f t="shared" ca="1" si="42"/>
        <v/>
      </c>
      <c r="M46" s="454" t="str">
        <f t="shared" si="41"/>
        <v>Soluvit</v>
      </c>
      <c r="Y46" s="154">
        <f ca="1">IF($D$41=1,C46,0)</f>
        <v>0</v>
      </c>
      <c r="Z46" s="454">
        <f ca="1">IF($C46&gt;0,VLOOKUP($M46,Tbl_Glob_ParEnt,Z$1,FALSE),0)*$Y46</f>
        <v>0</v>
      </c>
      <c r="AA46" s="454">
        <f ca="1">IF($C46&gt;0,VLOOKUP($M46,Tbl_Glob_ParEnt,AA$1,FALSE),0)*$Y46</f>
        <v>0</v>
      </c>
      <c r="AB46" s="454">
        <f ca="1">IF($C46&gt;0,VLOOKUP($M46,Tbl_Glob_ParEnt,AB$1,FALSE),0)*$Y46</f>
        <v>0</v>
      </c>
      <c r="AC46" s="454">
        <f ca="1">IF($C46&gt;0,VLOOKUP($M46,Tbl_Glob_ParEnt,AC$1,FALSE),0)*$Y46</f>
        <v>0</v>
      </c>
      <c r="AD46" s="454">
        <f ca="1">IF($C46&gt;0,VLOOKUP($M46,Tbl_Glob_ParEnt,AD$1,FALSE),0)*$Y46</f>
        <v>0</v>
      </c>
      <c r="AE46" s="454">
        <f ca="1">IF($C46&gt;0,VLOOKUP($M46,Tbl_Glob_ParEnt,AE$1,FALSE),0)*$Y46</f>
        <v>0</v>
      </c>
      <c r="AF46" s="454">
        <f ca="1">IF($C46&gt;0,VLOOKUP($M46,Tbl_Glob_ParEnt,AF$1,FALSE),0)*$Y46</f>
        <v>0</v>
      </c>
      <c r="AG46" s="454">
        <f ca="1">IF($C46&gt;0,VLOOKUP($M46,Tbl_Glob_ParEnt,AG$1,FALSE),0)*$Y46</f>
        <v>0</v>
      </c>
      <c r="AH46" s="454">
        <f ca="1">IF($C46&gt;0,VLOOKUP($M46,Tbl_Glob_ParEnt,AH$1,FALSE),0)*$Y46</f>
        <v>0</v>
      </c>
      <c r="AI46" s="454">
        <f ca="1">IF($C46&gt;0,VLOOKUP($M46,Tbl_Glob_ParEnt,AI$1,FALSE),0)*$Y46</f>
        <v>0</v>
      </c>
      <c r="AJ46" s="454">
        <f ca="1">IF($C46&gt;0,VLOOKUP($M46,Tbl_Glob_ParEnt,AJ$1,FALSE),0)*$Y46</f>
        <v>0</v>
      </c>
      <c r="AK46" s="454">
        <f ca="1">IF($C46&gt;0,VLOOKUP($M46,Tbl_Glob_ParEnt,AK$1,FALSE),0)*$Y46</f>
        <v>0</v>
      </c>
      <c r="AO46" s="454" t="str">
        <f t="shared" ca="1" si="43"/>
        <v/>
      </c>
    </row>
    <row r="47" spans="1:49" x14ac:dyDescent="0.2">
      <c r="A47" s="154" t="s">
        <v>514</v>
      </c>
      <c r="B47" s="304">
        <f ca="1">ROUND((_Pat_Gewicht/10)*INDEX(NeoBerAdvies!$B$8:$G$15,7,$C$4),0)</f>
        <v>0</v>
      </c>
      <c r="C47" s="154">
        <f ca="1">IF(AND($B$21,B47+(D47-5000)&gt;0),ROUND(B47+(D47-5000),0),0)</f>
        <v>0</v>
      </c>
      <c r="D47" s="154">
        <v>5000</v>
      </c>
      <c r="L47" s="454" t="str">
        <f t="shared" ca="1" si="42"/>
        <v/>
      </c>
      <c r="M47" s="454" t="str">
        <f t="shared" si="41"/>
        <v>Primene</v>
      </c>
      <c r="Y47" s="154">
        <f ca="1">IF($D$41=1,C47,0)</f>
        <v>0</v>
      </c>
      <c r="Z47" s="454">
        <f ca="1">IF($C47&gt;0,VLOOKUP($M47,Tbl_Glob_ParEnt,Z$1,FALSE),0)*$Y47</f>
        <v>0</v>
      </c>
      <c r="AA47" s="454">
        <f ca="1">IF($C47&gt;0,VLOOKUP($M47,Tbl_Glob_ParEnt,AA$1,FALSE),0)*$Y47</f>
        <v>0</v>
      </c>
      <c r="AB47" s="454">
        <f ca="1">IF($C47&gt;0,VLOOKUP($M47,Tbl_Glob_ParEnt,AB$1,FALSE),0)*$Y47</f>
        <v>0</v>
      </c>
      <c r="AC47" s="454">
        <f ca="1">IF($C47&gt;0,VLOOKUP($M47,Tbl_Glob_ParEnt,AC$1,FALSE),0)*$Y47</f>
        <v>0</v>
      </c>
      <c r="AD47" s="454">
        <f ca="1">IF($C47&gt;0,VLOOKUP($M47,Tbl_Glob_ParEnt,AD$1,FALSE),0)*$Y47</f>
        <v>0</v>
      </c>
      <c r="AE47" s="454">
        <f ca="1">IF($C47&gt;0,VLOOKUP($M47,Tbl_Glob_ParEnt,AE$1,FALSE),0)*$Y47</f>
        <v>0</v>
      </c>
      <c r="AF47" s="454">
        <f ca="1">IF($C47&gt;0,VLOOKUP($M47,Tbl_Glob_ParEnt,AF$1,FALSE),0)*$Y47</f>
        <v>0</v>
      </c>
      <c r="AG47" s="454">
        <f ca="1">IF($C47&gt;0,VLOOKUP($M47,Tbl_Glob_ParEnt,AG$1,FALSE),0)*$Y47</f>
        <v>0</v>
      </c>
      <c r="AH47" s="454">
        <f ca="1">IF($C47&gt;0,VLOOKUP($M47,Tbl_Glob_ParEnt,AH$1,FALSE),0)*$Y47</f>
        <v>0</v>
      </c>
      <c r="AI47" s="454">
        <f ca="1">IF($C47&gt;0,VLOOKUP($M47,Tbl_Glob_ParEnt,AI$1,FALSE),0)*$Y47</f>
        <v>0</v>
      </c>
      <c r="AJ47" s="454">
        <f ca="1">IF($C47&gt;0,VLOOKUP($M47,Tbl_Glob_ParEnt,AJ$1,FALSE),0)*$Y47</f>
        <v>0</v>
      </c>
      <c r="AK47" s="454">
        <f ca="1">IF($C47&gt;0,VLOOKUP($M47,Tbl_Glob_ParEnt,AK$1,FALSE),0)*$Y47</f>
        <v>0</v>
      </c>
      <c r="AO47" s="454" t="str">
        <f t="shared" ca="1" si="43"/>
        <v/>
      </c>
    </row>
    <row r="48" spans="1:49" x14ac:dyDescent="0.2">
      <c r="A48" s="154" t="s">
        <v>515</v>
      </c>
      <c r="B48" s="304">
        <f ca="1">ROUND((_Pat_Gewicht/10)*INDEX(NeoBerAdvies!$B$8:$G$15,1,$C$4),1)</f>
        <v>35</v>
      </c>
      <c r="C48" s="154">
        <f ca="1">ROUND(IF(AND($B$21,B48+(D48-5000)&gt;0),B48+(D48-5000),0),0)</f>
        <v>0</v>
      </c>
      <c r="D48" s="154">
        <v>5000</v>
      </c>
      <c r="L48" s="454" t="str">
        <f t="shared" si="42"/>
        <v/>
      </c>
      <c r="M48" s="454" t="s">
        <v>584</v>
      </c>
      <c r="Y48" s="154">
        <f>IF(D41=2,C48,0)</f>
        <v>0</v>
      </c>
      <c r="Z48" s="454">
        <f ca="1">IF($C48&gt;0,VLOOKUP($M48,Tbl_Glob_ParEnt,Z$1,FALSE),0)*$Y48</f>
        <v>0</v>
      </c>
      <c r="AA48" s="454">
        <f ca="1">IF($C48&gt;0,VLOOKUP($M48,Tbl_Glob_ParEnt,AA$1,FALSE),0)*$Y48</f>
        <v>0</v>
      </c>
      <c r="AB48" s="454">
        <f ca="1">IF($C48&gt;0,VLOOKUP($M48,Tbl_Glob_ParEnt,AB$1,FALSE),0)*$Y48</f>
        <v>0</v>
      </c>
      <c r="AC48" s="454">
        <f ca="1">IF($C48&gt;0,VLOOKUP($M48,Tbl_Glob_ParEnt,AC$1,FALSE),0)*$Y48</f>
        <v>0</v>
      </c>
      <c r="AD48" s="454">
        <f ca="1">IF($C48&gt;0,VLOOKUP($M48,Tbl_Glob_ParEnt,AD$1,FALSE),0)*$Y48</f>
        <v>0</v>
      </c>
      <c r="AE48" s="454">
        <f ca="1">IF($C48&gt;0,VLOOKUP($M48,Tbl_Glob_ParEnt,AE$1,FALSE),0)*$Y48</f>
        <v>0</v>
      </c>
      <c r="AF48" s="454">
        <f ca="1">IF($C48&gt;0,VLOOKUP($M48,Tbl_Glob_ParEnt,AF$1,FALSE),0)*$Y48</f>
        <v>0</v>
      </c>
      <c r="AG48" s="454">
        <f ca="1">IF($C48&gt;0,VLOOKUP($M48,Tbl_Glob_ParEnt,AG$1,FALSE),0)*$Y48</f>
        <v>0</v>
      </c>
      <c r="AH48" s="454">
        <f ca="1">IF($C48&gt;0,VLOOKUP($M48,Tbl_Glob_ParEnt,AH$1,FALSE),0)*$Y48</f>
        <v>0</v>
      </c>
      <c r="AI48" s="454">
        <f ca="1">IF($C48&gt;0,VLOOKUP($M48,Tbl_Glob_ParEnt,AI$1,FALSE),0)*$Y48</f>
        <v>0</v>
      </c>
      <c r="AJ48" s="454">
        <f ca="1">IF($C48&gt;0,VLOOKUP($M48,Tbl_Glob_ParEnt,AJ$1,FALSE),0)*$Y48</f>
        <v>0</v>
      </c>
      <c r="AK48" s="454">
        <f ca="1">IF($C48&gt;0,VLOOKUP($M48,Tbl_Glob_ParEnt,AK$1,FALSE),0)*$Y48</f>
        <v>0</v>
      </c>
      <c r="AO48" s="454" t="str">
        <f t="shared" si="43"/>
        <v/>
      </c>
    </row>
    <row r="49" spans="1:42" x14ac:dyDescent="0.2">
      <c r="A49" s="154" t="s">
        <v>326</v>
      </c>
      <c r="B49" s="304">
        <f ca="1">ROUND((_Pat_Gewicht/10)*INDEX(NeoBerAdvies!$B$8:$G$15,1,$C$4),1)</f>
        <v>35</v>
      </c>
      <c r="C49" s="154">
        <f ca="1">ROUND(IF(AND($B$21,B49+(D49-5000)&gt;0),B49+(D49-5000),0),0)</f>
        <v>0</v>
      </c>
      <c r="D49" s="154">
        <v>5000</v>
      </c>
      <c r="L49" s="454" t="str">
        <f t="shared" si="42"/>
        <v/>
      </c>
      <c r="M49" s="454" t="str">
        <f t="shared" si="41"/>
        <v>Samenstelling B</v>
      </c>
      <c r="Y49" s="154">
        <f>IF(D41=3,C49,0)</f>
        <v>0</v>
      </c>
      <c r="Z49" s="454">
        <f ca="1">IF($C49&gt;0,VLOOKUP($M49,Tbl_Glob_ParEnt,Z$1,FALSE),0)*$Y49</f>
        <v>0</v>
      </c>
      <c r="AA49" s="454">
        <f ca="1">IF($C49&gt;0,VLOOKUP($M49,Tbl_Glob_ParEnt,AA$1,FALSE),0)*$Y49</f>
        <v>0</v>
      </c>
      <c r="AB49" s="454">
        <f ca="1">IF($C49&gt;0,VLOOKUP($M49,Tbl_Glob_ParEnt,AB$1,FALSE),0)*$Y49</f>
        <v>0</v>
      </c>
      <c r="AC49" s="454">
        <f ca="1">IF($C49&gt;0,VLOOKUP($M49,Tbl_Glob_ParEnt,AC$1,FALSE),0)*$Y49</f>
        <v>0</v>
      </c>
      <c r="AD49" s="454">
        <f ca="1">IF($C49&gt;0,VLOOKUP($M49,Tbl_Glob_ParEnt,AD$1,FALSE),0)*$Y49</f>
        <v>0</v>
      </c>
      <c r="AE49" s="454">
        <f ca="1">IF($C49&gt;0,VLOOKUP($M49,Tbl_Glob_ParEnt,AE$1,FALSE),0)*$Y49</f>
        <v>0</v>
      </c>
      <c r="AF49" s="454">
        <f ca="1">IF($C49&gt;0,VLOOKUP($M49,Tbl_Glob_ParEnt,AF$1,FALSE),0)*$Y49</f>
        <v>0</v>
      </c>
      <c r="AG49" s="454">
        <f ca="1">IF($C49&gt;0,VLOOKUP($M49,Tbl_Glob_ParEnt,AG$1,FALSE),0)*$Y49</f>
        <v>0</v>
      </c>
      <c r="AH49" s="454">
        <f ca="1">IF($C49&gt;0,VLOOKUP($M49,Tbl_Glob_ParEnt,AH$1,FALSE),0)*$Y49</f>
        <v>0</v>
      </c>
      <c r="AI49" s="454">
        <f ca="1">IF($C49&gt;0,VLOOKUP($M49,Tbl_Glob_ParEnt,AI$1,FALSE),0)*$Y49</f>
        <v>0</v>
      </c>
      <c r="AJ49" s="454">
        <f ca="1">IF($C49&gt;0,VLOOKUP($M49,Tbl_Glob_ParEnt,AJ$1,FALSE),0)*$Y49</f>
        <v>0</v>
      </c>
      <c r="AK49" s="454">
        <f ca="1">IF($C49&gt;0,VLOOKUP($M49,Tbl_Glob_ParEnt,AK$1,FALSE),0)*$Y49</f>
        <v>0</v>
      </c>
      <c r="AO49" s="454" t="str">
        <f t="shared" si="43"/>
        <v/>
      </c>
    </row>
    <row r="50" spans="1:42" x14ac:dyDescent="0.2">
      <c r="A50" s="154" t="s">
        <v>599</v>
      </c>
      <c r="D50" s="154">
        <v>2</v>
      </c>
      <c r="L50" s="454" t="str">
        <f t="shared" si="42"/>
        <v/>
      </c>
      <c r="M50" s="454" t="str">
        <f>IF(D50&gt;0,INDEX(Tbl_Neo_OplVlst,D50+1,1),"")</f>
        <v>glucose 10%</v>
      </c>
      <c r="N50" s="454" t="str">
        <f t="shared" ref="N50" si="44">IF(C50&gt;0,C50/10&amp;" ml/uur","")</f>
        <v/>
      </c>
      <c r="Y50" s="154">
        <f>IF(B21,ROUND(C21-SUM(Y22:Y49),1),0)</f>
        <v>0</v>
      </c>
      <c r="Z50" s="454">
        <f>IF($C50&gt;0,VLOOKUP($M50,Tbl_Glob_ParEnt,Z$1,FALSE),0)*$Y50</f>
        <v>0</v>
      </c>
      <c r="AA50" s="454">
        <f>IF($C50&gt;0,VLOOKUP($M50,Tbl_Glob_ParEnt,AA$1,FALSE),0)*$Y50</f>
        <v>0</v>
      </c>
      <c r="AB50" s="454">
        <f>IF($C50&gt;0,VLOOKUP($M50,Tbl_Glob_ParEnt,AB$1,FALSE),0)*$Y50</f>
        <v>0</v>
      </c>
      <c r="AC50" s="454">
        <f>IF($C50&gt;0,VLOOKUP($M50,Tbl_Glob_ParEnt,AC$1,FALSE),0)*$Y50</f>
        <v>0</v>
      </c>
      <c r="AD50" s="454">
        <f>IF($C50&gt;0,VLOOKUP($M50,Tbl_Glob_ParEnt,AD$1,FALSE),0)*$Y50</f>
        <v>0</v>
      </c>
      <c r="AE50" s="454">
        <f>IF($C50&gt;0,VLOOKUP($M50,Tbl_Glob_ParEnt,AE$1,FALSE),0)*$Y50</f>
        <v>0</v>
      </c>
      <c r="AF50" s="454">
        <f>IF($C50&gt;0,VLOOKUP($M50,Tbl_Glob_ParEnt,AF$1,FALSE),0)*$Y50</f>
        <v>0</v>
      </c>
      <c r="AG50" s="454">
        <f>IF($C50&gt;0,VLOOKUP($M50,Tbl_Glob_ParEnt,AG$1,FALSE),0)*$Y50</f>
        <v>0</v>
      </c>
      <c r="AH50" s="454">
        <f>IF($C50&gt;0,VLOOKUP($M50,Tbl_Glob_ParEnt,AH$1,FALSE),0)*$Y50</f>
        <v>0</v>
      </c>
      <c r="AI50" s="454">
        <f>IF($C50&gt;0,VLOOKUP($M50,Tbl_Glob_ParEnt,AI$1,FALSE),0)*$Y50</f>
        <v>0</v>
      </c>
      <c r="AJ50" s="454">
        <f>IF($C50&gt;0,VLOOKUP($M50,Tbl_Glob_ParEnt,AJ$1,FALSE),0)*$Y50</f>
        <v>0</v>
      </c>
      <c r="AK50" s="454">
        <f>IF($C50&gt;0,VLOOKUP($M50,Tbl_Glob_ParEnt,AK$1,FALSE),0)*$Y50</f>
        <v>0</v>
      </c>
      <c r="AO50" s="454" t="str">
        <f t="shared" si="43"/>
        <v/>
      </c>
    </row>
    <row r="51" spans="1:42" s="454" customFormat="1" x14ac:dyDescent="0.2">
      <c r="AP51" s="154"/>
    </row>
    <row r="52" spans="1:42" s="454" customFormat="1" x14ac:dyDescent="0.2">
      <c r="A52" s="154" t="s">
        <v>197</v>
      </c>
      <c r="B52" s="154"/>
      <c r="C52" s="154"/>
      <c r="D52" s="154"/>
      <c r="E52" s="154"/>
      <c r="F52" s="154"/>
      <c r="G52" s="154"/>
      <c r="H52" s="154"/>
      <c r="I52" s="154"/>
      <c r="Y52" s="154">
        <f>Y9</f>
        <v>0</v>
      </c>
      <c r="Z52" s="683">
        <f t="shared" ref="Z52:AK52" si="45">SUM(Z9:Z19)</f>
        <v>0</v>
      </c>
      <c r="AA52" s="683">
        <f t="shared" si="45"/>
        <v>0</v>
      </c>
      <c r="AB52" s="683">
        <f t="shared" si="45"/>
        <v>0</v>
      </c>
      <c r="AC52" s="683">
        <f t="shared" si="45"/>
        <v>0</v>
      </c>
      <c r="AD52" s="683">
        <f t="shared" si="45"/>
        <v>0</v>
      </c>
      <c r="AE52" s="683">
        <f t="shared" si="45"/>
        <v>0</v>
      </c>
      <c r="AF52" s="683">
        <f t="shared" si="45"/>
        <v>0</v>
      </c>
      <c r="AG52" s="683">
        <f t="shared" si="45"/>
        <v>0</v>
      </c>
      <c r="AH52" s="683">
        <f t="shared" si="45"/>
        <v>0</v>
      </c>
      <c r="AI52" s="683">
        <f t="shared" si="45"/>
        <v>0</v>
      </c>
      <c r="AJ52" s="683">
        <f t="shared" si="45"/>
        <v>0</v>
      </c>
      <c r="AK52" s="683">
        <f t="shared" si="45"/>
        <v>0</v>
      </c>
      <c r="AP52" s="154"/>
    </row>
    <row r="53" spans="1:42" x14ac:dyDescent="0.2">
      <c r="A53" s="154" t="s">
        <v>195</v>
      </c>
      <c r="Y53" s="154">
        <f ca="1">SUM(Y22:Y50)</f>
        <v>50.4</v>
      </c>
      <c r="Z53" s="154">
        <f ca="1">SUM(Z22:Z50)</f>
        <v>5.952</v>
      </c>
      <c r="AA53" s="454">
        <f t="shared" ref="AA53:AK53" ca="1" si="46">SUM(AA22:AA50)</f>
        <v>0</v>
      </c>
      <c r="AB53" s="454">
        <f t="shared" ca="1" si="46"/>
        <v>0</v>
      </c>
      <c r="AC53" s="454">
        <f t="shared" ca="1" si="46"/>
        <v>0</v>
      </c>
      <c r="AD53" s="454">
        <f t="shared" ca="1" si="46"/>
        <v>0</v>
      </c>
      <c r="AE53" s="454">
        <f t="shared" ca="1" si="46"/>
        <v>0</v>
      </c>
      <c r="AF53" s="454">
        <f t="shared" ca="1" si="46"/>
        <v>0</v>
      </c>
      <c r="AG53" s="454">
        <f t="shared" ca="1" si="46"/>
        <v>0</v>
      </c>
      <c r="AH53" s="454">
        <f t="shared" ca="1" si="46"/>
        <v>0</v>
      </c>
      <c r="AI53" s="454">
        <f t="shared" ca="1" si="46"/>
        <v>5.952</v>
      </c>
      <c r="AJ53" s="454">
        <f t="shared" ca="1" si="46"/>
        <v>0</v>
      </c>
      <c r="AK53" s="454">
        <f t="shared" ca="1" si="46"/>
        <v>0</v>
      </c>
      <c r="AO53" s="454"/>
      <c r="AP53" s="454"/>
    </row>
    <row r="54" spans="1:42" x14ac:dyDescent="0.2">
      <c r="A54" s="154" t="s">
        <v>111</v>
      </c>
      <c r="Y54" s="154">
        <f ca="1">Y52+Y53</f>
        <v>50.4</v>
      </c>
      <c r="Z54" s="154">
        <f ca="1">Z52+Z53</f>
        <v>5.952</v>
      </c>
      <c r="AA54" s="454">
        <f t="shared" ref="AA54:AK54" ca="1" si="47">AA52+AA53</f>
        <v>0</v>
      </c>
      <c r="AB54" s="454">
        <f t="shared" ca="1" si="47"/>
        <v>0</v>
      </c>
      <c r="AC54" s="454">
        <f t="shared" ca="1" si="47"/>
        <v>0</v>
      </c>
      <c r="AD54" s="454">
        <f t="shared" ca="1" si="47"/>
        <v>0</v>
      </c>
      <c r="AE54" s="454">
        <f t="shared" ca="1" si="47"/>
        <v>0</v>
      </c>
      <c r="AF54" s="454">
        <f t="shared" ca="1" si="47"/>
        <v>0</v>
      </c>
      <c r="AG54" s="454">
        <f t="shared" ca="1" si="47"/>
        <v>0</v>
      </c>
      <c r="AH54" s="454">
        <f t="shared" ca="1" si="47"/>
        <v>0</v>
      </c>
      <c r="AI54" s="454">
        <f t="shared" ca="1" si="47"/>
        <v>5.952</v>
      </c>
      <c r="AJ54" s="454">
        <f t="shared" ca="1" si="47"/>
        <v>0</v>
      </c>
      <c r="AK54" s="454">
        <f t="shared" ca="1" si="47"/>
        <v>0</v>
      </c>
      <c r="AO54" s="454"/>
      <c r="AP54" s="454"/>
    </row>
    <row r="56" spans="1:42" x14ac:dyDescent="0.2">
      <c r="J56" s="154"/>
      <c r="K56" s="154"/>
      <c r="L56" s="154"/>
      <c r="M56" s="154"/>
      <c r="N56" s="154"/>
      <c r="O56" s="154"/>
      <c r="P56" s="154"/>
      <c r="Q56" s="154"/>
      <c r="AK56" s="154"/>
    </row>
    <row r="57" spans="1:42" x14ac:dyDescent="0.2">
      <c r="J57" s="154"/>
      <c r="K57" s="154"/>
      <c r="L57" s="154"/>
      <c r="M57" s="154"/>
      <c r="N57" s="154"/>
      <c r="O57" s="154"/>
      <c r="P57" s="154"/>
      <c r="Q57" s="154"/>
      <c r="AK57" s="154"/>
    </row>
    <row r="59" spans="1:42" x14ac:dyDescent="0.2">
      <c r="J59" s="154"/>
      <c r="K59" s="154"/>
      <c r="L59" s="154"/>
      <c r="M59" s="154"/>
      <c r="N59" s="154"/>
      <c r="O59" s="154"/>
      <c r="P59" s="154"/>
      <c r="Q59" s="154"/>
      <c r="AK59" s="154"/>
    </row>
    <row r="60" spans="1:42" x14ac:dyDescent="0.2">
      <c r="J60" s="154"/>
      <c r="K60" s="154"/>
      <c r="L60" s="154"/>
      <c r="M60" s="154"/>
      <c r="N60" s="154"/>
      <c r="O60" s="154"/>
      <c r="P60" s="154"/>
      <c r="Q60" s="154"/>
      <c r="AK60" s="154"/>
    </row>
    <row r="61" spans="1:42" x14ac:dyDescent="0.2">
      <c r="J61" s="154"/>
      <c r="K61" s="154"/>
      <c r="L61" s="154"/>
      <c r="M61" s="154"/>
      <c r="N61" s="154"/>
      <c r="O61" s="154"/>
      <c r="P61" s="154"/>
      <c r="Q61" s="154"/>
      <c r="AK61" s="154"/>
    </row>
    <row r="62" spans="1:42" x14ac:dyDescent="0.2">
      <c r="J62" s="154"/>
      <c r="K62" s="154"/>
      <c r="L62" s="154"/>
      <c r="M62" s="154"/>
      <c r="N62" s="154"/>
      <c r="O62" s="154"/>
      <c r="P62" s="154"/>
      <c r="Q62" s="154"/>
      <c r="AK62" s="154"/>
    </row>
    <row r="63" spans="1:42" x14ac:dyDescent="0.2">
      <c r="J63" s="154"/>
      <c r="K63" s="154"/>
      <c r="L63" s="154"/>
      <c r="M63" s="154"/>
      <c r="N63" s="154"/>
      <c r="O63" s="154"/>
      <c r="P63" s="154"/>
      <c r="Q63" s="154"/>
      <c r="AK63" s="154"/>
    </row>
    <row r="64" spans="1:42" x14ac:dyDescent="0.2">
      <c r="J64" s="154"/>
      <c r="K64" s="154"/>
      <c r="L64" s="154"/>
      <c r="M64" s="154"/>
      <c r="N64" s="154"/>
      <c r="O64" s="154"/>
      <c r="P64" s="154"/>
      <c r="Q64" s="154"/>
      <c r="AK64" s="154"/>
    </row>
    <row r="65" spans="10:42" x14ac:dyDescent="0.2">
      <c r="J65" s="154"/>
      <c r="K65" s="154"/>
      <c r="L65" s="154"/>
      <c r="M65" s="154"/>
      <c r="N65" s="154"/>
      <c r="O65" s="154"/>
      <c r="P65" s="154"/>
      <c r="Q65" s="154"/>
      <c r="AK65" s="154"/>
    </row>
    <row r="66" spans="10:42" x14ac:dyDescent="0.2">
      <c r="J66" s="154"/>
      <c r="K66" s="154"/>
      <c r="L66" s="154"/>
      <c r="M66" s="154"/>
      <c r="N66" s="154"/>
      <c r="O66" s="154"/>
      <c r="P66" s="154"/>
      <c r="Q66" s="154"/>
      <c r="AK66" s="154"/>
    </row>
    <row r="67" spans="10:42" x14ac:dyDescent="0.2">
      <c r="J67" s="154"/>
      <c r="K67" s="154"/>
      <c r="L67" s="154"/>
      <c r="M67" s="154"/>
      <c r="N67" s="154"/>
      <c r="O67" s="154"/>
      <c r="P67" s="154"/>
      <c r="Q67" s="154"/>
      <c r="AK67" s="154"/>
    </row>
    <row r="68" spans="10:42" s="454" customFormat="1" x14ac:dyDescent="0.2">
      <c r="Z68" s="386"/>
      <c r="AA68" s="386"/>
      <c r="AB68" s="386"/>
      <c r="AC68" s="386"/>
      <c r="AD68" s="386"/>
      <c r="AE68" s="386"/>
      <c r="AF68" s="386"/>
      <c r="AG68" s="386"/>
      <c r="AH68" s="386"/>
      <c r="AI68" s="386"/>
      <c r="AJ68" s="386"/>
      <c r="AK68" s="386"/>
      <c r="AO68" s="154"/>
      <c r="AP68" s="154"/>
    </row>
    <row r="69" spans="10:42" s="454" customFormat="1" x14ac:dyDescent="0.2">
      <c r="Z69" s="386"/>
      <c r="AA69" s="386"/>
      <c r="AB69" s="386"/>
      <c r="AC69" s="386"/>
      <c r="AD69" s="386"/>
      <c r="AE69" s="386"/>
      <c r="AF69" s="386"/>
      <c r="AG69" s="386"/>
      <c r="AH69" s="386"/>
      <c r="AI69" s="386"/>
      <c r="AJ69" s="386"/>
      <c r="AK69" s="386"/>
      <c r="AO69" s="154"/>
      <c r="AP69" s="154"/>
    </row>
    <row r="70" spans="10:42" s="454" customFormat="1" x14ac:dyDescent="0.2">
      <c r="Z70" s="386"/>
      <c r="AA70" s="386"/>
      <c r="AB70" s="386"/>
      <c r="AC70" s="386"/>
      <c r="AD70" s="386"/>
      <c r="AE70" s="386"/>
      <c r="AF70" s="386"/>
      <c r="AG70" s="386"/>
      <c r="AH70" s="386"/>
      <c r="AI70" s="386"/>
      <c r="AJ70" s="386"/>
      <c r="AK70" s="386"/>
    </row>
    <row r="71" spans="10:42" s="454" customFormat="1" x14ac:dyDescent="0.2">
      <c r="Z71" s="386"/>
      <c r="AA71" s="386"/>
      <c r="AB71" s="386"/>
      <c r="AC71" s="386"/>
      <c r="AD71" s="386"/>
      <c r="AE71" s="386"/>
      <c r="AF71" s="386"/>
      <c r="AG71" s="386"/>
      <c r="AH71" s="386"/>
      <c r="AI71" s="386"/>
      <c r="AJ71" s="386"/>
      <c r="AK71" s="386"/>
    </row>
    <row r="72" spans="10:42" s="454" customFormat="1" x14ac:dyDescent="0.2">
      <c r="Z72" s="386"/>
      <c r="AA72" s="386"/>
      <c r="AB72" s="386"/>
      <c r="AC72" s="386"/>
      <c r="AD72" s="386"/>
      <c r="AE72" s="386"/>
      <c r="AF72" s="386"/>
      <c r="AG72" s="386"/>
      <c r="AH72" s="386"/>
      <c r="AI72" s="386"/>
      <c r="AJ72" s="386"/>
      <c r="AK72" s="386"/>
    </row>
    <row r="73" spans="10:42" s="454" customFormat="1" x14ac:dyDescent="0.2">
      <c r="Z73" s="386"/>
      <c r="AA73" s="386"/>
      <c r="AB73" s="386"/>
      <c r="AC73" s="386"/>
      <c r="AD73" s="386"/>
      <c r="AE73" s="386"/>
      <c r="AF73" s="386"/>
      <c r="AG73" s="386"/>
      <c r="AH73" s="386"/>
      <c r="AI73" s="386"/>
      <c r="AJ73" s="386"/>
      <c r="AK73" s="386"/>
    </row>
    <row r="74" spans="10:42" s="454" customFormat="1" x14ac:dyDescent="0.2">
      <c r="Z74" s="386"/>
      <c r="AA74" s="386"/>
      <c r="AB74" s="386"/>
      <c r="AC74" s="386"/>
      <c r="AD74" s="386"/>
      <c r="AE74" s="386"/>
      <c r="AF74" s="386"/>
      <c r="AG74" s="386"/>
      <c r="AH74" s="386"/>
      <c r="AI74" s="386"/>
      <c r="AJ74" s="386"/>
      <c r="AK74" s="386"/>
    </row>
    <row r="75" spans="10:42" s="454" customFormat="1" x14ac:dyDescent="0.2">
      <c r="Z75" s="386"/>
      <c r="AA75" s="386"/>
      <c r="AB75" s="386"/>
      <c r="AC75" s="386"/>
      <c r="AD75" s="386"/>
      <c r="AE75" s="386"/>
      <c r="AF75" s="386"/>
      <c r="AG75" s="386"/>
      <c r="AH75" s="386"/>
      <c r="AI75" s="386"/>
      <c r="AJ75" s="386"/>
      <c r="AK75" s="386"/>
    </row>
    <row r="76" spans="10:42" s="454" customFormat="1" x14ac:dyDescent="0.2">
      <c r="Z76" s="386"/>
      <c r="AA76" s="386"/>
      <c r="AB76" s="386"/>
      <c r="AC76" s="386"/>
      <c r="AD76" s="386"/>
      <c r="AE76" s="386"/>
      <c r="AF76" s="386"/>
      <c r="AG76" s="386"/>
      <c r="AH76" s="386"/>
      <c r="AI76" s="386"/>
      <c r="AJ76" s="386"/>
      <c r="AK76" s="386"/>
    </row>
    <row r="77" spans="10:42" x14ac:dyDescent="0.2">
      <c r="AO77" s="454"/>
      <c r="AP77" s="454"/>
    </row>
    <row r="78" spans="10:42" x14ac:dyDescent="0.2">
      <c r="Z78" s="385"/>
      <c r="AO78" s="454"/>
      <c r="AP78" s="454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311" t="s">
        <v>4044</v>
      </c>
      <c r="B1" s="311" t="s">
        <v>4046</v>
      </c>
      <c r="C1" s="641" t="s">
        <v>4045</v>
      </c>
      <c r="D1" s="311" t="s">
        <v>4046</v>
      </c>
      <c r="E1" s="311" t="s">
        <v>4287</v>
      </c>
      <c r="F1" s="311" t="s">
        <v>4288</v>
      </c>
    </row>
    <row r="2" spans="1:8" x14ac:dyDescent="0.2">
      <c r="A2" s="310" t="str">
        <f>H2</f>
        <v>_Neo_InfB_Cont_ArtLijn</v>
      </c>
      <c r="B2">
        <v>0</v>
      </c>
      <c r="C2" s="310" t="str">
        <f t="shared" ref="C2:C36" si="0">REPLACE(A2,6,4,"1700")</f>
        <v>_Neo_1700_Cont_ArtLijn</v>
      </c>
      <c r="D2">
        <v>0</v>
      </c>
      <c r="E2" t="s">
        <v>4505</v>
      </c>
      <c r="F2" t="b">
        <f t="shared" ref="F2:F36" si="1">"Var"&amp;A2=E2</f>
        <v>1</v>
      </c>
      <c r="H2" s="310" t="s">
        <v>4427</v>
      </c>
    </row>
    <row r="3" spans="1:8" x14ac:dyDescent="0.2">
      <c r="A3" s="310" t="str">
        <f t="shared" ref="A3:A71" si="2">H3</f>
        <v>_Neo_InfB_Cont_MedKeuze_01</v>
      </c>
      <c r="B3">
        <v>1</v>
      </c>
      <c r="C3" s="310" t="str">
        <f t="shared" si="0"/>
        <v>_Neo_1700_Cont_MedKeuze_01</v>
      </c>
      <c r="D3">
        <v>1</v>
      </c>
      <c r="E3" t="s">
        <v>5005</v>
      </c>
      <c r="F3" s="310" t="b">
        <f t="shared" si="1"/>
        <v>1</v>
      </c>
      <c r="H3" s="310" t="s">
        <v>4864</v>
      </c>
    </row>
    <row r="4" spans="1:8" x14ac:dyDescent="0.2">
      <c r="A4" s="310" t="str">
        <f t="shared" si="2"/>
        <v>_Neo_InfB_Cont_MedKeuze_02</v>
      </c>
      <c r="B4">
        <v>1</v>
      </c>
      <c r="C4" s="310" t="str">
        <f t="shared" si="0"/>
        <v>_Neo_1700_Cont_MedKeuze_02</v>
      </c>
      <c r="D4">
        <v>1</v>
      </c>
      <c r="E4" t="s">
        <v>5006</v>
      </c>
      <c r="F4" s="310" t="b">
        <f t="shared" si="1"/>
        <v>1</v>
      </c>
      <c r="H4" s="310" t="s">
        <v>4865</v>
      </c>
    </row>
    <row r="5" spans="1:8" x14ac:dyDescent="0.2">
      <c r="A5" s="310" t="str">
        <f t="shared" si="2"/>
        <v>_Neo_InfB_Cont_MedKeuze_03</v>
      </c>
      <c r="B5">
        <v>1</v>
      </c>
      <c r="C5" s="310" t="str">
        <f t="shared" si="0"/>
        <v>_Neo_1700_Cont_MedKeuze_03</v>
      </c>
      <c r="D5">
        <v>1</v>
      </c>
      <c r="E5" t="s">
        <v>5008</v>
      </c>
      <c r="F5" s="310" t="b">
        <f t="shared" si="1"/>
        <v>1</v>
      </c>
      <c r="H5" s="310" t="s">
        <v>4866</v>
      </c>
    </row>
    <row r="6" spans="1:8" x14ac:dyDescent="0.2">
      <c r="A6" s="310" t="str">
        <f t="shared" si="2"/>
        <v>_Neo_InfB_Cont_MedKeuze_04</v>
      </c>
      <c r="B6">
        <v>1</v>
      </c>
      <c r="C6" s="310" t="str">
        <f t="shared" si="0"/>
        <v>_Neo_1700_Cont_MedKeuze_04</v>
      </c>
      <c r="D6">
        <v>1</v>
      </c>
      <c r="E6" t="s">
        <v>5010</v>
      </c>
      <c r="F6" s="310" t="b">
        <f t="shared" si="1"/>
        <v>1</v>
      </c>
      <c r="H6" s="310" t="s">
        <v>4867</v>
      </c>
    </row>
    <row r="7" spans="1:8" x14ac:dyDescent="0.2">
      <c r="A7" s="310" t="str">
        <f t="shared" si="2"/>
        <v>_Neo_InfB_Cont_MedKeuze_05</v>
      </c>
      <c r="B7">
        <v>1</v>
      </c>
      <c r="C7" s="310" t="str">
        <f t="shared" si="0"/>
        <v>_Neo_1700_Cont_MedKeuze_05</v>
      </c>
      <c r="D7">
        <v>1</v>
      </c>
      <c r="E7" t="s">
        <v>5012</v>
      </c>
      <c r="F7" s="310" t="b">
        <f t="shared" si="1"/>
        <v>1</v>
      </c>
      <c r="H7" s="310" t="s">
        <v>4868</v>
      </c>
    </row>
    <row r="8" spans="1:8" x14ac:dyDescent="0.2">
      <c r="A8" s="310" t="str">
        <f t="shared" si="2"/>
        <v>_Neo_InfB_Cont_MedKeuze_06</v>
      </c>
      <c r="B8">
        <v>1</v>
      </c>
      <c r="C8" s="310" t="str">
        <f t="shared" si="0"/>
        <v>_Neo_1700_Cont_MedKeuze_06</v>
      </c>
      <c r="D8">
        <v>1</v>
      </c>
      <c r="E8" t="s">
        <v>5013</v>
      </c>
      <c r="F8" s="310" t="b">
        <f t="shared" si="1"/>
        <v>1</v>
      </c>
      <c r="H8" s="310" t="s">
        <v>4869</v>
      </c>
    </row>
    <row r="9" spans="1:8" x14ac:dyDescent="0.2">
      <c r="A9" s="310" t="str">
        <f t="shared" si="2"/>
        <v>_Neo_InfB_Cont_MedKeuze_07</v>
      </c>
      <c r="B9">
        <v>1</v>
      </c>
      <c r="C9" s="310" t="str">
        <f t="shared" si="0"/>
        <v>_Neo_1700_Cont_MedKeuze_07</v>
      </c>
      <c r="D9">
        <v>1</v>
      </c>
      <c r="E9" t="s">
        <v>5014</v>
      </c>
      <c r="F9" s="310" t="b">
        <f t="shared" si="1"/>
        <v>1</v>
      </c>
      <c r="H9" s="310" t="s">
        <v>4870</v>
      </c>
    </row>
    <row r="10" spans="1:8" x14ac:dyDescent="0.2">
      <c r="A10" s="310" t="str">
        <f t="shared" si="2"/>
        <v>_Neo_InfB_Cont_MedKeuze_08</v>
      </c>
      <c r="B10">
        <v>1</v>
      </c>
      <c r="C10" s="310" t="str">
        <f t="shared" si="0"/>
        <v>_Neo_1700_Cont_MedKeuze_08</v>
      </c>
      <c r="D10">
        <v>1</v>
      </c>
      <c r="E10" t="s">
        <v>5016</v>
      </c>
      <c r="F10" s="310" t="b">
        <f t="shared" si="1"/>
        <v>1</v>
      </c>
      <c r="H10" s="310" t="s">
        <v>4871</v>
      </c>
    </row>
    <row r="11" spans="1:8" x14ac:dyDescent="0.2">
      <c r="A11" s="310" t="str">
        <f t="shared" si="2"/>
        <v>_Neo_InfB_Cont_MedKeuze_09</v>
      </c>
      <c r="B11">
        <v>1</v>
      </c>
      <c r="C11" s="310" t="str">
        <f t="shared" si="0"/>
        <v>_Neo_1700_Cont_MedKeuze_09</v>
      </c>
      <c r="D11">
        <v>1</v>
      </c>
      <c r="E11" t="s">
        <v>5018</v>
      </c>
      <c r="F11" s="310" t="b">
        <f t="shared" si="1"/>
        <v>1</v>
      </c>
      <c r="H11" s="310" t="s">
        <v>4872</v>
      </c>
    </row>
    <row r="12" spans="1:8" s="310" customFormat="1" x14ac:dyDescent="0.2">
      <c r="A12" s="310" t="str">
        <f t="shared" si="2"/>
        <v>_Neo_InfB_Cont_MedKeuze_10</v>
      </c>
      <c r="B12" s="310">
        <v>1</v>
      </c>
      <c r="C12" s="310" t="str">
        <f t="shared" si="0"/>
        <v>_Neo_1700_Cont_MedKeuze_10</v>
      </c>
      <c r="D12" s="310">
        <v>1</v>
      </c>
      <c r="E12" s="310" t="s">
        <v>5020</v>
      </c>
      <c r="F12" s="310" t="b">
        <f t="shared" si="1"/>
        <v>1</v>
      </c>
      <c r="H12" s="310" t="s">
        <v>4873</v>
      </c>
    </row>
    <row r="13" spans="1:8" x14ac:dyDescent="0.2">
      <c r="A13" s="310" t="str">
        <f t="shared" si="2"/>
        <v>_Neo_InfB_Cont_MedSterkte_01</v>
      </c>
      <c r="B13">
        <v>0</v>
      </c>
      <c r="C13" s="310" t="str">
        <f t="shared" si="0"/>
        <v>_Neo_1700_Cont_MedSterkte_01</v>
      </c>
      <c r="D13">
        <v>0</v>
      </c>
      <c r="E13" t="s">
        <v>5021</v>
      </c>
      <c r="F13" s="310" t="b">
        <f t="shared" si="1"/>
        <v>1</v>
      </c>
      <c r="G13" s="310"/>
      <c r="H13" s="310" t="s">
        <v>4874</v>
      </c>
    </row>
    <row r="14" spans="1:8" x14ac:dyDescent="0.2">
      <c r="A14" s="310" t="str">
        <f t="shared" si="2"/>
        <v>_Neo_InfB_Cont_MedSterkte_02</v>
      </c>
      <c r="B14">
        <v>0</v>
      </c>
      <c r="C14" s="310" t="str">
        <f t="shared" si="0"/>
        <v>_Neo_1700_Cont_MedSterkte_02</v>
      </c>
      <c r="D14">
        <v>0</v>
      </c>
      <c r="E14" t="s">
        <v>5022</v>
      </c>
      <c r="F14" s="310" t="b">
        <f t="shared" si="1"/>
        <v>1</v>
      </c>
      <c r="G14" s="310"/>
      <c r="H14" s="310" t="s">
        <v>4875</v>
      </c>
    </row>
    <row r="15" spans="1:8" x14ac:dyDescent="0.2">
      <c r="A15" s="310" t="str">
        <f t="shared" si="2"/>
        <v>_Neo_InfB_Cont_MedSterkte_03</v>
      </c>
      <c r="B15">
        <v>0</v>
      </c>
      <c r="C15" s="310" t="str">
        <f t="shared" si="0"/>
        <v>_Neo_1700_Cont_MedSterkte_03</v>
      </c>
      <c r="D15">
        <v>0</v>
      </c>
      <c r="E15" t="s">
        <v>5024</v>
      </c>
      <c r="F15" s="310" t="b">
        <f t="shared" si="1"/>
        <v>1</v>
      </c>
      <c r="G15" s="310"/>
      <c r="H15" s="310" t="s">
        <v>4876</v>
      </c>
    </row>
    <row r="16" spans="1:8" x14ac:dyDescent="0.2">
      <c r="A16" s="310" t="str">
        <f t="shared" si="2"/>
        <v>_Neo_InfB_Cont_MedSterkte_04</v>
      </c>
      <c r="B16">
        <v>0</v>
      </c>
      <c r="C16" s="310" t="str">
        <f t="shared" si="0"/>
        <v>_Neo_1700_Cont_MedSterkte_04</v>
      </c>
      <c r="D16">
        <v>0</v>
      </c>
      <c r="E16" t="s">
        <v>5026</v>
      </c>
      <c r="F16" s="310" t="b">
        <f t="shared" si="1"/>
        <v>1</v>
      </c>
      <c r="G16" s="310"/>
      <c r="H16" s="310" t="s">
        <v>4877</v>
      </c>
    </row>
    <row r="17" spans="1:8" x14ac:dyDescent="0.2">
      <c r="A17" s="310" t="str">
        <f t="shared" si="2"/>
        <v>_Neo_InfB_Cont_MedSterkte_05</v>
      </c>
      <c r="B17">
        <v>0</v>
      </c>
      <c r="C17" s="310" t="str">
        <f t="shared" si="0"/>
        <v>_Neo_1700_Cont_MedSterkte_05</v>
      </c>
      <c r="D17">
        <v>0</v>
      </c>
      <c r="E17" t="s">
        <v>5028</v>
      </c>
      <c r="F17" s="310" t="b">
        <f t="shared" si="1"/>
        <v>1</v>
      </c>
      <c r="G17" s="310"/>
      <c r="H17" s="310" t="s">
        <v>4878</v>
      </c>
    </row>
    <row r="18" spans="1:8" x14ac:dyDescent="0.2">
      <c r="A18" s="310" t="str">
        <f t="shared" si="2"/>
        <v>_Neo_InfB_Cont_MedSterkte_06</v>
      </c>
      <c r="B18">
        <v>0</v>
      </c>
      <c r="C18" s="310" t="str">
        <f t="shared" si="0"/>
        <v>_Neo_1700_Cont_MedSterkte_06</v>
      </c>
      <c r="D18">
        <v>0</v>
      </c>
      <c r="E18" t="s">
        <v>5030</v>
      </c>
      <c r="F18" s="310" t="b">
        <f t="shared" si="1"/>
        <v>1</v>
      </c>
      <c r="G18" s="310"/>
      <c r="H18" s="310" t="s">
        <v>4879</v>
      </c>
    </row>
    <row r="19" spans="1:8" x14ac:dyDescent="0.2">
      <c r="A19" s="310" t="str">
        <f t="shared" si="2"/>
        <v>_Neo_InfB_Cont_MedSterkte_07</v>
      </c>
      <c r="B19">
        <v>0</v>
      </c>
      <c r="C19" s="310" t="str">
        <f t="shared" si="0"/>
        <v>_Neo_1700_Cont_MedSterkte_07</v>
      </c>
      <c r="D19">
        <v>0</v>
      </c>
      <c r="E19" t="s">
        <v>5032</v>
      </c>
      <c r="F19" s="310" t="b">
        <f t="shared" si="1"/>
        <v>1</v>
      </c>
      <c r="G19" s="310"/>
      <c r="H19" s="310" t="s">
        <v>4880</v>
      </c>
    </row>
    <row r="20" spans="1:8" x14ac:dyDescent="0.2">
      <c r="A20" s="310" t="str">
        <f t="shared" si="2"/>
        <v>_Neo_InfB_Cont_MedSterkte_08</v>
      </c>
      <c r="B20">
        <v>0</v>
      </c>
      <c r="C20" s="310" t="str">
        <f t="shared" si="0"/>
        <v>_Neo_1700_Cont_MedSterkte_08</v>
      </c>
      <c r="D20">
        <v>0</v>
      </c>
      <c r="E20" t="s">
        <v>5034</v>
      </c>
      <c r="F20" s="310" t="b">
        <f t="shared" si="1"/>
        <v>1</v>
      </c>
      <c r="G20" s="310"/>
      <c r="H20" s="310" t="s">
        <v>4881</v>
      </c>
    </row>
    <row r="21" spans="1:8" x14ac:dyDescent="0.2">
      <c r="A21" s="310" t="str">
        <f t="shared" si="2"/>
        <v>_Neo_InfB_Cont_MedSterkte_09</v>
      </c>
      <c r="B21">
        <v>0</v>
      </c>
      <c r="C21" s="310" t="str">
        <f t="shared" si="0"/>
        <v>_Neo_1700_Cont_MedSterkte_09</v>
      </c>
      <c r="D21">
        <v>0</v>
      </c>
      <c r="E21" t="s">
        <v>5036</v>
      </c>
      <c r="F21" s="310" t="b">
        <f t="shared" si="1"/>
        <v>1</v>
      </c>
      <c r="G21" s="310"/>
      <c r="H21" s="310" t="s">
        <v>4882</v>
      </c>
    </row>
    <row r="22" spans="1:8" s="310" customFormat="1" x14ac:dyDescent="0.2">
      <c r="A22" s="310" t="str">
        <f t="shared" si="2"/>
        <v>_Neo_InfB_Cont_MedSterkte_10</v>
      </c>
      <c r="B22" s="310">
        <v>0</v>
      </c>
      <c r="C22" s="310" t="str">
        <f t="shared" si="0"/>
        <v>_Neo_1700_Cont_MedSterkte_10</v>
      </c>
      <c r="D22" s="310">
        <v>0</v>
      </c>
      <c r="E22" s="310" t="s">
        <v>5038</v>
      </c>
      <c r="F22" s="310" t="b">
        <f t="shared" si="1"/>
        <v>1</v>
      </c>
      <c r="H22" s="310" t="s">
        <v>4883</v>
      </c>
    </row>
    <row r="23" spans="1:8" x14ac:dyDescent="0.2">
      <c r="A23" s="310" t="str">
        <f t="shared" si="2"/>
        <v>_Neo_InfB_Cont_MedTekst_1</v>
      </c>
      <c r="C23" s="310" t="str">
        <f t="shared" si="0"/>
        <v>_Neo_1700_Cont_MedTekst_1</v>
      </c>
      <c r="E23" t="s">
        <v>4506</v>
      </c>
      <c r="F23" s="310" t="b">
        <f t="shared" si="1"/>
        <v>1</v>
      </c>
      <c r="G23" s="310"/>
      <c r="H23" s="310" t="s">
        <v>4428</v>
      </c>
    </row>
    <row r="24" spans="1:8" x14ac:dyDescent="0.2">
      <c r="A24" s="310" t="str">
        <f t="shared" si="2"/>
        <v>_Neo_InfB_Cont_MedTekst_2</v>
      </c>
      <c r="C24" s="310" t="str">
        <f t="shared" si="0"/>
        <v>_Neo_1700_Cont_MedTekst_2</v>
      </c>
      <c r="E24" t="s">
        <v>4507</v>
      </c>
      <c r="F24" s="310" t="b">
        <f t="shared" si="1"/>
        <v>1</v>
      </c>
      <c r="G24" s="310"/>
      <c r="H24" s="310" t="s">
        <v>4429</v>
      </c>
    </row>
    <row r="25" spans="1:8" x14ac:dyDescent="0.2">
      <c r="A25" s="310" t="str">
        <f t="shared" si="2"/>
        <v>_Neo_InfB_Cont_OplHoev_01</v>
      </c>
      <c r="B25">
        <v>0</v>
      </c>
      <c r="C25" s="310" t="str">
        <f t="shared" si="0"/>
        <v>_Neo_1700_Cont_OplHoev_01</v>
      </c>
      <c r="D25">
        <v>0</v>
      </c>
      <c r="E25" t="s">
        <v>5041</v>
      </c>
      <c r="F25" s="310" t="b">
        <f t="shared" si="1"/>
        <v>1</v>
      </c>
      <c r="H25" s="310" t="s">
        <v>4884</v>
      </c>
    </row>
    <row r="26" spans="1:8" x14ac:dyDescent="0.2">
      <c r="A26" s="310" t="str">
        <f t="shared" si="2"/>
        <v>_Neo_InfB_Cont_OplHoev_02</v>
      </c>
      <c r="B26">
        <v>0</v>
      </c>
      <c r="C26" s="310" t="str">
        <f t="shared" si="0"/>
        <v>_Neo_1700_Cont_OplHoev_02</v>
      </c>
      <c r="D26">
        <v>0</v>
      </c>
      <c r="E26" t="s">
        <v>5042</v>
      </c>
      <c r="F26" s="310" t="b">
        <f t="shared" si="1"/>
        <v>1</v>
      </c>
      <c r="H26" s="310" t="s">
        <v>4885</v>
      </c>
    </row>
    <row r="27" spans="1:8" x14ac:dyDescent="0.2">
      <c r="A27" s="310" t="str">
        <f t="shared" si="2"/>
        <v>_Neo_InfB_Cont_OplHoev_03</v>
      </c>
      <c r="B27">
        <v>0</v>
      </c>
      <c r="C27" s="310" t="str">
        <f t="shared" si="0"/>
        <v>_Neo_1700_Cont_OplHoev_03</v>
      </c>
      <c r="D27">
        <v>0</v>
      </c>
      <c r="E27" t="s">
        <v>5044</v>
      </c>
      <c r="F27" s="310" t="b">
        <f t="shared" si="1"/>
        <v>1</v>
      </c>
      <c r="H27" s="310" t="s">
        <v>4886</v>
      </c>
    </row>
    <row r="28" spans="1:8" x14ac:dyDescent="0.2">
      <c r="A28" s="310" t="str">
        <f t="shared" si="2"/>
        <v>_Neo_InfB_Cont_OplHoev_04</v>
      </c>
      <c r="B28">
        <v>0</v>
      </c>
      <c r="C28" s="310" t="str">
        <f t="shared" si="0"/>
        <v>_Neo_1700_Cont_OplHoev_04</v>
      </c>
      <c r="D28">
        <v>0</v>
      </c>
      <c r="E28" t="s">
        <v>5046</v>
      </c>
      <c r="F28" s="310" t="b">
        <f t="shared" si="1"/>
        <v>1</v>
      </c>
      <c r="H28" s="310" t="s">
        <v>4887</v>
      </c>
    </row>
    <row r="29" spans="1:8" x14ac:dyDescent="0.2">
      <c r="A29" s="310" t="str">
        <f t="shared" si="2"/>
        <v>_Neo_InfB_Cont_OplHoev_05</v>
      </c>
      <c r="B29">
        <v>0</v>
      </c>
      <c r="C29" s="310" t="str">
        <f t="shared" si="0"/>
        <v>_Neo_1700_Cont_OplHoev_05</v>
      </c>
      <c r="D29">
        <v>0</v>
      </c>
      <c r="E29" t="s">
        <v>5048</v>
      </c>
      <c r="F29" s="310" t="b">
        <f t="shared" si="1"/>
        <v>1</v>
      </c>
      <c r="H29" s="310" t="s">
        <v>4888</v>
      </c>
    </row>
    <row r="30" spans="1:8" x14ac:dyDescent="0.2">
      <c r="A30" s="310" t="str">
        <f t="shared" si="2"/>
        <v>_Neo_InfB_Cont_OplHoev_06</v>
      </c>
      <c r="B30">
        <v>0</v>
      </c>
      <c r="C30" s="310" t="str">
        <f t="shared" si="0"/>
        <v>_Neo_1700_Cont_OplHoev_06</v>
      </c>
      <c r="D30">
        <v>0</v>
      </c>
      <c r="E30" t="s">
        <v>5050</v>
      </c>
      <c r="F30" s="310" t="b">
        <f t="shared" si="1"/>
        <v>1</v>
      </c>
      <c r="H30" s="310" t="s">
        <v>4889</v>
      </c>
    </row>
    <row r="31" spans="1:8" x14ac:dyDescent="0.2">
      <c r="A31" s="310" t="str">
        <f t="shared" si="2"/>
        <v>_Neo_InfB_Cont_OplHoev_07</v>
      </c>
      <c r="B31">
        <v>0</v>
      </c>
      <c r="C31" s="310" t="str">
        <f t="shared" si="0"/>
        <v>_Neo_1700_Cont_OplHoev_07</v>
      </c>
      <c r="D31">
        <v>0</v>
      </c>
      <c r="E31" t="s">
        <v>5052</v>
      </c>
      <c r="F31" s="310" t="b">
        <f t="shared" si="1"/>
        <v>1</v>
      </c>
      <c r="H31" s="310" t="s">
        <v>4890</v>
      </c>
    </row>
    <row r="32" spans="1:8" x14ac:dyDescent="0.2">
      <c r="A32" s="310" t="str">
        <f t="shared" si="2"/>
        <v>_Neo_InfB_Cont_OplHoev_08</v>
      </c>
      <c r="B32">
        <v>0</v>
      </c>
      <c r="C32" s="310" t="str">
        <f t="shared" si="0"/>
        <v>_Neo_1700_Cont_OplHoev_08</v>
      </c>
      <c r="D32">
        <v>0</v>
      </c>
      <c r="E32" t="s">
        <v>5054</v>
      </c>
      <c r="F32" s="310" t="b">
        <f t="shared" si="1"/>
        <v>1</v>
      </c>
      <c r="H32" s="310" t="s">
        <v>4891</v>
      </c>
    </row>
    <row r="33" spans="1:8" x14ac:dyDescent="0.2">
      <c r="A33" s="310" t="str">
        <f t="shared" si="2"/>
        <v>_Neo_InfB_Cont_OplHoev_09</v>
      </c>
      <c r="B33">
        <v>0</v>
      </c>
      <c r="C33" s="310" t="str">
        <f t="shared" si="0"/>
        <v>_Neo_1700_Cont_OplHoev_09</v>
      </c>
      <c r="D33">
        <v>0</v>
      </c>
      <c r="E33" t="s">
        <v>5055</v>
      </c>
      <c r="F33" s="310" t="b">
        <f t="shared" si="1"/>
        <v>1</v>
      </c>
      <c r="H33" s="310" t="s">
        <v>4892</v>
      </c>
    </row>
    <row r="34" spans="1:8" s="310" customFormat="1" x14ac:dyDescent="0.2">
      <c r="A34" s="310" t="str">
        <f t="shared" si="2"/>
        <v>_Neo_InfB_Cont_OplHoev_10</v>
      </c>
      <c r="B34" s="310">
        <v>0</v>
      </c>
      <c r="C34" s="310" t="str">
        <f t="shared" si="0"/>
        <v>_Neo_1700_Cont_OplHoev_10</v>
      </c>
      <c r="D34" s="310">
        <v>0</v>
      </c>
      <c r="E34" s="310" t="s">
        <v>5056</v>
      </c>
      <c r="F34" s="310" t="b">
        <f t="shared" si="1"/>
        <v>1</v>
      </c>
      <c r="H34" s="310" t="s">
        <v>4893</v>
      </c>
    </row>
    <row r="35" spans="1:8" x14ac:dyDescent="0.2">
      <c r="A35" s="310" t="str">
        <f t="shared" si="2"/>
        <v>_Neo_InfB_Cont_Oplossing_01</v>
      </c>
      <c r="B35">
        <v>1</v>
      </c>
      <c r="C35" s="310" t="str">
        <f t="shared" si="0"/>
        <v>_Neo_1700_Cont_Oplossing_01</v>
      </c>
      <c r="D35">
        <v>1</v>
      </c>
      <c r="E35" t="s">
        <v>4508</v>
      </c>
      <c r="F35" s="310" t="b">
        <f t="shared" si="1"/>
        <v>1</v>
      </c>
      <c r="H35" s="310" t="s">
        <v>4430</v>
      </c>
    </row>
    <row r="36" spans="1:8" x14ac:dyDescent="0.2">
      <c r="A36" s="310" t="str">
        <f t="shared" si="2"/>
        <v>_Neo_InfB_Cont_Oplossing_02</v>
      </c>
      <c r="B36">
        <v>1</v>
      </c>
      <c r="C36" s="310" t="str">
        <f t="shared" si="0"/>
        <v>_Neo_1700_Cont_Oplossing_02</v>
      </c>
      <c r="D36">
        <v>1</v>
      </c>
      <c r="E36" t="s">
        <v>4509</v>
      </c>
      <c r="F36" s="310" t="b">
        <f t="shared" si="1"/>
        <v>1</v>
      </c>
      <c r="H36" s="310" t="s">
        <v>4431</v>
      </c>
    </row>
    <row r="37" spans="1:8" x14ac:dyDescent="0.2">
      <c r="A37" s="310" t="str">
        <f t="shared" si="2"/>
        <v>_Neo_InfB_Cont_Oplossing_03</v>
      </c>
      <c r="B37">
        <v>1</v>
      </c>
      <c r="C37" s="310" t="str">
        <f t="shared" ref="C37:C70" si="3">REPLACE(A37,6,4,"1700")</f>
        <v>_Neo_1700_Cont_Oplossing_03</v>
      </c>
      <c r="D37">
        <v>1</v>
      </c>
      <c r="E37" t="s">
        <v>4510</v>
      </c>
      <c r="F37" s="310" t="b">
        <f t="shared" ref="F37:F70" si="4">"Var"&amp;A37=E37</f>
        <v>1</v>
      </c>
      <c r="H37" s="310" t="s">
        <v>4432</v>
      </c>
    </row>
    <row r="38" spans="1:8" x14ac:dyDescent="0.2">
      <c r="A38" s="310" t="str">
        <f t="shared" si="2"/>
        <v>_Neo_InfB_Cont_Oplossing_04</v>
      </c>
      <c r="B38">
        <v>1</v>
      </c>
      <c r="C38" s="310" t="str">
        <f t="shared" si="3"/>
        <v>_Neo_1700_Cont_Oplossing_04</v>
      </c>
      <c r="D38">
        <v>1</v>
      </c>
      <c r="E38" t="s">
        <v>4511</v>
      </c>
      <c r="F38" s="310" t="b">
        <f t="shared" si="4"/>
        <v>1</v>
      </c>
      <c r="H38" s="310" t="s">
        <v>4433</v>
      </c>
    </row>
    <row r="39" spans="1:8" x14ac:dyDescent="0.2">
      <c r="A39" s="310" t="str">
        <f t="shared" si="2"/>
        <v>_Neo_InfB_Cont_Oplossing_05</v>
      </c>
      <c r="B39">
        <v>1</v>
      </c>
      <c r="C39" s="310" t="str">
        <f t="shared" si="3"/>
        <v>_Neo_1700_Cont_Oplossing_05</v>
      </c>
      <c r="D39">
        <v>1</v>
      </c>
      <c r="E39" t="s">
        <v>4512</v>
      </c>
      <c r="F39" s="310" t="b">
        <f t="shared" si="4"/>
        <v>1</v>
      </c>
      <c r="H39" s="310" t="s">
        <v>4434</v>
      </c>
    </row>
    <row r="40" spans="1:8" x14ac:dyDescent="0.2">
      <c r="A40" s="310" t="str">
        <f t="shared" si="2"/>
        <v>_Neo_InfB_Cont_Oplossing_06</v>
      </c>
      <c r="B40">
        <v>1</v>
      </c>
      <c r="C40" s="310" t="str">
        <f t="shared" si="3"/>
        <v>_Neo_1700_Cont_Oplossing_06</v>
      </c>
      <c r="D40">
        <v>1</v>
      </c>
      <c r="E40" t="s">
        <v>4513</v>
      </c>
      <c r="F40" s="310" t="b">
        <f t="shared" si="4"/>
        <v>1</v>
      </c>
      <c r="H40" s="310" t="s">
        <v>4435</v>
      </c>
    </row>
    <row r="41" spans="1:8" x14ac:dyDescent="0.2">
      <c r="A41" s="310" t="str">
        <f t="shared" si="2"/>
        <v>_Neo_InfB_Cont_Oplossing_07</v>
      </c>
      <c r="B41">
        <v>1</v>
      </c>
      <c r="C41" s="310" t="str">
        <f t="shared" si="3"/>
        <v>_Neo_1700_Cont_Oplossing_07</v>
      </c>
      <c r="D41">
        <v>1</v>
      </c>
      <c r="E41" t="s">
        <v>4514</v>
      </c>
      <c r="F41" s="310" t="b">
        <f t="shared" si="4"/>
        <v>1</v>
      </c>
      <c r="H41" s="310" t="s">
        <v>4436</v>
      </c>
    </row>
    <row r="42" spans="1:8" x14ac:dyDescent="0.2">
      <c r="A42" s="310" t="str">
        <f t="shared" si="2"/>
        <v>_Neo_InfB_Cont_Oplossing_08</v>
      </c>
      <c r="B42">
        <v>1</v>
      </c>
      <c r="C42" s="310" t="str">
        <f t="shared" si="3"/>
        <v>_Neo_1700_Cont_Oplossing_08</v>
      </c>
      <c r="D42">
        <v>1</v>
      </c>
      <c r="E42" t="s">
        <v>4515</v>
      </c>
      <c r="F42" s="310" t="b">
        <f t="shared" si="4"/>
        <v>1</v>
      </c>
      <c r="H42" s="310" t="s">
        <v>4437</v>
      </c>
    </row>
    <row r="43" spans="1:8" x14ac:dyDescent="0.2">
      <c r="A43" s="310" t="str">
        <f t="shared" si="2"/>
        <v>_Neo_InfB_Cont_Oplossing_09</v>
      </c>
      <c r="B43">
        <v>1</v>
      </c>
      <c r="C43" s="310" t="str">
        <f t="shared" si="3"/>
        <v>_Neo_1700_Cont_Oplossing_09</v>
      </c>
      <c r="D43">
        <v>1</v>
      </c>
      <c r="E43" t="s">
        <v>4516</v>
      </c>
      <c r="F43" s="310" t="b">
        <f t="shared" si="4"/>
        <v>1</v>
      </c>
      <c r="H43" s="310" t="s">
        <v>4438</v>
      </c>
    </row>
    <row r="44" spans="1:8" x14ac:dyDescent="0.2">
      <c r="A44" s="310" t="str">
        <f t="shared" si="2"/>
        <v>_Neo_InfB_Cont_Oplossing_10</v>
      </c>
      <c r="B44">
        <v>1</v>
      </c>
      <c r="C44" s="310" t="str">
        <f t="shared" si="3"/>
        <v>_Neo_1700_Cont_Oplossing_10</v>
      </c>
      <c r="D44">
        <v>1</v>
      </c>
      <c r="E44" t="s">
        <v>4517</v>
      </c>
      <c r="F44" s="310" t="b">
        <f t="shared" si="4"/>
        <v>1</v>
      </c>
      <c r="H44" s="310" t="s">
        <v>4439</v>
      </c>
    </row>
    <row r="45" spans="1:8" x14ac:dyDescent="0.2">
      <c r="A45" s="310" t="str">
        <f t="shared" si="2"/>
        <v>_Neo_InfB_Cont_Oplossing_11</v>
      </c>
      <c r="B45">
        <v>1</v>
      </c>
      <c r="C45" s="310" t="str">
        <f t="shared" si="3"/>
        <v>_Neo_1700_Cont_Oplossing_11</v>
      </c>
      <c r="D45">
        <v>1</v>
      </c>
      <c r="E45" t="s">
        <v>4518</v>
      </c>
      <c r="F45" s="310" t="b">
        <f t="shared" si="4"/>
        <v>1</v>
      </c>
      <c r="H45" s="310" t="s">
        <v>4440</v>
      </c>
    </row>
    <row r="46" spans="1:8" x14ac:dyDescent="0.2">
      <c r="A46" s="310" t="str">
        <f t="shared" si="2"/>
        <v>_Neo_InfB_Cont_Oplossing_12</v>
      </c>
      <c r="B46">
        <v>1</v>
      </c>
      <c r="C46" s="310" t="str">
        <f t="shared" si="3"/>
        <v>_Neo_1700_Cont_Oplossing_12</v>
      </c>
      <c r="D46">
        <v>1</v>
      </c>
      <c r="E46" t="s">
        <v>4519</v>
      </c>
      <c r="F46" s="310" t="b">
        <f t="shared" si="4"/>
        <v>1</v>
      </c>
      <c r="H46" s="310" t="s">
        <v>4441</v>
      </c>
    </row>
    <row r="47" spans="1:8" s="310" customFormat="1" x14ac:dyDescent="0.2">
      <c r="A47" s="310" t="str">
        <f t="shared" si="2"/>
        <v>_Neo_InfB_Cont_Oplossing_13</v>
      </c>
      <c r="B47" s="310">
        <v>1</v>
      </c>
      <c r="C47" s="310" t="str">
        <f t="shared" si="3"/>
        <v>_Neo_1700_Cont_Oplossing_13</v>
      </c>
      <c r="D47" s="310">
        <v>1</v>
      </c>
      <c r="E47" s="310" t="s">
        <v>5065</v>
      </c>
      <c r="F47" s="310" t="b">
        <f t="shared" si="4"/>
        <v>1</v>
      </c>
      <c r="H47" s="310" t="s">
        <v>4894</v>
      </c>
    </row>
    <row r="48" spans="1:8" x14ac:dyDescent="0.2">
      <c r="A48" s="310" t="str">
        <f t="shared" si="2"/>
        <v>_Neo_InfB_Cont_Stand_01</v>
      </c>
      <c r="B48">
        <v>0</v>
      </c>
      <c r="C48" s="310" t="str">
        <f t="shared" si="3"/>
        <v>_Neo_1700_Cont_Stand_01</v>
      </c>
      <c r="D48">
        <v>0</v>
      </c>
      <c r="E48" t="s">
        <v>4520</v>
      </c>
      <c r="F48" s="310" t="b">
        <f t="shared" si="4"/>
        <v>1</v>
      </c>
      <c r="H48" s="310" t="s">
        <v>4442</v>
      </c>
    </row>
    <row r="49" spans="1:8" x14ac:dyDescent="0.2">
      <c r="A49" s="310" t="str">
        <f t="shared" si="2"/>
        <v>_Neo_InfB_Cont_Stand_02</v>
      </c>
      <c r="B49">
        <v>0</v>
      </c>
      <c r="C49" s="310" t="str">
        <f t="shared" si="3"/>
        <v>_Neo_1700_Cont_Stand_02</v>
      </c>
      <c r="D49">
        <v>0</v>
      </c>
      <c r="E49" t="s">
        <v>4521</v>
      </c>
      <c r="F49" s="310" t="b">
        <f t="shared" si="4"/>
        <v>1</v>
      </c>
      <c r="H49" s="310" t="s">
        <v>4443</v>
      </c>
    </row>
    <row r="50" spans="1:8" x14ac:dyDescent="0.2">
      <c r="A50" s="310" t="str">
        <f t="shared" si="2"/>
        <v>_Neo_InfB_Cont_Stand_03</v>
      </c>
      <c r="B50">
        <v>0</v>
      </c>
      <c r="C50" s="310" t="str">
        <f t="shared" si="3"/>
        <v>_Neo_1700_Cont_Stand_03</v>
      </c>
      <c r="D50">
        <v>0</v>
      </c>
      <c r="E50" t="s">
        <v>4522</v>
      </c>
      <c r="F50" s="310" t="b">
        <f t="shared" si="4"/>
        <v>1</v>
      </c>
      <c r="H50" s="310" t="s">
        <v>4444</v>
      </c>
    </row>
    <row r="51" spans="1:8" x14ac:dyDescent="0.2">
      <c r="A51" s="310" t="str">
        <f t="shared" si="2"/>
        <v>_Neo_InfB_Cont_Stand_04</v>
      </c>
      <c r="B51">
        <v>0</v>
      </c>
      <c r="C51" s="310" t="str">
        <f t="shared" si="3"/>
        <v>_Neo_1700_Cont_Stand_04</v>
      </c>
      <c r="D51">
        <v>0</v>
      </c>
      <c r="E51" t="s">
        <v>4523</v>
      </c>
      <c r="F51" s="310" t="b">
        <f t="shared" si="4"/>
        <v>1</v>
      </c>
      <c r="H51" s="310" t="s">
        <v>4445</v>
      </c>
    </row>
    <row r="52" spans="1:8" x14ac:dyDescent="0.2">
      <c r="A52" s="310" t="str">
        <f t="shared" si="2"/>
        <v>_Neo_InfB_Cont_Stand_05</v>
      </c>
      <c r="B52">
        <v>0</v>
      </c>
      <c r="C52" s="310" t="str">
        <f t="shared" si="3"/>
        <v>_Neo_1700_Cont_Stand_05</v>
      </c>
      <c r="D52">
        <v>0</v>
      </c>
      <c r="E52" t="s">
        <v>4524</v>
      </c>
      <c r="F52" s="310" t="b">
        <f t="shared" si="4"/>
        <v>1</v>
      </c>
      <c r="H52" s="310" t="s">
        <v>4446</v>
      </c>
    </row>
    <row r="53" spans="1:8" x14ac:dyDescent="0.2">
      <c r="A53" s="310" t="str">
        <f t="shared" si="2"/>
        <v>_Neo_InfB_Cont_Stand_06</v>
      </c>
      <c r="B53">
        <v>0</v>
      </c>
      <c r="C53" s="310" t="str">
        <f t="shared" si="3"/>
        <v>_Neo_1700_Cont_Stand_06</v>
      </c>
      <c r="D53">
        <v>0</v>
      </c>
      <c r="E53" t="s">
        <v>4525</v>
      </c>
      <c r="F53" s="310" t="b">
        <f t="shared" si="4"/>
        <v>1</v>
      </c>
      <c r="H53" s="310" t="s">
        <v>4447</v>
      </c>
    </row>
    <row r="54" spans="1:8" x14ac:dyDescent="0.2">
      <c r="A54" s="310" t="str">
        <f t="shared" si="2"/>
        <v>_Neo_InfB_Cont_Stand_07</v>
      </c>
      <c r="B54">
        <v>0</v>
      </c>
      <c r="C54" s="310" t="str">
        <f t="shared" si="3"/>
        <v>_Neo_1700_Cont_Stand_07</v>
      </c>
      <c r="D54">
        <v>0</v>
      </c>
      <c r="E54" t="s">
        <v>4526</v>
      </c>
      <c r="F54" s="310" t="b">
        <f t="shared" si="4"/>
        <v>1</v>
      </c>
      <c r="H54" s="310" t="s">
        <v>4448</v>
      </c>
    </row>
    <row r="55" spans="1:8" x14ac:dyDescent="0.2">
      <c r="A55" s="310" t="str">
        <f t="shared" si="2"/>
        <v>_Neo_InfB_Cont_Stand_08</v>
      </c>
      <c r="B55">
        <v>0</v>
      </c>
      <c r="C55" s="310" t="str">
        <f t="shared" si="3"/>
        <v>_Neo_1700_Cont_Stand_08</v>
      </c>
      <c r="D55">
        <v>0</v>
      </c>
      <c r="E55" t="s">
        <v>4527</v>
      </c>
      <c r="F55" s="310" t="b">
        <f t="shared" si="4"/>
        <v>1</v>
      </c>
      <c r="H55" s="310" t="s">
        <v>4449</v>
      </c>
    </row>
    <row r="56" spans="1:8" x14ac:dyDescent="0.2">
      <c r="A56" s="310" t="str">
        <f t="shared" si="2"/>
        <v>_Neo_InfB_Cont_Stand_09</v>
      </c>
      <c r="B56">
        <v>0</v>
      </c>
      <c r="C56" s="310" t="str">
        <f t="shared" si="3"/>
        <v>_Neo_1700_Cont_Stand_09</v>
      </c>
      <c r="D56">
        <v>0</v>
      </c>
      <c r="E56" t="s">
        <v>4528</v>
      </c>
      <c r="F56" s="310" t="b">
        <f t="shared" si="4"/>
        <v>1</v>
      </c>
      <c r="H56" s="310" t="s">
        <v>4450</v>
      </c>
    </row>
    <row r="57" spans="1:8" x14ac:dyDescent="0.2">
      <c r="A57" s="310" t="str">
        <f t="shared" si="2"/>
        <v>_Neo_InfB_Cont_Stand_10</v>
      </c>
      <c r="B57">
        <v>0</v>
      </c>
      <c r="C57" s="310" t="str">
        <f t="shared" si="3"/>
        <v>_Neo_1700_Cont_Stand_10</v>
      </c>
      <c r="D57">
        <v>0</v>
      </c>
      <c r="E57" t="s">
        <v>4529</v>
      </c>
      <c r="F57" s="310" t="b">
        <f t="shared" si="4"/>
        <v>1</v>
      </c>
      <c r="H57" s="310" t="s">
        <v>4451</v>
      </c>
    </row>
    <row r="58" spans="1:8" x14ac:dyDescent="0.2">
      <c r="A58" s="310" t="str">
        <f t="shared" si="2"/>
        <v>_Neo_InfB_Cont_Stand_11</v>
      </c>
      <c r="B58">
        <v>0</v>
      </c>
      <c r="C58" s="310" t="str">
        <f t="shared" si="3"/>
        <v>_Neo_1700_Cont_Stand_11</v>
      </c>
      <c r="D58">
        <v>0</v>
      </c>
      <c r="E58" t="s">
        <v>4530</v>
      </c>
      <c r="F58" s="310" t="b">
        <f t="shared" si="4"/>
        <v>1</v>
      </c>
      <c r="H58" s="310" t="s">
        <v>4452</v>
      </c>
    </row>
    <row r="59" spans="1:8" x14ac:dyDescent="0.2">
      <c r="A59" s="310" t="str">
        <f t="shared" si="2"/>
        <v>_Neo_InfB_Cont_Stand_12</v>
      </c>
      <c r="B59">
        <v>0</v>
      </c>
      <c r="C59" s="310" t="str">
        <f t="shared" si="3"/>
        <v>_Neo_1700_Cont_Stand_12</v>
      </c>
      <c r="D59">
        <v>0</v>
      </c>
      <c r="E59" t="s">
        <v>4531</v>
      </c>
      <c r="F59" s="310" t="b">
        <f t="shared" si="4"/>
        <v>1</v>
      </c>
      <c r="H59" s="310" t="s">
        <v>4453</v>
      </c>
    </row>
    <row r="60" spans="1:8" s="310" customFormat="1" x14ac:dyDescent="0.2">
      <c r="A60" s="310" t="str">
        <f t="shared" si="2"/>
        <v>_Neo_InfB_Cont_Stand_13</v>
      </c>
      <c r="B60" s="310">
        <v>0</v>
      </c>
      <c r="C60" s="310" t="str">
        <f t="shared" si="3"/>
        <v>_Neo_1700_Cont_Stand_13</v>
      </c>
      <c r="D60" s="310">
        <v>0</v>
      </c>
      <c r="E60" s="310" t="s">
        <v>5073</v>
      </c>
      <c r="F60" s="310" t="b">
        <f t="shared" si="4"/>
        <v>1</v>
      </c>
      <c r="H60" s="310" t="s">
        <v>4895</v>
      </c>
    </row>
    <row r="61" spans="1:8" x14ac:dyDescent="0.2">
      <c r="A61" s="310" t="str">
        <f t="shared" si="2"/>
        <v>_Neo_InfB_Cont_VochtExtra_01</v>
      </c>
      <c r="B61" t="b">
        <v>0</v>
      </c>
      <c r="C61" s="310" t="str">
        <f t="shared" si="3"/>
        <v>_Neo_1700_Cont_VochtExtra_01</v>
      </c>
      <c r="D61" t="b">
        <v>0</v>
      </c>
      <c r="E61" t="s">
        <v>4532</v>
      </c>
      <c r="F61" s="310" t="b">
        <f t="shared" si="4"/>
        <v>1</v>
      </c>
      <c r="H61" s="310" t="s">
        <v>4454</v>
      </c>
    </row>
    <row r="62" spans="1:8" x14ac:dyDescent="0.2">
      <c r="A62" s="310" t="str">
        <f t="shared" si="2"/>
        <v>_Neo_InfB_Cont_VochtExtra_02</v>
      </c>
      <c r="B62" t="b">
        <v>0</v>
      </c>
      <c r="C62" s="310" t="str">
        <f t="shared" si="3"/>
        <v>_Neo_1700_Cont_VochtExtra_02</v>
      </c>
      <c r="D62" t="b">
        <v>0</v>
      </c>
      <c r="E62" t="s">
        <v>4533</v>
      </c>
      <c r="F62" s="310" t="b">
        <f t="shared" si="4"/>
        <v>1</v>
      </c>
      <c r="H62" s="310" t="s">
        <v>4455</v>
      </c>
    </row>
    <row r="63" spans="1:8" x14ac:dyDescent="0.2">
      <c r="A63" s="310" t="str">
        <f t="shared" si="2"/>
        <v>_Neo_InfB_Cont_VochtExtra_03</v>
      </c>
      <c r="B63" t="b">
        <v>0</v>
      </c>
      <c r="C63" s="310" t="str">
        <f t="shared" si="3"/>
        <v>_Neo_1700_Cont_VochtExtra_03</v>
      </c>
      <c r="D63" t="b">
        <v>0</v>
      </c>
      <c r="E63" t="s">
        <v>4534</v>
      </c>
      <c r="F63" s="310" t="b">
        <f t="shared" si="4"/>
        <v>1</v>
      </c>
      <c r="H63" s="310" t="s">
        <v>4456</v>
      </c>
    </row>
    <row r="64" spans="1:8" x14ac:dyDescent="0.2">
      <c r="A64" s="310" t="str">
        <f t="shared" si="2"/>
        <v>_Neo_InfB_Cont_VochtExtra_04</v>
      </c>
      <c r="B64" t="b">
        <v>0</v>
      </c>
      <c r="C64" s="310" t="str">
        <f t="shared" si="3"/>
        <v>_Neo_1700_Cont_VochtExtra_04</v>
      </c>
      <c r="D64" t="b">
        <v>0</v>
      </c>
      <c r="E64" t="s">
        <v>4535</v>
      </c>
      <c r="F64" s="310" t="b">
        <f t="shared" si="4"/>
        <v>1</v>
      </c>
      <c r="H64" s="310" t="s">
        <v>4457</v>
      </c>
    </row>
    <row r="65" spans="1:8" x14ac:dyDescent="0.2">
      <c r="A65" s="310" t="str">
        <f t="shared" si="2"/>
        <v>_Neo_InfB_Cont_VochtExtra_05</v>
      </c>
      <c r="B65" t="b">
        <v>0</v>
      </c>
      <c r="C65" s="310" t="str">
        <f t="shared" si="3"/>
        <v>_Neo_1700_Cont_VochtExtra_05</v>
      </c>
      <c r="D65" t="b">
        <v>0</v>
      </c>
      <c r="E65" t="s">
        <v>4536</v>
      </c>
      <c r="F65" s="310" t="b">
        <f t="shared" si="4"/>
        <v>1</v>
      </c>
      <c r="H65" s="310" t="s">
        <v>4458</v>
      </c>
    </row>
    <row r="66" spans="1:8" x14ac:dyDescent="0.2">
      <c r="A66" s="310" t="str">
        <f t="shared" si="2"/>
        <v>_Neo_InfB_Cont_VochtExtra_06</v>
      </c>
      <c r="B66" t="b">
        <v>0</v>
      </c>
      <c r="C66" s="310" t="str">
        <f t="shared" si="3"/>
        <v>_Neo_1700_Cont_VochtExtra_06</v>
      </c>
      <c r="D66" t="b">
        <v>0</v>
      </c>
      <c r="E66" t="s">
        <v>4537</v>
      </c>
      <c r="F66" s="310" t="b">
        <f t="shared" si="4"/>
        <v>1</v>
      </c>
      <c r="H66" s="310" t="s">
        <v>4459</v>
      </c>
    </row>
    <row r="67" spans="1:8" x14ac:dyDescent="0.2">
      <c r="A67" s="310" t="str">
        <f t="shared" si="2"/>
        <v>_Neo_InfB_Cont_VochtExtra_07</v>
      </c>
      <c r="B67" t="b">
        <v>0</v>
      </c>
      <c r="C67" s="310" t="str">
        <f t="shared" si="3"/>
        <v>_Neo_1700_Cont_VochtExtra_07</v>
      </c>
      <c r="D67" t="b">
        <v>0</v>
      </c>
      <c r="E67" t="s">
        <v>4538</v>
      </c>
      <c r="F67" s="310" t="b">
        <f t="shared" si="4"/>
        <v>1</v>
      </c>
      <c r="H67" s="310" t="s">
        <v>4460</v>
      </c>
    </row>
    <row r="68" spans="1:8" x14ac:dyDescent="0.2">
      <c r="A68" s="310" t="str">
        <f t="shared" si="2"/>
        <v>_Neo_InfB_Cont_VochtExtra_08</v>
      </c>
      <c r="B68" t="b">
        <v>0</v>
      </c>
      <c r="C68" s="310" t="str">
        <f t="shared" si="3"/>
        <v>_Neo_1700_Cont_VochtExtra_08</v>
      </c>
      <c r="D68" t="b">
        <v>0</v>
      </c>
      <c r="E68" t="s">
        <v>4539</v>
      </c>
      <c r="F68" s="310" t="b">
        <f t="shared" si="4"/>
        <v>1</v>
      </c>
      <c r="H68" s="310" t="s">
        <v>4461</v>
      </c>
    </row>
    <row r="69" spans="1:8" x14ac:dyDescent="0.2">
      <c r="A69" s="310" t="str">
        <f t="shared" si="2"/>
        <v>_Neo_InfB_Cont_VochtExtra_09</v>
      </c>
      <c r="B69" t="b">
        <v>0</v>
      </c>
      <c r="C69" s="310" t="str">
        <f t="shared" si="3"/>
        <v>_Neo_1700_Cont_VochtExtra_09</v>
      </c>
      <c r="D69" t="b">
        <v>0</v>
      </c>
      <c r="E69" t="s">
        <v>4540</v>
      </c>
      <c r="F69" s="310" t="b">
        <f t="shared" si="4"/>
        <v>1</v>
      </c>
      <c r="H69" s="310" t="s">
        <v>4462</v>
      </c>
    </row>
    <row r="70" spans="1:8" x14ac:dyDescent="0.2">
      <c r="A70" s="310" t="str">
        <f t="shared" si="2"/>
        <v>_Neo_InfB_Cont_VochtExtra_10</v>
      </c>
      <c r="B70" t="b">
        <v>0</v>
      </c>
      <c r="C70" s="310" t="str">
        <f t="shared" si="3"/>
        <v>_Neo_1700_Cont_VochtExtra_10</v>
      </c>
      <c r="D70" t="b">
        <v>0</v>
      </c>
      <c r="E70" t="s">
        <v>4541</v>
      </c>
      <c r="F70" s="310" t="b">
        <f t="shared" si="4"/>
        <v>1</v>
      </c>
      <c r="H70" s="310" t="s">
        <v>4463</v>
      </c>
    </row>
    <row r="71" spans="1:8" x14ac:dyDescent="0.2">
      <c r="A71" s="310" t="str">
        <f t="shared" si="2"/>
        <v>_Neo_InfB_Cont_VochtExtra_11</v>
      </c>
      <c r="B71" t="b">
        <v>0</v>
      </c>
      <c r="C71" s="310" t="str">
        <f t="shared" ref="C71:C98" si="5">REPLACE(A71,6,4,"1700")</f>
        <v>_Neo_1700_Cont_VochtExtra_11</v>
      </c>
      <c r="D71" t="b">
        <v>0</v>
      </c>
      <c r="E71" t="s">
        <v>4542</v>
      </c>
      <c r="F71" s="310" t="b">
        <f t="shared" ref="F71:F98" si="6">"Var"&amp;A71=E71</f>
        <v>1</v>
      </c>
      <c r="H71" s="310" t="s">
        <v>4464</v>
      </c>
    </row>
    <row r="72" spans="1:8" x14ac:dyDescent="0.2">
      <c r="A72" s="310" t="str">
        <f t="shared" ref="A72:A112" si="7">H72</f>
        <v>_Neo_InfB_Cont_VochtExtra_12</v>
      </c>
      <c r="B72" t="b">
        <v>0</v>
      </c>
      <c r="C72" s="310" t="str">
        <f t="shared" si="5"/>
        <v>_Neo_1700_Cont_VochtExtra_12</v>
      </c>
      <c r="D72" t="b">
        <v>0</v>
      </c>
      <c r="E72" t="s">
        <v>4543</v>
      </c>
      <c r="F72" s="310" t="b">
        <f t="shared" si="6"/>
        <v>1</v>
      </c>
      <c r="H72" s="310" t="s">
        <v>4465</v>
      </c>
    </row>
    <row r="73" spans="1:8" x14ac:dyDescent="0.2">
      <c r="A73" s="310" t="str">
        <f t="shared" si="7"/>
        <v>_Neo_InfB_Cont_VochtExtra_13</v>
      </c>
      <c r="B73" t="b">
        <v>0</v>
      </c>
      <c r="C73" s="310" t="str">
        <f t="shared" si="5"/>
        <v>_Neo_1700_Cont_VochtExtra_13</v>
      </c>
      <c r="D73" t="b">
        <v>0</v>
      </c>
      <c r="E73" t="s">
        <v>4544</v>
      </c>
      <c r="F73" s="310" t="b">
        <f t="shared" si="6"/>
        <v>1</v>
      </c>
      <c r="H73" s="310" t="s">
        <v>4466</v>
      </c>
    </row>
    <row r="74" spans="1:8" x14ac:dyDescent="0.2">
      <c r="A74" s="310" t="str">
        <f t="shared" si="7"/>
        <v>_Neo_InfB_Cont_VochtExtra_14</v>
      </c>
      <c r="B74" t="b">
        <v>0</v>
      </c>
      <c r="C74" s="310" t="str">
        <f t="shared" si="5"/>
        <v>_Neo_1700_Cont_VochtExtra_14</v>
      </c>
      <c r="D74" t="b">
        <v>0</v>
      </c>
      <c r="E74" t="s">
        <v>4545</v>
      </c>
      <c r="F74" s="310" t="b">
        <f t="shared" si="6"/>
        <v>1</v>
      </c>
      <c r="H74" s="310" t="s">
        <v>4467</v>
      </c>
    </row>
    <row r="75" spans="1:8" s="310" customFormat="1" x14ac:dyDescent="0.2">
      <c r="A75" s="310" t="str">
        <f t="shared" si="7"/>
        <v>_Neo_InfB_Ent_Extra</v>
      </c>
      <c r="B75" s="310">
        <v>2</v>
      </c>
      <c r="C75" s="310" t="str">
        <f t="shared" si="5"/>
        <v>_Neo_1700_Ent_Extra</v>
      </c>
      <c r="D75" s="310">
        <v>2</v>
      </c>
      <c r="E75" s="311" t="s">
        <v>5138</v>
      </c>
      <c r="F75" s="310" t="b">
        <f t="shared" si="6"/>
        <v>1</v>
      </c>
      <c r="H75" s="311" t="s">
        <v>5142</v>
      </c>
    </row>
    <row r="76" spans="1:8" x14ac:dyDescent="0.2">
      <c r="A76" s="310" t="str">
        <f t="shared" si="7"/>
        <v>_Neo_InfB_Ent_Frequentie_1</v>
      </c>
      <c r="B76">
        <v>0</v>
      </c>
      <c r="C76" s="310" t="str">
        <f t="shared" si="5"/>
        <v>_Neo_1700_Ent_Frequentie_1</v>
      </c>
      <c r="D76">
        <v>0</v>
      </c>
      <c r="E76" t="s">
        <v>4546</v>
      </c>
      <c r="F76" s="310" t="b">
        <f t="shared" si="6"/>
        <v>1</v>
      </c>
      <c r="H76" s="310" t="s">
        <v>4468</v>
      </c>
    </row>
    <row r="77" spans="1:8" x14ac:dyDescent="0.2">
      <c r="A77" s="310" t="str">
        <f t="shared" si="7"/>
        <v>_Neo_InfB_Ent_Frequentie_2</v>
      </c>
      <c r="B77">
        <v>0</v>
      </c>
      <c r="C77" s="310" t="str">
        <f t="shared" si="5"/>
        <v>_Neo_1700_Ent_Frequentie_2</v>
      </c>
      <c r="D77">
        <v>0</v>
      </c>
      <c r="E77" t="s">
        <v>4547</v>
      </c>
      <c r="F77" s="310" t="b">
        <f t="shared" si="6"/>
        <v>1</v>
      </c>
      <c r="H77" s="310" t="s">
        <v>4469</v>
      </c>
    </row>
    <row r="78" spans="1:8" x14ac:dyDescent="0.2">
      <c r="A78" s="310" t="str">
        <f t="shared" si="7"/>
        <v>_Neo_InfB_Ent_Hoeveelheid_1</v>
      </c>
      <c r="B78">
        <v>0</v>
      </c>
      <c r="C78" s="310" t="str">
        <f t="shared" si="5"/>
        <v>_Neo_1700_Ent_Hoeveelheid_1</v>
      </c>
      <c r="D78">
        <v>0</v>
      </c>
      <c r="E78" t="s">
        <v>4548</v>
      </c>
      <c r="F78" s="310" t="b">
        <f t="shared" si="6"/>
        <v>1</v>
      </c>
      <c r="H78" s="310" t="s">
        <v>4470</v>
      </c>
    </row>
    <row r="79" spans="1:8" x14ac:dyDescent="0.2">
      <c r="A79" s="310" t="str">
        <f t="shared" si="7"/>
        <v>_Neo_InfB_Ent_Hoeveelheid_2</v>
      </c>
      <c r="B79">
        <v>0</v>
      </c>
      <c r="C79" s="310" t="str">
        <f t="shared" si="5"/>
        <v>_Neo_1700_Ent_Hoeveelheid_2</v>
      </c>
      <c r="D79">
        <v>0</v>
      </c>
      <c r="E79" t="s">
        <v>4549</v>
      </c>
      <c r="F79" s="310" t="b">
        <f t="shared" si="6"/>
        <v>1</v>
      </c>
      <c r="H79" s="310" t="s">
        <v>4471</v>
      </c>
    </row>
    <row r="80" spans="1:8" x14ac:dyDescent="0.2">
      <c r="A80" s="310" t="str">
        <f t="shared" si="7"/>
        <v>_Neo_InfB_Ent_PercentageKeuze_0</v>
      </c>
      <c r="B80">
        <v>1</v>
      </c>
      <c r="C80" s="310" t="str">
        <f t="shared" si="5"/>
        <v>_Neo_1700_Ent_PercentageKeuze_0</v>
      </c>
      <c r="D80">
        <v>1</v>
      </c>
      <c r="E80" t="s">
        <v>4550</v>
      </c>
      <c r="F80" s="310" t="b">
        <f t="shared" si="6"/>
        <v>1</v>
      </c>
      <c r="H80" s="310" t="s">
        <v>4472</v>
      </c>
    </row>
    <row r="81" spans="1:8" x14ac:dyDescent="0.2">
      <c r="A81" s="310" t="str">
        <f t="shared" si="7"/>
        <v>_Neo_InfB_Ent_PercentageKeuze_1</v>
      </c>
      <c r="B81">
        <v>1</v>
      </c>
      <c r="C81" s="310" t="str">
        <f t="shared" si="5"/>
        <v>_Neo_1700_Ent_PercentageKeuze_1</v>
      </c>
      <c r="D81">
        <v>1</v>
      </c>
      <c r="E81" t="s">
        <v>4551</v>
      </c>
      <c r="F81" s="310" t="b">
        <f t="shared" si="6"/>
        <v>1</v>
      </c>
      <c r="H81" s="310" t="s">
        <v>4473</v>
      </c>
    </row>
    <row r="82" spans="1:8" x14ac:dyDescent="0.2">
      <c r="A82" s="310" t="str">
        <f t="shared" si="7"/>
        <v>_Neo_InfB_Ent_PercentageKeuze_2</v>
      </c>
      <c r="B82">
        <v>1</v>
      </c>
      <c r="C82" s="310" t="str">
        <f t="shared" si="5"/>
        <v>_Neo_1700_Ent_PercentageKeuze_2</v>
      </c>
      <c r="D82">
        <v>1</v>
      </c>
      <c r="E82" t="s">
        <v>4552</v>
      </c>
      <c r="F82" s="310" t="b">
        <f t="shared" si="6"/>
        <v>1</v>
      </c>
      <c r="H82" s="310" t="s">
        <v>4474</v>
      </c>
    </row>
    <row r="83" spans="1:8" x14ac:dyDescent="0.2">
      <c r="A83" s="310" t="str">
        <f t="shared" si="7"/>
        <v>_Neo_InfB_Ent_PercentageKeuze_3</v>
      </c>
      <c r="B83">
        <v>1</v>
      </c>
      <c r="C83" s="310" t="str">
        <f t="shared" si="5"/>
        <v>_Neo_1700_Ent_PercentageKeuze_3</v>
      </c>
      <c r="D83">
        <v>1</v>
      </c>
      <c r="E83" t="s">
        <v>4553</v>
      </c>
      <c r="F83" s="310" t="b">
        <f t="shared" si="6"/>
        <v>1</v>
      </c>
      <c r="H83" s="310" t="s">
        <v>4475</v>
      </c>
    </row>
    <row r="84" spans="1:8" x14ac:dyDescent="0.2">
      <c r="A84" s="310" t="str">
        <f t="shared" si="7"/>
        <v>_Neo_InfB_Ent_PercentageKeuze_4</v>
      </c>
      <c r="B84">
        <v>1</v>
      </c>
      <c r="C84" s="310" t="str">
        <f t="shared" si="5"/>
        <v>_Neo_1700_Ent_PercentageKeuze_4</v>
      </c>
      <c r="D84">
        <v>1</v>
      </c>
      <c r="E84" t="s">
        <v>4554</v>
      </c>
      <c r="F84" s="310" t="b">
        <f t="shared" si="6"/>
        <v>1</v>
      </c>
      <c r="H84" s="310" t="s">
        <v>4476</v>
      </c>
    </row>
    <row r="85" spans="1:8" x14ac:dyDescent="0.2">
      <c r="A85" s="310" t="str">
        <f t="shared" si="7"/>
        <v>_Neo_InfB_Ent_PercentageKeuze_5</v>
      </c>
      <c r="B85">
        <v>1</v>
      </c>
      <c r="C85" s="310" t="str">
        <f t="shared" si="5"/>
        <v>_Neo_1700_Ent_PercentageKeuze_5</v>
      </c>
      <c r="D85">
        <v>1</v>
      </c>
      <c r="E85" t="s">
        <v>4555</v>
      </c>
      <c r="F85" s="310" t="b">
        <f t="shared" si="6"/>
        <v>1</v>
      </c>
      <c r="H85" s="310" t="s">
        <v>4477</v>
      </c>
    </row>
    <row r="86" spans="1:8" x14ac:dyDescent="0.2">
      <c r="A86" s="310" t="str">
        <f t="shared" si="7"/>
        <v>_Neo_InfB_Ent_PercentageKeuze_6</v>
      </c>
      <c r="B86">
        <v>1</v>
      </c>
      <c r="C86" s="310" t="str">
        <f t="shared" si="5"/>
        <v>_Neo_1700_Ent_PercentageKeuze_6</v>
      </c>
      <c r="D86">
        <v>1</v>
      </c>
      <c r="E86" t="s">
        <v>4556</v>
      </c>
      <c r="F86" s="310" t="b">
        <f t="shared" si="6"/>
        <v>1</v>
      </c>
      <c r="H86" s="310" t="s">
        <v>4478</v>
      </c>
    </row>
    <row r="87" spans="1:8" x14ac:dyDescent="0.2">
      <c r="A87" s="310" t="str">
        <f t="shared" si="7"/>
        <v>_Neo_InfB_Ent_PercentageKeuze_7</v>
      </c>
      <c r="B87">
        <v>1</v>
      </c>
      <c r="C87" s="310" t="str">
        <f t="shared" si="5"/>
        <v>_Neo_1700_Ent_PercentageKeuze_7</v>
      </c>
      <c r="D87">
        <v>1</v>
      </c>
      <c r="E87" t="s">
        <v>4557</v>
      </c>
      <c r="F87" s="310" t="b">
        <f t="shared" si="6"/>
        <v>1</v>
      </c>
      <c r="H87" s="310" t="s">
        <v>4479</v>
      </c>
    </row>
    <row r="88" spans="1:8" x14ac:dyDescent="0.2">
      <c r="A88" s="310" t="str">
        <f t="shared" si="7"/>
        <v>_Neo_InfB_Ent_PercentageKeuze_8</v>
      </c>
      <c r="B88">
        <v>1</v>
      </c>
      <c r="C88" s="310" t="str">
        <f t="shared" si="5"/>
        <v>_Neo_1700_Ent_PercentageKeuze_8</v>
      </c>
      <c r="D88">
        <v>1</v>
      </c>
      <c r="E88" t="s">
        <v>4558</v>
      </c>
      <c r="F88" s="310" t="b">
        <f t="shared" si="6"/>
        <v>1</v>
      </c>
      <c r="H88" s="310" t="s">
        <v>4480</v>
      </c>
    </row>
    <row r="89" spans="1:8" x14ac:dyDescent="0.2">
      <c r="A89" s="310" t="str">
        <f t="shared" si="7"/>
        <v>_Neo_InfB_Ent_Toevoeging_1</v>
      </c>
      <c r="B89">
        <v>1</v>
      </c>
      <c r="C89" s="310" t="str">
        <f t="shared" si="5"/>
        <v>_Neo_1700_Ent_Toevoeging_1</v>
      </c>
      <c r="D89">
        <v>1</v>
      </c>
      <c r="E89" t="s">
        <v>4559</v>
      </c>
      <c r="F89" s="310" t="b">
        <f t="shared" si="6"/>
        <v>1</v>
      </c>
      <c r="H89" s="310" t="s">
        <v>4481</v>
      </c>
    </row>
    <row r="90" spans="1:8" x14ac:dyDescent="0.2">
      <c r="A90" s="310" t="str">
        <f t="shared" si="7"/>
        <v>_Neo_InfB_Ent_Toevoeging_2</v>
      </c>
      <c r="B90">
        <v>1</v>
      </c>
      <c r="C90" s="310" t="str">
        <f t="shared" si="5"/>
        <v>_Neo_1700_Ent_Toevoeging_2</v>
      </c>
      <c r="D90">
        <v>1</v>
      </c>
      <c r="E90" t="s">
        <v>4560</v>
      </c>
      <c r="F90" s="310" t="b">
        <f t="shared" si="6"/>
        <v>1</v>
      </c>
      <c r="H90" s="310" t="s">
        <v>4482</v>
      </c>
    </row>
    <row r="91" spans="1:8" x14ac:dyDescent="0.2">
      <c r="A91" s="310" t="str">
        <f t="shared" si="7"/>
        <v>_Neo_InfB_Ent_Toevoeging_3</v>
      </c>
      <c r="B91">
        <v>1</v>
      </c>
      <c r="C91" s="310" t="str">
        <f t="shared" si="5"/>
        <v>_Neo_1700_Ent_Toevoeging_3</v>
      </c>
      <c r="D91">
        <v>1</v>
      </c>
      <c r="E91" t="s">
        <v>4561</v>
      </c>
      <c r="F91" s="310" t="b">
        <f t="shared" si="6"/>
        <v>1</v>
      </c>
      <c r="H91" s="310" t="s">
        <v>4483</v>
      </c>
    </row>
    <row r="92" spans="1:8" x14ac:dyDescent="0.2">
      <c r="A92" s="310" t="str">
        <f t="shared" si="7"/>
        <v>_Neo_InfB_Ent_Toevoeging_4</v>
      </c>
      <c r="B92">
        <v>1</v>
      </c>
      <c r="C92" s="310" t="str">
        <f t="shared" si="5"/>
        <v>_Neo_1700_Ent_Toevoeging_4</v>
      </c>
      <c r="D92">
        <v>1</v>
      </c>
      <c r="E92" t="s">
        <v>4562</v>
      </c>
      <c r="F92" s="310" t="b">
        <f t="shared" si="6"/>
        <v>1</v>
      </c>
      <c r="H92" s="310" t="s">
        <v>4484</v>
      </c>
    </row>
    <row r="93" spans="1:8" x14ac:dyDescent="0.2">
      <c r="A93" s="310" t="str">
        <f t="shared" si="7"/>
        <v>_Neo_InfB_Ent_Toevoeging_5</v>
      </c>
      <c r="B93">
        <v>1</v>
      </c>
      <c r="C93" s="310" t="str">
        <f t="shared" si="5"/>
        <v>_Neo_1700_Ent_Toevoeging_5</v>
      </c>
      <c r="D93">
        <v>1</v>
      </c>
      <c r="E93" t="s">
        <v>4563</v>
      </c>
      <c r="F93" s="310" t="b">
        <f t="shared" si="6"/>
        <v>1</v>
      </c>
      <c r="H93" s="310" t="s">
        <v>4485</v>
      </c>
    </row>
    <row r="94" spans="1:8" x14ac:dyDescent="0.2">
      <c r="A94" s="310" t="str">
        <f t="shared" si="7"/>
        <v>_Neo_InfB_Ent_Toevoeging_6</v>
      </c>
      <c r="B94">
        <v>1</v>
      </c>
      <c r="C94" s="310" t="str">
        <f t="shared" si="5"/>
        <v>_Neo_1700_Ent_Toevoeging_6</v>
      </c>
      <c r="D94">
        <v>1</v>
      </c>
      <c r="E94" t="s">
        <v>4564</v>
      </c>
      <c r="F94" s="310" t="b">
        <f t="shared" si="6"/>
        <v>1</v>
      </c>
      <c r="H94" s="310" t="s">
        <v>4486</v>
      </c>
    </row>
    <row r="95" spans="1:8" x14ac:dyDescent="0.2">
      <c r="A95" s="310" t="str">
        <f t="shared" si="7"/>
        <v>_Neo_InfB_Ent_Toevoeging_7</v>
      </c>
      <c r="B95">
        <v>1</v>
      </c>
      <c r="C95" s="310" t="str">
        <f t="shared" si="5"/>
        <v>_Neo_1700_Ent_Toevoeging_7</v>
      </c>
      <c r="D95">
        <v>1</v>
      </c>
      <c r="E95" t="s">
        <v>4565</v>
      </c>
      <c r="F95" s="310" t="b">
        <f t="shared" si="6"/>
        <v>1</v>
      </c>
      <c r="H95" s="310" t="s">
        <v>4487</v>
      </c>
    </row>
    <row r="96" spans="1:8" x14ac:dyDescent="0.2">
      <c r="A96" s="310" t="str">
        <f t="shared" si="7"/>
        <v>_Neo_InfB_Ent_Toevoeging_8</v>
      </c>
      <c r="B96">
        <v>1</v>
      </c>
      <c r="C96" s="310" t="str">
        <f t="shared" si="5"/>
        <v>_Neo_1700_Ent_Toevoeging_8</v>
      </c>
      <c r="D96">
        <v>1</v>
      </c>
      <c r="E96" t="s">
        <v>4566</v>
      </c>
      <c r="F96" s="310" t="b">
        <f t="shared" si="6"/>
        <v>1</v>
      </c>
      <c r="H96" s="310" t="s">
        <v>4488</v>
      </c>
    </row>
    <row r="97" spans="1:8" x14ac:dyDescent="0.2">
      <c r="A97" s="310" t="str">
        <f t="shared" si="7"/>
        <v>_Neo_InfB_Ent_Voeding</v>
      </c>
      <c r="B97">
        <v>1</v>
      </c>
      <c r="C97" s="310" t="str">
        <f t="shared" si="5"/>
        <v>_Neo_1700_Ent_Voeding</v>
      </c>
      <c r="D97">
        <v>1</v>
      </c>
      <c r="E97" t="s">
        <v>4567</v>
      </c>
      <c r="F97" s="310" t="b">
        <f t="shared" si="6"/>
        <v>1</v>
      </c>
      <c r="H97" s="310" t="s">
        <v>4489</v>
      </c>
    </row>
    <row r="98" spans="1:8" x14ac:dyDescent="0.2">
      <c r="A98" s="310" t="str">
        <f t="shared" si="7"/>
        <v>_Neo_InfB_TPN_CaCl2</v>
      </c>
      <c r="B98">
        <v>5000</v>
      </c>
      <c r="C98" s="310" t="str">
        <f t="shared" si="5"/>
        <v>_Neo_1700_TPN_CaCl2</v>
      </c>
      <c r="D98">
        <v>5000</v>
      </c>
      <c r="E98" t="s">
        <v>4568</v>
      </c>
      <c r="F98" s="310" t="b">
        <f t="shared" si="6"/>
        <v>1</v>
      </c>
      <c r="H98" s="310" t="s">
        <v>4490</v>
      </c>
    </row>
    <row r="99" spans="1:8" x14ac:dyDescent="0.2">
      <c r="A99" s="310" t="str">
        <f t="shared" si="7"/>
        <v>_Neo_InfB_TPN_DagKeuze</v>
      </c>
      <c r="B99">
        <v>1</v>
      </c>
      <c r="C99" s="310" t="str">
        <f t="shared" ref="C99:C109" si="8">REPLACE(A99,6,4,"1700")</f>
        <v>_Neo_1700_TPN_DagKeuze</v>
      </c>
      <c r="D99">
        <v>1</v>
      </c>
      <c r="E99" t="s">
        <v>4569</v>
      </c>
      <c r="F99" s="310" t="b">
        <f t="shared" ref="F99:F109" si="9">"Var"&amp;A99=E99</f>
        <v>1</v>
      </c>
      <c r="H99" s="310" t="s">
        <v>4491</v>
      </c>
    </row>
    <row r="100" spans="1:8" x14ac:dyDescent="0.2">
      <c r="A100" s="310" t="str">
        <f t="shared" si="7"/>
        <v>_Neo_InfB_TPN_Fototherapie</v>
      </c>
      <c r="B100">
        <v>2</v>
      </c>
      <c r="C100" s="310" t="str">
        <f t="shared" si="8"/>
        <v>_Neo_1700_TPN_Fototherapie</v>
      </c>
      <c r="D100">
        <v>2</v>
      </c>
      <c r="E100" t="s">
        <v>4570</v>
      </c>
      <c r="F100" s="310" t="b">
        <f t="shared" si="9"/>
        <v>1</v>
      </c>
      <c r="H100" s="310" t="s">
        <v>4492</v>
      </c>
    </row>
    <row r="101" spans="1:8" x14ac:dyDescent="0.2">
      <c r="A101" s="310" t="str">
        <f t="shared" si="7"/>
        <v>_Neo_InfB_TPN_GlucSterkte</v>
      </c>
      <c r="B101">
        <v>2</v>
      </c>
      <c r="C101" s="310" t="str">
        <f t="shared" si="8"/>
        <v>_Neo_1700_TPN_GlucSterkte</v>
      </c>
      <c r="D101">
        <v>2</v>
      </c>
      <c r="E101" t="s">
        <v>4571</v>
      </c>
      <c r="F101" s="310" t="b">
        <f t="shared" si="9"/>
        <v>1</v>
      </c>
      <c r="H101" s="310" t="s">
        <v>4493</v>
      </c>
    </row>
    <row r="102" spans="1:8" x14ac:dyDescent="0.2">
      <c r="A102" s="310" t="str">
        <f t="shared" si="7"/>
        <v>_Neo_InfB_TPN_IntakePerKg</v>
      </c>
      <c r="B102">
        <v>5000</v>
      </c>
      <c r="C102" s="310" t="str">
        <f t="shared" si="8"/>
        <v>_Neo_1700_TPN_IntakePerKg</v>
      </c>
      <c r="D102">
        <v>5000</v>
      </c>
      <c r="E102" t="s">
        <v>4572</v>
      </c>
      <c r="F102" s="310" t="b">
        <f t="shared" si="9"/>
        <v>1</v>
      </c>
      <c r="H102" s="310" t="s">
        <v>4494</v>
      </c>
    </row>
    <row r="103" spans="1:8" x14ac:dyDescent="0.2">
      <c r="A103" s="310" t="str">
        <f t="shared" si="7"/>
        <v>_Neo_InfB_TPN_IntraLipid</v>
      </c>
      <c r="B103">
        <v>5000</v>
      </c>
      <c r="C103" s="310" t="str">
        <f t="shared" si="8"/>
        <v>_Neo_1700_TPN_IntraLipid</v>
      </c>
      <c r="D103">
        <v>5000</v>
      </c>
      <c r="E103" t="s">
        <v>4573</v>
      </c>
      <c r="F103" s="310" t="b">
        <f t="shared" si="9"/>
        <v>1</v>
      </c>
      <c r="H103" s="310" t="s">
        <v>4495</v>
      </c>
    </row>
    <row r="104" spans="1:8" x14ac:dyDescent="0.2">
      <c r="A104" s="310" t="str">
        <f t="shared" si="7"/>
        <v>_Neo_InfB_TPN_IntralipidSmof</v>
      </c>
      <c r="B104">
        <v>1</v>
      </c>
      <c r="C104" s="310" t="str">
        <f t="shared" si="8"/>
        <v>_Neo_1700_TPN_IntralipidSmof</v>
      </c>
      <c r="D104">
        <v>1</v>
      </c>
      <c r="E104" t="s">
        <v>4574</v>
      </c>
      <c r="F104" s="310" t="b">
        <f t="shared" si="9"/>
        <v>1</v>
      </c>
      <c r="H104" s="310" t="s">
        <v>4496</v>
      </c>
    </row>
    <row r="105" spans="1:8" x14ac:dyDescent="0.2">
      <c r="A105" s="310" t="str">
        <f t="shared" si="7"/>
        <v>_Neo_InfB_TPN_KCl</v>
      </c>
      <c r="B105">
        <v>5000</v>
      </c>
      <c r="C105" s="310" t="str">
        <f t="shared" si="8"/>
        <v>_Neo_1700_TPN_KCl</v>
      </c>
      <c r="D105">
        <v>5000</v>
      </c>
      <c r="E105" t="s">
        <v>4575</v>
      </c>
      <c r="F105" s="310" t="b">
        <f t="shared" si="9"/>
        <v>1</v>
      </c>
      <c r="H105" s="310" t="s">
        <v>4497</v>
      </c>
    </row>
    <row r="106" spans="1:8" x14ac:dyDescent="0.2">
      <c r="A106" s="310" t="str">
        <f t="shared" si="7"/>
        <v>_Neo_InfB_TPN_MgCl2</v>
      </c>
      <c r="B106">
        <v>5000</v>
      </c>
      <c r="C106" s="310" t="str">
        <f t="shared" si="8"/>
        <v>_Neo_1700_TPN_MgCl2</v>
      </c>
      <c r="D106">
        <v>5000</v>
      </c>
      <c r="E106" t="s">
        <v>4576</v>
      </c>
      <c r="F106" s="310" t="b">
        <f t="shared" si="9"/>
        <v>1</v>
      </c>
      <c r="H106" s="310" t="s">
        <v>4498</v>
      </c>
    </row>
    <row r="107" spans="1:8" x14ac:dyDescent="0.2">
      <c r="A107" s="310" t="str">
        <f t="shared" si="7"/>
        <v>_Neo_InfB_TPN_Nacl</v>
      </c>
      <c r="B107">
        <v>5000</v>
      </c>
      <c r="C107" s="310" t="str">
        <f>REPLACE(A107,6,4,"1700")</f>
        <v>_Neo_1700_TPN_Nacl</v>
      </c>
      <c r="D107">
        <v>5000</v>
      </c>
      <c r="E107" t="s">
        <v>4577</v>
      </c>
      <c r="F107" s="310" t="b">
        <f>"Var"&amp;A107=E107</f>
        <v>1</v>
      </c>
      <c r="H107" s="310" t="s">
        <v>4499</v>
      </c>
    </row>
    <row r="108" spans="1:8" x14ac:dyDescent="0.2">
      <c r="A108" s="310" t="str">
        <f t="shared" si="7"/>
        <v>_Neo_InfB_TPN_NICUMix</v>
      </c>
      <c r="B108">
        <v>5000</v>
      </c>
      <c r="C108" s="310" t="str">
        <f t="shared" si="8"/>
        <v>_Neo_1700_TPN_NICUMix</v>
      </c>
      <c r="D108">
        <v>5000</v>
      </c>
      <c r="E108" t="s">
        <v>4578</v>
      </c>
      <c r="F108" s="310" t="b">
        <f t="shared" si="9"/>
        <v>1</v>
      </c>
      <c r="H108" s="310" t="s">
        <v>4500</v>
      </c>
    </row>
    <row r="109" spans="1:8" x14ac:dyDescent="0.2">
      <c r="A109" s="310" t="str">
        <f t="shared" si="7"/>
        <v>_Neo_InfB_TPN_Parenteraal</v>
      </c>
      <c r="B109" t="b">
        <v>0</v>
      </c>
      <c r="C109" s="310" t="str">
        <f t="shared" si="8"/>
        <v>_Neo_1700_TPN_Parenteraal</v>
      </c>
      <c r="D109" t="b">
        <v>0</v>
      </c>
      <c r="E109" t="s">
        <v>4579</v>
      </c>
      <c r="F109" s="310" t="b">
        <f t="shared" si="9"/>
        <v>1</v>
      </c>
      <c r="H109" s="310" t="s">
        <v>4501</v>
      </c>
    </row>
    <row r="110" spans="1:8" x14ac:dyDescent="0.2">
      <c r="A110" s="310" t="str">
        <f t="shared" si="7"/>
        <v>_Neo_InfB_TPN_Primene</v>
      </c>
      <c r="B110">
        <v>5000</v>
      </c>
      <c r="C110" s="310" t="str">
        <f t="shared" ref="C110:C112" si="10">REPLACE(A110,6,4,"1700")</f>
        <v>_Neo_1700_TPN_Primene</v>
      </c>
      <c r="D110">
        <v>5000</v>
      </c>
      <c r="E110" t="s">
        <v>4580</v>
      </c>
      <c r="F110" s="310" t="b">
        <f t="shared" ref="F110:F112" si="11">"Var"&amp;A110=E110</f>
        <v>1</v>
      </c>
      <c r="H110" s="310" t="s">
        <v>4502</v>
      </c>
    </row>
    <row r="111" spans="1:8" x14ac:dyDescent="0.2">
      <c r="A111" s="310" t="str">
        <f t="shared" si="7"/>
        <v>_Neo_InfB_TPN_SoluVit</v>
      </c>
      <c r="B111">
        <v>5000</v>
      </c>
      <c r="C111" s="310" t="str">
        <f t="shared" si="10"/>
        <v>_Neo_1700_TPN_SoluVit</v>
      </c>
      <c r="D111">
        <v>5000</v>
      </c>
      <c r="E111" t="s">
        <v>4581</v>
      </c>
      <c r="F111" s="310" t="b">
        <f t="shared" si="11"/>
        <v>1</v>
      </c>
      <c r="H111" s="310" t="s">
        <v>4503</v>
      </c>
    </row>
    <row r="112" spans="1:8" x14ac:dyDescent="0.2">
      <c r="A112" s="310" t="str">
        <f t="shared" si="7"/>
        <v>_Neo_InfB_TPN_SSTB</v>
      </c>
      <c r="B112">
        <v>5000</v>
      </c>
      <c r="C112" s="310" t="str">
        <f t="shared" si="10"/>
        <v>_Neo_1700_TPN_SSTB</v>
      </c>
      <c r="D112">
        <v>5000</v>
      </c>
      <c r="E112" t="s">
        <v>4582</v>
      </c>
      <c r="F112" s="310" t="b">
        <f t="shared" si="11"/>
        <v>1</v>
      </c>
      <c r="H112" s="310" t="s">
        <v>4504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204"/>
    <col min="13" max="14" width="7.85546875" style="204" customWidth="1"/>
    <col min="15" max="16384" width="5.7109375" style="204"/>
  </cols>
  <sheetData>
    <row r="1" spans="1:16" x14ac:dyDescent="0.2">
      <c r="A1" s="365" t="s">
        <v>503</v>
      </c>
      <c r="L1" s="204" t="s">
        <v>490</v>
      </c>
      <c r="M1" s="205">
        <f>__1_Bed</f>
        <v>0</v>
      </c>
    </row>
    <row r="2" spans="1:16" x14ac:dyDescent="0.2">
      <c r="A2" s="204" t="s">
        <v>504</v>
      </c>
      <c r="C2" s="206" t="str">
        <f>__3_VoorNaam&amp;" "&amp;__2_AchterNaam</f>
        <v xml:space="preserve"> </v>
      </c>
      <c r="G2" s="204" t="s">
        <v>505</v>
      </c>
      <c r="I2" s="908">
        <f ca="1">TODAY()</f>
        <v>42755</v>
      </c>
      <c r="J2" s="908"/>
      <c r="K2" s="908"/>
      <c r="L2" s="204" t="s">
        <v>506</v>
      </c>
      <c r="M2" s="909">
        <f ca="1">NOW()</f>
        <v>42755.558403009258</v>
      </c>
      <c r="N2" s="909"/>
    </row>
    <row r="3" spans="1:16" x14ac:dyDescent="0.2">
      <c r="A3" s="204" t="s">
        <v>507</v>
      </c>
      <c r="C3" s="206">
        <f>(_Pat_Gewicht/10)*1000</f>
        <v>1000</v>
      </c>
      <c r="D3" s="204" t="s">
        <v>31</v>
      </c>
      <c r="I3" s="436"/>
      <c r="J3" s="436"/>
      <c r="K3" s="436"/>
      <c r="M3" s="207"/>
      <c r="N3" s="207"/>
    </row>
    <row r="4" spans="1:16" x14ac:dyDescent="0.2">
      <c r="G4" s="204" t="s">
        <v>508</v>
      </c>
      <c r="I4" s="206"/>
      <c r="L4" s="204" t="s">
        <v>509</v>
      </c>
      <c r="M4" s="208"/>
      <c r="N4" s="208"/>
      <c r="O4" s="208"/>
      <c r="P4" s="208"/>
    </row>
    <row r="5" spans="1:16" x14ac:dyDescent="0.2">
      <c r="A5" s="209" t="s">
        <v>171</v>
      </c>
      <c r="B5" s="210"/>
      <c r="C5" s="211" t="s">
        <v>510</v>
      </c>
      <c r="D5" s="211"/>
      <c r="E5" s="211"/>
      <c r="F5" s="211"/>
      <c r="G5" s="211"/>
      <c r="H5" s="212" t="e">
        <f>NeoGuiInfB!#REF!</f>
        <v>#REF!</v>
      </c>
      <c r="I5" s="211" t="s">
        <v>160</v>
      </c>
      <c r="J5" s="211"/>
      <c r="K5" s="211"/>
      <c r="L5" s="211"/>
      <c r="M5" s="910" t="s">
        <v>511</v>
      </c>
      <c r="N5" s="911"/>
      <c r="O5" s="213" t="s">
        <v>512</v>
      </c>
      <c r="P5" s="214"/>
    </row>
    <row r="6" spans="1:16" ht="15" x14ac:dyDescent="0.2">
      <c r="A6" s="370" t="str">
        <f>IF(M6&lt;&gt;"",M6/24,"")</f>
        <v/>
      </c>
      <c r="B6" s="210"/>
      <c r="C6" s="209" t="str">
        <f>NeoGuiInfB!D26</f>
        <v>Arterielijn: 12 ml NaCl 0,45% + hep. (5EH/ml)</v>
      </c>
      <c r="D6" s="216"/>
      <c r="E6" s="216"/>
      <c r="F6" s="216"/>
      <c r="G6" s="216"/>
      <c r="H6" s="216"/>
      <c r="I6" s="216"/>
      <c r="J6" s="216"/>
      <c r="K6" s="216"/>
      <c r="L6" s="210"/>
      <c r="M6" s="217" t="str">
        <f>IF(24*NeoBerInfB!B22&gt;0,TRUNC(24*NeoBerInfB!B22/10),"")</f>
        <v/>
      </c>
      <c r="N6" s="217" t="str">
        <f>IF(NeoBerInfB!B22&gt;0,(24*NeoBerInfB!B22/10-M6)*10,"")</f>
        <v/>
      </c>
      <c r="O6" s="213" t="str">
        <f>IF(NeoBerInfB!I22,"extra","")</f>
        <v/>
      </c>
      <c r="P6" s="214"/>
    </row>
    <row r="7" spans="1:16" ht="15" x14ac:dyDescent="0.2">
      <c r="A7" s="215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8"/>
      <c r="N7" s="218"/>
      <c r="O7" s="213"/>
      <c r="P7" s="214"/>
    </row>
    <row r="8" spans="1:16" ht="15" x14ac:dyDescent="0.2">
      <c r="A8" s="219" t="str">
        <f ca="1">IF(M17&lt;&gt;"",IF(ROUND((M17+N17/100)/24,1)&gt;0,ROUND((M17+N17/100)/24,1),""),"")</f>
        <v/>
      </c>
      <c r="B8" s="213"/>
      <c r="C8" s="220"/>
      <c r="D8" s="221"/>
      <c r="E8" s="221"/>
      <c r="F8" s="221"/>
      <c r="G8" s="221"/>
      <c r="H8" s="221" t="s">
        <v>34</v>
      </c>
      <c r="I8" s="221"/>
      <c r="J8" s="221"/>
      <c r="K8" s="221"/>
      <c r="L8" s="222"/>
      <c r="M8" s="223" t="str">
        <f ca="1">IF(NeoBerInfB!$Y$42&gt;0,IF(Var_Neo_InfB_TPN_DagKeuze&lt;&gt;2,TRUNC(NeoBerInfB!$C$42),0),"")</f>
        <v/>
      </c>
      <c r="N8" s="224" t="str">
        <f ca="1">IF(NeoBerInfB!$Y$42&gt;0,IF(_Neo_1700_TPN_DagKeuze&lt;&gt;2,(NeoBerInfB!$C$42-M8)*100,0),"")</f>
        <v/>
      </c>
      <c r="O8" s="213"/>
      <c r="P8" s="214"/>
    </row>
    <row r="9" spans="1:16" ht="15" x14ac:dyDescent="0.2">
      <c r="A9" s="225"/>
      <c r="B9" s="213"/>
      <c r="C9" s="209"/>
      <c r="D9" s="216"/>
      <c r="E9" s="216"/>
      <c r="F9" s="216"/>
      <c r="G9" s="216"/>
      <c r="H9" s="216" t="s">
        <v>513</v>
      </c>
      <c r="I9" s="216"/>
      <c r="J9" s="216"/>
      <c r="K9" s="216"/>
      <c r="L9" s="210"/>
      <c r="M9" s="226" t="str">
        <f ca="1">IF(NeoBerInfB!$Y$43&gt;0,IF(_Neo_1700_TPN_DagKeuze&lt;&gt;2,TRUNC(NeoBerInfB!$C$43),0),"")</f>
        <v/>
      </c>
      <c r="N9" s="217" t="str">
        <f ca="1">IF(NeoBerInfB!$Y$43&gt;0,IF(_Neo_1700_TPN_DagKeuze&lt;&gt;2,(NeoBerInfB!$C$43-M9)*100,0),"")</f>
        <v/>
      </c>
      <c r="O9" s="213"/>
      <c r="P9" s="214"/>
    </row>
    <row r="10" spans="1:16" ht="15" x14ac:dyDescent="0.2">
      <c r="A10" s="225"/>
      <c r="B10" s="213"/>
      <c r="C10" s="220"/>
      <c r="D10" s="221"/>
      <c r="E10" s="221"/>
      <c r="F10" s="221"/>
      <c r="G10" s="221"/>
      <c r="H10" s="221" t="s">
        <v>419</v>
      </c>
      <c r="I10" s="221"/>
      <c r="J10" s="221"/>
      <c r="K10" s="221"/>
      <c r="L10" s="222"/>
      <c r="M10" s="223" t="str">
        <f ca="1">IF(NeoBerInfB!$Y$44&gt;0,TRUNC(NeoBerInfB!$C$44),"")</f>
        <v/>
      </c>
      <c r="N10" s="224" t="str">
        <f ca="1">IF(NeoBerInfB!$Y$44&gt;0,IF(_Neo_1700_TPN_DagKeuze=1,NeoBerInfB!$C$44-M10,0),"")</f>
        <v/>
      </c>
      <c r="O10" s="213"/>
      <c r="P10" s="214"/>
    </row>
    <row r="11" spans="1:16" ht="15" x14ac:dyDescent="0.2">
      <c r="A11" s="225"/>
      <c r="B11" s="213"/>
      <c r="C11" s="209"/>
      <c r="D11" s="216"/>
      <c r="E11" s="216"/>
      <c r="F11" s="216"/>
      <c r="G11" s="216"/>
      <c r="H11" s="216" t="s">
        <v>420</v>
      </c>
      <c r="I11" s="216"/>
      <c r="J11" s="216"/>
      <c r="K11" s="216"/>
      <c r="L11" s="210"/>
      <c r="M11" s="226" t="str">
        <f ca="1">IF(NeoBerInfB!$Y$45&gt;0,TRUNC(NeoBerInfB!$C$45),"")</f>
        <v/>
      </c>
      <c r="N11" s="217" t="str">
        <f ca="1">IF(NeoBerInfB!$Y$45&gt;0,IF(_Neo_1700_TPN_DagKeuze=1,(NeoBerInfB!$C$45-M11)*100,0),"")</f>
        <v/>
      </c>
      <c r="O11" s="213"/>
      <c r="P11" s="214"/>
    </row>
    <row r="12" spans="1:16" ht="15" x14ac:dyDescent="0.2">
      <c r="A12" s="225"/>
      <c r="B12" s="213"/>
      <c r="C12" s="220"/>
      <c r="D12" s="221"/>
      <c r="E12" s="221"/>
      <c r="F12" s="221"/>
      <c r="G12" s="221"/>
      <c r="H12" s="221" t="s">
        <v>194</v>
      </c>
      <c r="I12" s="221"/>
      <c r="J12" s="221"/>
      <c r="K12" s="221"/>
      <c r="L12" s="222"/>
      <c r="M12" s="223" t="str">
        <f ca="1">IF(NeoBerInfB!$Y$46&gt;0,TRUNC(NeoBerInfB!$C$46),"")</f>
        <v/>
      </c>
      <c r="N12" s="224" t="str">
        <f ca="1">IF(NeoBerInfB!$Y$46&gt;0,IF(_Neo_1700_TPN_DagKeuze=1,(NeoBerInfB!$C$46-M12)*100,0),"")</f>
        <v/>
      </c>
      <c r="O12" s="213"/>
      <c r="P12" s="214"/>
    </row>
    <row r="13" spans="1:16" ht="15" x14ac:dyDescent="0.2">
      <c r="A13" s="225"/>
      <c r="B13" s="213"/>
      <c r="C13" s="209"/>
      <c r="D13" s="216"/>
      <c r="E13" s="216"/>
      <c r="F13" s="216"/>
      <c r="G13" s="216"/>
      <c r="H13" s="216" t="s">
        <v>514</v>
      </c>
      <c r="I13" s="216"/>
      <c r="J13" s="216"/>
      <c r="K13" s="216"/>
      <c r="L13" s="210"/>
      <c r="M13" s="226" t="str">
        <f ca="1">IF(NeoBerInfB!$Y$47&gt;0,TRUNC(NeoBerInfB!$C$47),"")</f>
        <v/>
      </c>
      <c r="N13" s="217" t="str">
        <f ca="1">IF(NeoBerInfB!$Y$47&gt;0,IF(_Neo_1700_TPN_DagKeuze&lt;&gt;1,(NeoBerInfB!$C$47-M13)*100,0),"")</f>
        <v/>
      </c>
      <c r="O13" s="213"/>
      <c r="P13" s="214"/>
    </row>
    <row r="14" spans="1:16" ht="15" x14ac:dyDescent="0.2">
      <c r="A14" s="225"/>
      <c r="B14" s="213"/>
      <c r="C14" s="220"/>
      <c r="D14" s="221"/>
      <c r="E14" s="221"/>
      <c r="F14" s="221"/>
      <c r="G14" s="221"/>
      <c r="H14" s="221" t="s">
        <v>515</v>
      </c>
      <c r="I14" s="221"/>
      <c r="J14" s="221"/>
      <c r="K14" s="221"/>
      <c r="L14" s="222"/>
      <c r="M14" s="223" t="str">
        <f>IF(Var_Neo_InfB_TPN_DagKeuze=2,TRUNC(NeoBerInfB!$C$48),"")</f>
        <v/>
      </c>
      <c r="N14" s="224" t="str">
        <f>IF(Var_Neo_InfB_TPN_DagKeuze=2,(NeoBerInfB!$C$48-M14)*100,"")</f>
        <v/>
      </c>
      <c r="O14" s="213"/>
      <c r="P14" s="214"/>
    </row>
    <row r="15" spans="1:16" ht="15" x14ac:dyDescent="0.2">
      <c r="A15" s="225"/>
      <c r="B15" s="213"/>
      <c r="C15" s="209"/>
      <c r="D15" s="216"/>
      <c r="E15" s="216"/>
      <c r="F15" s="216"/>
      <c r="G15" s="216"/>
      <c r="H15" s="216" t="s">
        <v>326</v>
      </c>
      <c r="I15" s="216"/>
      <c r="J15" s="216"/>
      <c r="K15" s="216"/>
      <c r="L15" s="210"/>
      <c r="M15" s="226" t="str">
        <f>IF(Var_Neo_InfB_TPN_DagKeuze=3,TRUNC(NeoBerInfB!$C$49),"")</f>
        <v/>
      </c>
      <c r="N15" s="217" t="str">
        <f>IF(Var_Neo_InfB_TPN_DagKeuze=3,(NeoBerInfB!$C$49-M15)*100,"")</f>
        <v/>
      </c>
      <c r="O15" s="213"/>
      <c r="P15" s="214"/>
    </row>
    <row r="16" spans="1:16" ht="15" x14ac:dyDescent="0.2">
      <c r="A16" s="220"/>
      <c r="B16" s="222"/>
      <c r="C16" s="220"/>
      <c r="D16" s="221"/>
      <c r="E16" s="221"/>
      <c r="F16" s="221"/>
      <c r="G16" s="221"/>
      <c r="H16" s="221" t="str">
        <f>INDEX(Tbl_Neo_OplVlst,NeoBerInfB!D50+1,1)</f>
        <v>glucose 10%</v>
      </c>
      <c r="I16" s="221"/>
      <c r="J16" s="221"/>
      <c r="K16" s="221"/>
      <c r="L16" s="222"/>
      <c r="M16" s="223" t="str">
        <f>IF(NeoBerInfB!$Y$50&gt;0,TRUNC(NeoBerInfB!$Y$50),"")</f>
        <v/>
      </c>
      <c r="N16" s="224" t="str">
        <f>IF(NeoBerInfB!$Y$50&gt;0,(NeoBerInfB!$Y$50-M16)*100,"")</f>
        <v/>
      </c>
      <c r="O16" s="213"/>
      <c r="P16" s="214"/>
    </row>
    <row r="17" spans="1:16" ht="14.25" customHeight="1" x14ac:dyDescent="0.2">
      <c r="A17" s="211"/>
      <c r="B17" s="211"/>
      <c r="C17" s="213"/>
      <c r="D17" s="213"/>
      <c r="E17" s="213"/>
      <c r="F17" s="213"/>
      <c r="G17" s="213"/>
      <c r="H17" s="227" t="s">
        <v>111</v>
      </c>
      <c r="I17" s="227"/>
      <c r="J17" s="227"/>
      <c r="K17" s="216"/>
      <c r="L17" s="216"/>
      <c r="M17" s="226" t="str">
        <f ca="1">IF(SUM(M8:N16)&gt;0,TRUNC(SUM(M8:M16)+SUM(N8:N16)/100),"")</f>
        <v/>
      </c>
      <c r="N17" s="217" t="e">
        <f ca="1">ROUND(IF(SUM(M8:N16)&gt;0,(SUM(M8:M16)+SUM(N8:N16)/100-M17)*100,""),0)</f>
        <v>#VALUE!</v>
      </c>
      <c r="O17" s="213"/>
      <c r="P17" s="214"/>
    </row>
    <row r="18" spans="1:16" ht="14.25" customHeight="1" x14ac:dyDescent="0.2">
      <c r="A18" s="221"/>
      <c r="B18" s="221"/>
      <c r="C18" s="213"/>
      <c r="D18" s="213"/>
      <c r="E18" s="213"/>
      <c r="F18" s="213"/>
      <c r="G18" s="213"/>
      <c r="H18" s="213"/>
      <c r="I18" s="213"/>
      <c r="J18" s="228"/>
      <c r="K18" s="213"/>
      <c r="L18" s="213"/>
      <c r="M18" s="229"/>
      <c r="N18" s="230"/>
      <c r="O18" s="213"/>
      <c r="P18" s="214"/>
    </row>
    <row r="19" spans="1:16" ht="14.25" customHeight="1" x14ac:dyDescent="0.2">
      <c r="A19" s="209" t="s">
        <v>171</v>
      </c>
      <c r="B19" s="216"/>
      <c r="C19" s="210"/>
      <c r="D19" s="213"/>
      <c r="E19" s="213"/>
      <c r="F19" s="213"/>
      <c r="G19" s="213"/>
      <c r="H19" s="213"/>
      <c r="I19" s="213"/>
      <c r="J19" s="213"/>
      <c r="K19" s="213"/>
      <c r="L19" s="213"/>
      <c r="M19" s="231"/>
      <c r="N19" s="232"/>
      <c r="O19" s="213"/>
      <c r="P19" s="214"/>
    </row>
    <row r="20" spans="1:16" ht="14.25" customHeight="1" x14ac:dyDescent="0.2">
      <c r="A20" s="233" t="str">
        <f>IF(F20&lt;&gt;"",Var_Neo_InfB_Cont_Stand_10/10,"")</f>
        <v/>
      </c>
      <c r="B20" s="234"/>
      <c r="C20" s="235"/>
      <c r="D20" s="209" t="str">
        <f>IF(F20&lt;&gt;"","Zijlijn 1","")</f>
        <v/>
      </c>
      <c r="E20" s="216"/>
      <c r="F20" s="216" t="str">
        <f>IF(NeoBerInfB!E33&gt;1,INDEX(Tbl_Neo_OplVlst,NeoBerInfB!E33,1),"")</f>
        <v/>
      </c>
      <c r="G20" s="216"/>
      <c r="H20" s="216"/>
      <c r="I20" s="216"/>
      <c r="J20" s="216"/>
      <c r="K20" s="216"/>
      <c r="L20" s="210"/>
      <c r="M20" s="226" t="str">
        <f>IF(F20&lt;&gt;"",TRUNC(A20*24),"")</f>
        <v/>
      </c>
      <c r="N20" s="217" t="str">
        <f>IF(F20&lt;&gt;"",((A20*24)-M20)*100,"")</f>
        <v/>
      </c>
      <c r="O20" s="213" t="str">
        <f>IF(Var_Neo_InfB_Cont_VochtExtra_12,"extra","")</f>
        <v/>
      </c>
      <c r="P20" s="214"/>
    </row>
    <row r="21" spans="1:16" ht="14.25" customHeight="1" x14ac:dyDescent="0.2">
      <c r="A21" s="233" t="str">
        <f>IF(F21&lt;&gt;"",Var_Neo_InfB_Cont_Stand_11/10,"")</f>
        <v/>
      </c>
      <c r="B21" s="234"/>
      <c r="C21" s="235"/>
      <c r="D21" s="209" t="str">
        <f>IF(F21&lt;&gt;"","Zijlijn 2","")</f>
        <v/>
      </c>
      <c r="E21" s="216"/>
      <c r="F21" s="216" t="str">
        <f>IF(NeoBerInfB!E34&gt;1,INDEX(Tbl_Neo_OplVlst,NeoBerInfB!E34,1),"")</f>
        <v/>
      </c>
      <c r="G21" s="216"/>
      <c r="H21" s="216"/>
      <c r="I21" s="216"/>
      <c r="J21" s="216"/>
      <c r="K21" s="216"/>
      <c r="L21" s="210"/>
      <c r="M21" s="226" t="str">
        <f>IF(F21&lt;&gt;"",TRUNC(A21*24),"")</f>
        <v/>
      </c>
      <c r="N21" s="217" t="str">
        <f>IF(F21&lt;&gt;"",((A21*24)-M21)*100,"")</f>
        <v/>
      </c>
      <c r="O21" s="213" t="str">
        <f>IF(Var_Neo_InfB_Cont_VochtExtra_13,"extra","")</f>
        <v/>
      </c>
      <c r="P21" s="214"/>
    </row>
    <row r="22" spans="1:16" ht="14.25" customHeight="1" x14ac:dyDescent="0.2">
      <c r="A22" s="233" t="str">
        <f>IF(F22&lt;&gt;"",Var_Neo_InfB_Cont_Stand_12/10,"")</f>
        <v/>
      </c>
      <c r="B22" s="234"/>
      <c r="C22" s="235"/>
      <c r="D22" s="209" t="str">
        <f>IF(F22&lt;&gt;"","Zijlijn 3","")</f>
        <v/>
      </c>
      <c r="E22" s="216"/>
      <c r="F22" s="216" t="str">
        <f>IF(NeoBerInfB!E35&gt;1,INDEX(Tbl_Neo_OplVlst,NeoBerInfB!E35,1),"")</f>
        <v/>
      </c>
      <c r="G22" s="216"/>
      <c r="H22" s="216"/>
      <c r="I22" s="216"/>
      <c r="J22" s="216"/>
      <c r="K22" s="216"/>
      <c r="L22" s="210"/>
      <c r="M22" s="226" t="str">
        <f>IF(F22&lt;&gt;"",TRUNC(A22*24),"")</f>
        <v/>
      </c>
      <c r="N22" s="217" t="str">
        <f>IF(F22&lt;&gt;"",((A22*24)-M22)*100,"")</f>
        <v/>
      </c>
      <c r="O22" s="213" t="str">
        <f>IF(Var_Neo_InfB_Cont_VochtExtra_14,"extra","")</f>
        <v/>
      </c>
      <c r="P22" s="214"/>
    </row>
    <row r="23" spans="1:16" ht="14.25" customHeight="1" x14ac:dyDescent="0.2">
      <c r="A23" s="233" t="str">
        <f ca="1">IF(D23&lt;&gt;"",ROUNDUP(NeoBerInfB!C40/24,1),"")</f>
        <v/>
      </c>
      <c r="B23" s="234"/>
      <c r="C23" s="235"/>
      <c r="D23" s="209" t="str">
        <f ca="1">IF(NeoBerInfB!C40&lt;&gt;0,INDEX(tbl_Neo_IntralipidSmof,Var_Neo_InfB_TPN_IntralipidSmof),"")</f>
        <v/>
      </c>
      <c r="E23" s="216"/>
      <c r="F23" s="216"/>
      <c r="G23" s="216"/>
      <c r="H23" s="216"/>
      <c r="I23" s="216"/>
      <c r="J23" s="216"/>
      <c r="K23" s="216"/>
      <c r="L23" s="210"/>
      <c r="M23" s="226" t="str">
        <f ca="1">IF(D23&lt;&gt;"",TRUNC(NeoBerInfB!C40),"")</f>
        <v/>
      </c>
      <c r="N23" s="217" t="str">
        <f ca="1">IF(D23&lt;&gt;"",(NeoBerInfB!C40-M23)*100,"")</f>
        <v/>
      </c>
      <c r="O23" s="213"/>
      <c r="P23" s="214"/>
    </row>
    <row r="24" spans="1:16" ht="14.25" customHeight="1" x14ac:dyDescent="0.2">
      <c r="A24" s="216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36"/>
      <c r="N24" s="237"/>
      <c r="O24" s="213"/>
      <c r="P24" s="214"/>
    </row>
    <row r="25" spans="1:16" ht="14.25" customHeight="1" x14ac:dyDescent="0.2">
      <c r="A25" s="209" t="s">
        <v>171</v>
      </c>
      <c r="B25" s="210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31"/>
      <c r="N25" s="232"/>
      <c r="O25" s="213"/>
      <c r="P25" s="214"/>
    </row>
    <row r="26" spans="1:16" ht="14.25" customHeight="1" x14ac:dyDescent="0.2">
      <c r="A26" s="233">
        <f>IF(NeoBerInfB!B23&gt;1,NeoBerInfB!F23/10,"")</f>
        <v>1.6</v>
      </c>
      <c r="B26" s="233"/>
      <c r="C26" s="238" t="str">
        <f>IF(A26&lt;&gt;"",IF(NeoBerInfB!B23&gt;1,INDEX(Tbl_Neo_MedIV,NeoBerInfB!B23,1),""),"")</f>
        <v>clonidine</v>
      </c>
      <c r="D26" s="211"/>
      <c r="E26" s="212">
        <f>IF(A26&lt;&gt;"",IF(NeoBerInfB!B23&gt;1,NeoBerInfB!C23/10,""),"")</f>
        <v>0.01</v>
      </c>
      <c r="F26" s="211" t="str">
        <f>IF(Var_Neo_InfB_Cont_MedKeuze_01&lt;&gt;5,"mg","ml")</f>
        <v>mg</v>
      </c>
      <c r="G26" s="239" t="s">
        <v>516</v>
      </c>
      <c r="H26" s="211">
        <f>IF(A26&lt;&gt;"",IF(NeoBerInfB!B23&gt;1,INDEX(Tbl_Neo_MedIV,NeoBerInfB!B23,4),""),"")</f>
        <v>0.15</v>
      </c>
      <c r="I26" s="211" t="str">
        <f>IF(A26&lt;&gt;"",IF(NeoBerInfB!B23&gt;1,INDEX(Tbl_Neo_MedIV,NeoBerInfB!B23,2)&amp;" = ",""),"")</f>
        <v xml:space="preserve">mg = </v>
      </c>
      <c r="J26" s="211">
        <f>IF(A26&lt;&gt;"",IF(NeoBerInfB!B23&gt;1,INDEX(Tbl_Neo_MedIV,NeoBerInfB!B23,5),""),"")</f>
        <v>1</v>
      </c>
      <c r="K26" s="211" t="s">
        <v>518</v>
      </c>
      <c r="L26" s="211"/>
      <c r="M26" s="240">
        <f>IF(A26&lt;&gt;"",TRUNC((J26/H26)*E26),"")</f>
        <v>0</v>
      </c>
      <c r="N26" s="241">
        <f>IF(A26&lt;&gt;"",(ROUND((J26/H26)*E26,2)-M26)*100,"")</f>
        <v>7.0000000000000009</v>
      </c>
      <c r="O26" s="213" t="str">
        <f>IF(C26&lt;&gt;"",IF(Var_Neo_InfB_Cont_VochtExtra_02,"extra",""),"")</f>
        <v/>
      </c>
      <c r="P26" s="214"/>
    </row>
    <row r="27" spans="1:16" ht="14.25" customHeight="1" x14ac:dyDescent="0.2">
      <c r="A27" s="233"/>
      <c r="B27" s="233"/>
      <c r="C27" s="225"/>
      <c r="D27" s="213"/>
      <c r="E27" s="213"/>
      <c r="F27" s="213"/>
      <c r="G27" s="242"/>
      <c r="H27" s="213"/>
      <c r="I27" s="213" t="s">
        <v>519</v>
      </c>
      <c r="J27" s="213" t="str">
        <f>IF(A26&lt;&gt;"",IF(A26&gt;0,NeoBerInfB!M23,""),"")</f>
        <v>NaCl 0,9%</v>
      </c>
      <c r="K27" s="213"/>
      <c r="L27" s="213"/>
      <c r="M27" s="243">
        <f>IF(A26&lt;&gt;"",TRUNC(M28+N28/100-M26-N26/100),"")</f>
        <v>11</v>
      </c>
      <c r="N27" s="244">
        <f>IF(A26&lt;&gt;"",(M28+N28/100-M26-N26/100-M27)*100,"")</f>
        <v>92.999999999999972</v>
      </c>
      <c r="O27" s="213"/>
      <c r="P27" s="214"/>
    </row>
    <row r="28" spans="1:16" ht="14.25" customHeight="1" x14ac:dyDescent="0.2">
      <c r="A28" s="233"/>
      <c r="B28" s="233"/>
      <c r="C28" s="220" t="str">
        <f>IF(A26&lt;&gt;"",NeoPrtAfspr!K33,"")</f>
        <v>1,6 ml/uur</v>
      </c>
      <c r="D28" s="221"/>
      <c r="E28" s="221" t="str">
        <f>IF(A26&lt;&gt;"",CONCATENATE(" = ",NeoBerInfB!G23," ",NeoBerInfB!O23),"")</f>
        <v xml:space="preserve"> = 1,33 microg/kg/uur</v>
      </c>
      <c r="F28" s="221"/>
      <c r="G28" s="245"/>
      <c r="H28" s="221"/>
      <c r="I28" s="221"/>
      <c r="J28" s="246" t="s">
        <v>111</v>
      </c>
      <c r="K28" s="221"/>
      <c r="L28" s="221"/>
      <c r="M28" s="226">
        <f>IF(A26&lt;&gt;"",TRUNC(Var_Neo_InfB_Cont_OplHoev_01),"")</f>
        <v>12</v>
      </c>
      <c r="N28" s="217">
        <f>IF(A26&lt;&gt;"",(Var_Neo_InfB_Cont_OplHoev_01-M28)*100,"")</f>
        <v>0</v>
      </c>
      <c r="O28" s="213"/>
      <c r="P28" s="214"/>
    </row>
    <row r="29" spans="1:16" ht="14.25" customHeight="1" x14ac:dyDescent="0.2">
      <c r="A29" s="233">
        <f>IF(NeoBerInfB!B24&gt;1,NeoBerInfB!F24/10,"")</f>
        <v>0.5</v>
      </c>
      <c r="B29" s="233"/>
      <c r="C29" s="238" t="str">
        <f>IF(A29&lt;&gt;"",IF(NeoBerInfB!B24&gt;1,INDEX(Tbl_Neo_MedIV,NeoBerInfB!B24,1),""),"")</f>
        <v>Epi bupi 2,5 mg, sufenta 1 mcg /ml</v>
      </c>
      <c r="D29" s="211"/>
      <c r="E29" s="212">
        <f>IF(A29&lt;&gt;"",IF(NeoBerInfB!B24&gt;1,NeoBerInfB!C24/10,""),"")</f>
        <v>30</v>
      </c>
      <c r="F29" s="211" t="str">
        <f>IF(Var_Neo_InfB_Cont_MedKeuze_02&lt;&gt;5,"mg","ml")</f>
        <v>mg</v>
      </c>
      <c r="G29" s="239" t="s">
        <v>516</v>
      </c>
      <c r="H29" s="211" t="str">
        <f>IF(A29&lt;&gt;"",IF(NeoBerInfB!B24&gt;1,INDEX(Tbl_Neo_MedIV,NeoBerInfB!B24,3),""),"")</f>
        <v>ml/uur</v>
      </c>
      <c r="I29" s="211" t="s">
        <v>517</v>
      </c>
      <c r="J29" s="211">
        <f>IF(A29&lt;&gt;"",IF(NeoBerInfB!B24&gt;1,INDEX(Tbl_Neo_MedIV,NeoBerInfB!B24,4),""),"")</f>
        <v>2.5</v>
      </c>
      <c r="K29" s="211" t="s">
        <v>518</v>
      </c>
      <c r="L29" s="211"/>
      <c r="M29" s="243" t="e">
        <f>IF(A29&lt;&gt;"",TRUNC((J29/H29)*E29),"")</f>
        <v>#VALUE!</v>
      </c>
      <c r="N29" s="244" t="e">
        <f>IF(A29&lt;&gt;"",(IF(A29&gt;0,ROUND((J29/H29)*E29,2),0)-M29)*100,"")</f>
        <v>#VALUE!</v>
      </c>
      <c r="O29" s="213" t="str">
        <f>IF(C29&lt;&gt;"",IF(Var_Neo_InfB_Cont_VochtExtra_03,"extra",""),"")</f>
        <v/>
      </c>
      <c r="P29" s="214"/>
    </row>
    <row r="30" spans="1:16" ht="14.25" customHeight="1" x14ac:dyDescent="0.2">
      <c r="A30" s="233"/>
      <c r="B30" s="233"/>
      <c r="C30" s="225"/>
      <c r="D30" s="213"/>
      <c r="E30" s="213"/>
      <c r="F30" s="213"/>
      <c r="G30" s="242"/>
      <c r="H30" s="213"/>
      <c r="I30" s="213" t="s">
        <v>519</v>
      </c>
      <c r="J30" s="213" t="e">
        <f>IF(A29&lt;&gt;"",IF(A29&gt;0,NeoPrtAfspr!I34,""),"")</f>
        <v>#VALUE!</v>
      </c>
      <c r="K30" s="213"/>
      <c r="L30" s="213"/>
      <c r="M30" s="243" t="e">
        <f>IF(A29&lt;&gt;"",TRUNC(IF(A29&gt;0,M31+N31/100-M29-N29/100,0)),"")</f>
        <v>#VALUE!</v>
      </c>
      <c r="N30" s="244" t="e">
        <f>IF(A29&lt;&gt;"",(IF(A29&gt;0,M31+N31/100-M29-N29/100,0)-M30)*100,"")</f>
        <v>#VALUE!</v>
      </c>
      <c r="O30" s="213"/>
      <c r="P30" s="214"/>
    </row>
    <row r="31" spans="1:16" ht="14.25" customHeight="1" x14ac:dyDescent="0.2">
      <c r="A31" s="233"/>
      <c r="B31" s="233"/>
      <c r="C31" s="220" t="str">
        <f>IF(A29&lt;&gt;"",NeoPrtAfspr!K34,"")</f>
        <v>0,5 ml/uur</v>
      </c>
      <c r="D31" s="221"/>
      <c r="E31" s="221" t="e">
        <f>IF(A29&lt;&gt;"",NeoPrtAfspr!M34&amp;" "&amp;NeoPrtAfspr!N34,"")</f>
        <v>#REF!</v>
      </c>
      <c r="F31" s="221"/>
      <c r="G31" s="245"/>
      <c r="H31" s="221"/>
      <c r="I31" s="221"/>
      <c r="J31" s="246" t="s">
        <v>111</v>
      </c>
      <c r="K31" s="221"/>
      <c r="L31" s="221"/>
      <c r="M31" s="226">
        <f>IF(A29&lt;&gt;"",TRUNC(Var_Neo_InfB_Cont_OplHoev_02),"")</f>
        <v>12</v>
      </c>
      <c r="N31" s="217">
        <f>IF(A29&lt;&gt;"",(Var_Neo_InfB_Cont_OplHoev_02-M31)*100,"")</f>
        <v>0</v>
      </c>
      <c r="O31" s="213"/>
      <c r="P31" s="214"/>
    </row>
    <row r="32" spans="1:16" ht="14.25" customHeight="1" x14ac:dyDescent="0.2">
      <c r="A32" s="233" t="str">
        <f>IF(NeoBerInfB!B25&gt;1,NeoBerInfB!F25/10,"")</f>
        <v/>
      </c>
      <c r="B32" s="233"/>
      <c r="C32" s="238" t="str">
        <f>IF(A32&lt;&gt;"",IF(NeoBerInfB!B25&gt;1,INDEX(Tbl_Neo_MedIV,NeoBerInfB!B25,1),""),"")</f>
        <v/>
      </c>
      <c r="D32" s="211"/>
      <c r="E32" s="212" t="str">
        <f>IF(A32&lt;&gt;"",IF(NeoBerInfB!B25&gt;1,NeoBerInfB!C25/10,""),"")</f>
        <v/>
      </c>
      <c r="F32" s="211" t="str">
        <f>IF(Var_Neo_InfB_Cont_MedKeuze_03&lt;&gt;5,"mg","ml")</f>
        <v>mg</v>
      </c>
      <c r="G32" s="239" t="s">
        <v>516</v>
      </c>
      <c r="H32" s="211" t="str">
        <f>IF(A32&lt;&gt;"",IF(NeoBerInfB!B25&gt;1,INDEX(Tbl_Neo_MedIV,NeoBerInfB!B25,3),""),"")</f>
        <v/>
      </c>
      <c r="I32" s="211" t="s">
        <v>517</v>
      </c>
      <c r="J32" s="211" t="str">
        <f>IF(A32&lt;&gt;"",IF(NeoBerInfB!B25&gt;1,INDEX(Tbl_Neo_MedIV,NeoBerInfB!B25,4),""),"")</f>
        <v/>
      </c>
      <c r="K32" s="211" t="s">
        <v>518</v>
      </c>
      <c r="L32" s="211"/>
      <c r="M32" s="240" t="str">
        <f>IF(A32&lt;&gt;"",TRUNC((J32/H32)*E32),"")</f>
        <v/>
      </c>
      <c r="N32" s="241" t="str">
        <f>IF(A32&lt;&gt;"",(IF(A32&gt;0,ROUND((J32/H32)*E32,2),0)-M32)*100,"")</f>
        <v/>
      </c>
      <c r="O32" s="213" t="str">
        <f>IF(C32&lt;&gt;"",IF(Var_Neo_InfB_Cont_VochtExtra_04,"extra",""),"")</f>
        <v/>
      </c>
      <c r="P32" s="214"/>
    </row>
    <row r="33" spans="1:16" ht="15" x14ac:dyDescent="0.2">
      <c r="A33" s="233"/>
      <c r="B33" s="233"/>
      <c r="C33" s="225"/>
      <c r="D33" s="213"/>
      <c r="E33" s="213"/>
      <c r="F33" s="213"/>
      <c r="G33" s="242"/>
      <c r="H33" s="213"/>
      <c r="I33" s="213" t="s">
        <v>519</v>
      </c>
      <c r="J33" s="213" t="str">
        <f>IF(A32&lt;&gt;"",IF(A32&gt;0,NeoPrtAfspr!I35,""),"")</f>
        <v/>
      </c>
      <c r="K33" s="213"/>
      <c r="L33" s="213"/>
      <c r="M33" s="243" t="str">
        <f>IF(A32&lt;&gt;"",TRUNC(IF(A32&gt;0,M34+N34/100-M32-N32/100,0)),"")</f>
        <v/>
      </c>
      <c r="N33" s="244" t="str">
        <f>IF(A32&lt;&gt;"",(IF(A32&gt;0,M34+N34/100-M32-N32/100,0)-M33)*100,"")</f>
        <v/>
      </c>
      <c r="O33" s="213"/>
      <c r="P33" s="214"/>
    </row>
    <row r="34" spans="1:16" ht="15" x14ac:dyDescent="0.2">
      <c r="A34" s="233"/>
      <c r="B34" s="233"/>
      <c r="C34" s="220" t="str">
        <f>IF(A32&lt;&gt;"",NeoPrtAfspr!K35,"")</f>
        <v/>
      </c>
      <c r="D34" s="221"/>
      <c r="E34" s="221" t="str">
        <f>IF(A32&lt;&gt;"",NeoPrtAfspr!M35&amp;" "&amp;NeoPrtAfspr!N35,"")</f>
        <v/>
      </c>
      <c r="F34" s="221"/>
      <c r="G34" s="245"/>
      <c r="H34" s="221"/>
      <c r="I34" s="221"/>
      <c r="J34" s="246" t="s">
        <v>111</v>
      </c>
      <c r="K34" s="221"/>
      <c r="L34" s="221"/>
      <c r="M34" s="226" t="str">
        <f>IF(A32&lt;&gt;"",TRUNC(Var_Neo_InfB_Cont_OplHoev_03),"")</f>
        <v/>
      </c>
      <c r="N34" s="217" t="str">
        <f>IF(A32&lt;&gt;"",(Var_Neo_InfB_Cont_OplHoev_03-M34)*100,"")</f>
        <v/>
      </c>
      <c r="O34" s="213"/>
      <c r="P34" s="214"/>
    </row>
    <row r="35" spans="1:16" ht="15" x14ac:dyDescent="0.2">
      <c r="A35" s="233" t="str">
        <f>IF(NeoBerInfB!B26&gt;1,NeoBerInfB!F26/10,"")</f>
        <v/>
      </c>
      <c r="B35" s="233"/>
      <c r="C35" s="238" t="str">
        <f>IF(A35&lt;&gt;"",IF(NeoBerInfB!B26&gt;1,INDEX(Tbl_Neo_MedIV,NeoBerInfB!B26,1),""),"")</f>
        <v/>
      </c>
      <c r="D35" s="211"/>
      <c r="E35" s="212" t="str">
        <f>IF(A35&lt;&gt;"",IF(NeoBerInfB!B26&gt;1,NeoBerInfB!C26/10,""),"")</f>
        <v/>
      </c>
      <c r="F35" s="211" t="str">
        <f>IF(Var_Neo_InfB_Cont_MedKeuze_04&lt;&gt;5,"mg","ml")</f>
        <v>mg</v>
      </c>
      <c r="G35" s="239" t="s">
        <v>516</v>
      </c>
      <c r="H35" s="211" t="str">
        <f>IF(A35&lt;&gt;"",IF(NeoBerInfB!B26&gt;1,INDEX(Tbl_Neo_MedIV,NeoBerInfB!B26,3),""),"")</f>
        <v/>
      </c>
      <c r="I35" s="211" t="s">
        <v>517</v>
      </c>
      <c r="J35" s="211" t="str">
        <f>IF(A35&lt;&gt;"",IF(NeoBerInfB!B26&gt;1,INDEX(Tbl_Neo_MedIV,NeoBerInfB!B26,4),""),"")</f>
        <v/>
      </c>
      <c r="K35" s="211" t="s">
        <v>518</v>
      </c>
      <c r="L35" s="211"/>
      <c r="M35" s="243" t="str">
        <f>IF(A35&lt;&gt;"",TRUNC((J35/H35)*E35),"")</f>
        <v/>
      </c>
      <c r="N35" s="244" t="str">
        <f>IF(A35&lt;&gt;"",(IF(A35&gt;0,ROUND((J35/H35)*E35,2),0)-M35)*100,"")</f>
        <v/>
      </c>
      <c r="O35" s="213" t="str">
        <f>IF(C35&lt;&gt;"",IF(Var_Neo_InfB_Cont_VochtExtra_05,"extra",""),"")</f>
        <v/>
      </c>
      <c r="P35" s="214"/>
    </row>
    <row r="36" spans="1:16" ht="15" x14ac:dyDescent="0.2">
      <c r="A36" s="233"/>
      <c r="B36" s="233"/>
      <c r="C36" s="225"/>
      <c r="D36" s="213"/>
      <c r="E36" s="213"/>
      <c r="F36" s="213"/>
      <c r="G36" s="242"/>
      <c r="H36" s="213"/>
      <c r="I36" s="213" t="s">
        <v>519</v>
      </c>
      <c r="J36" s="213" t="str">
        <f>IF(A35&lt;&gt;"",IF(A35&gt;0,NeoPrtAfspr!I36,""),"")</f>
        <v/>
      </c>
      <c r="K36" s="213"/>
      <c r="L36" s="213"/>
      <c r="M36" s="243" t="str">
        <f>IF(A35&lt;&gt;"",TRUNC(IF(A35&gt;0,M37+N37/100-M35-N35/100,0)),"")</f>
        <v/>
      </c>
      <c r="N36" s="244" t="str">
        <f>IF(A35&lt;&gt;"",(IF(A35&gt;0,M37+N37/100-M35-N35/100,0)-M36)*100,"")</f>
        <v/>
      </c>
      <c r="O36" s="213"/>
      <c r="P36" s="214"/>
    </row>
    <row r="37" spans="1:16" ht="15" x14ac:dyDescent="0.2">
      <c r="A37" s="233"/>
      <c r="B37" s="233"/>
      <c r="C37" s="220" t="str">
        <f>IF(A35&lt;&gt;"",NeoPrtAfspr!K36,"")</f>
        <v/>
      </c>
      <c r="D37" s="221"/>
      <c r="E37" s="221" t="str">
        <f>IF(A35&lt;&gt;"",NeoPrtAfspr!M36&amp;" "&amp;NeoPrtAfspr!N36,"")</f>
        <v/>
      </c>
      <c r="F37" s="221"/>
      <c r="G37" s="245"/>
      <c r="H37" s="221"/>
      <c r="I37" s="221"/>
      <c r="J37" s="246" t="s">
        <v>111</v>
      </c>
      <c r="K37" s="221"/>
      <c r="L37" s="221"/>
      <c r="M37" s="226" t="str">
        <f>IF(A35&lt;&gt;"",TRUNC(Var_Neo_InfB_Cont_OplHoev_04),"")</f>
        <v/>
      </c>
      <c r="N37" s="217" t="str">
        <f>IF(A35&lt;&gt;"",(Var_Neo_InfB_Cont_OplHoev_04-M37)*100,"")</f>
        <v/>
      </c>
      <c r="O37" s="213"/>
      <c r="P37" s="214"/>
    </row>
    <row r="38" spans="1:16" ht="15" x14ac:dyDescent="0.2">
      <c r="A38" s="233" t="str">
        <f>IF(NeoBerInfB!B27&gt;1,NeoBerInfB!F27/10,"")</f>
        <v/>
      </c>
      <c r="B38" s="233"/>
      <c r="C38" s="238" t="str">
        <f>IF(A38&lt;&gt;"",IF(NeoBerInfB!B27&gt;1,INDEX(Tbl_Neo_MedIV,NeoBerInfB!B27,1),""),"")</f>
        <v/>
      </c>
      <c r="D38" s="211"/>
      <c r="E38" s="212" t="str">
        <f>IF(A38&lt;&gt;"",IF(NeoBerInfB!B27&gt;1,NeoBerInfB!C27/10,""),"")</f>
        <v/>
      </c>
      <c r="F38" s="211" t="str">
        <f>IF(Var_Neo_InfB_Cont_MedKeuze_05&lt;&gt;5,"mg","ml")</f>
        <v>mg</v>
      </c>
      <c r="G38" s="239" t="s">
        <v>516</v>
      </c>
      <c r="H38" s="211" t="str">
        <f>IF(A38&lt;&gt;"",IF(NeoBerInfB!B27&gt;1,INDEX(Tbl_Neo_MedIV,NeoBerInfB!B27,3),""),"")</f>
        <v/>
      </c>
      <c r="I38" s="211" t="s">
        <v>517</v>
      </c>
      <c r="J38" s="211" t="str">
        <f>IF(A38&lt;&gt;"",IF(NeoBerInfB!B27&gt;1,INDEX(Tbl_Neo_MedIV,NeoBerInfB!B27,4),""),"")</f>
        <v/>
      </c>
      <c r="K38" s="211" t="s">
        <v>518</v>
      </c>
      <c r="L38" s="211"/>
      <c r="M38" s="240" t="str">
        <f>IF(A38&lt;&gt;"",TRUNC((J38/H38)*E38),"")</f>
        <v/>
      </c>
      <c r="N38" s="241" t="str">
        <f>IF(A38&lt;&gt;"",(IF(A38&gt;0,ROUND((J38/H38)*E38,2),0)-M38)*100,"")</f>
        <v/>
      </c>
      <c r="O38" s="213" t="str">
        <f>IF(C38&lt;&gt;"",IF(Var_Neo_InfB_Cont_VochtExtra_06,"extra",""),"")</f>
        <v/>
      </c>
      <c r="P38" s="214"/>
    </row>
    <row r="39" spans="1:16" ht="15" x14ac:dyDescent="0.2">
      <c r="A39" s="233"/>
      <c r="B39" s="233"/>
      <c r="C39" s="225"/>
      <c r="D39" s="213"/>
      <c r="E39" s="213"/>
      <c r="F39" s="213"/>
      <c r="G39" s="242"/>
      <c r="H39" s="213"/>
      <c r="I39" s="213" t="s">
        <v>519</v>
      </c>
      <c r="J39" s="213" t="str">
        <f>IF(A38&lt;&gt;"",IF(A38&gt;0,NeoPrtAfspr!I37,""),"")</f>
        <v/>
      </c>
      <c r="K39" s="213"/>
      <c r="L39" s="213"/>
      <c r="M39" s="243" t="str">
        <f>IF(A38&lt;&gt;"",TRUNC(IF(A38&gt;0,M40+N40/100-M38-N38/100,0)),"")</f>
        <v/>
      </c>
      <c r="N39" s="244" t="str">
        <f>IF(A38&lt;&gt;"",(IF(A38&gt;0,M40+N40/100-M38-N38/100,0)-M39)*100,"")</f>
        <v/>
      </c>
      <c r="O39" s="213"/>
      <c r="P39" s="214"/>
    </row>
    <row r="40" spans="1:16" ht="15" x14ac:dyDescent="0.2">
      <c r="A40" s="233"/>
      <c r="B40" s="233"/>
      <c r="C40" s="220" t="str">
        <f>IF(A38&lt;&gt;"",NeoPrtAfspr!K37,"")</f>
        <v/>
      </c>
      <c r="D40" s="221"/>
      <c r="E40" s="221" t="str">
        <f>IF(A38&lt;&gt;"",NeoPrtAfspr!M37&amp;" "&amp;NeoPrtAfspr!N37,"")</f>
        <v/>
      </c>
      <c r="F40" s="221"/>
      <c r="G40" s="245"/>
      <c r="H40" s="221"/>
      <c r="I40" s="221"/>
      <c r="J40" s="246" t="s">
        <v>111</v>
      </c>
      <c r="K40" s="221"/>
      <c r="L40" s="221"/>
      <c r="M40" s="226" t="str">
        <f>IF(A38&lt;&gt;"",TRUNC(Var_Neo_InfB_Cont_OplHoev_05),"")</f>
        <v/>
      </c>
      <c r="N40" s="217" t="str">
        <f>IF(A38&lt;&gt;"",(Var_Neo_InfB_Cont_OplHoev_05-M40)*100,"")</f>
        <v/>
      </c>
      <c r="O40" s="213"/>
      <c r="P40" s="214"/>
    </row>
    <row r="41" spans="1:16" ht="15" x14ac:dyDescent="0.2">
      <c r="A41" s="233" t="str">
        <f>IF(NeoBerInfB!B28&gt;1,NeoBerInfB!F28/10,"")</f>
        <v/>
      </c>
      <c r="B41" s="233"/>
      <c r="C41" s="238" t="str">
        <f>IF(A41&lt;&gt;"",IF(NeoBerInfB!B28&gt;1,INDEX(Tbl_Neo_MedIV,NeoBerInfB!B28,1),""),"")</f>
        <v/>
      </c>
      <c r="D41" s="211"/>
      <c r="E41" s="212" t="str">
        <f>IF(A41&lt;&gt;"",IF(NeoBerInfB!B28&gt;1,NeoBerInfB!C28/10,""),"")</f>
        <v/>
      </c>
      <c r="F41" s="211" t="str">
        <f>IF(Var_Neo_InfB_Cont_MedKeuze_06&lt;&gt;5,"mg","ml")</f>
        <v>mg</v>
      </c>
      <c r="G41" s="239" t="s">
        <v>516</v>
      </c>
      <c r="H41" s="211" t="str">
        <f>IF(A41&lt;&gt;"",IF(NeoBerInfB!B28&gt;1,INDEX(Tbl_Neo_MedIV,NeoBerInfB!B28,3),""),"")</f>
        <v/>
      </c>
      <c r="I41" s="211" t="s">
        <v>517</v>
      </c>
      <c r="J41" s="211" t="str">
        <f>IF(A41&lt;&gt;"",IF(NeoBerInfB!B28&gt;1,INDEX(Tbl_Neo_MedIV,NeoBerInfB!B28,4),""),"")</f>
        <v/>
      </c>
      <c r="K41" s="211" t="s">
        <v>518</v>
      </c>
      <c r="L41" s="211"/>
      <c r="M41" s="243" t="str">
        <f>IF(A41&lt;&gt;"",TRUNC((J41/H41)*E41),"")</f>
        <v/>
      </c>
      <c r="N41" s="244" t="str">
        <f>IF(A41&lt;&gt;"",(IF(A41&gt;0,ROUND((J41/H41)*E41,2),0)-M41)*100,"")</f>
        <v/>
      </c>
      <c r="O41" s="213" t="str">
        <f>IF(C41&lt;&gt;"",IF(Var_Neo_InfB_Cont_VochtExtra_07,"extra",""),"")</f>
        <v/>
      </c>
      <c r="P41" s="214"/>
    </row>
    <row r="42" spans="1:16" ht="15" x14ac:dyDescent="0.2">
      <c r="A42" s="233"/>
      <c r="B42" s="233"/>
      <c r="C42" s="225"/>
      <c r="D42" s="213"/>
      <c r="E42" s="213"/>
      <c r="F42" s="213"/>
      <c r="G42" s="242"/>
      <c r="H42" s="213"/>
      <c r="I42" s="213" t="s">
        <v>519</v>
      </c>
      <c r="J42" s="213" t="str">
        <f>IF(A41&lt;&gt;"",IF(A41&gt;0,NeoPrtAfspr!I38,""),"")</f>
        <v/>
      </c>
      <c r="K42" s="213"/>
      <c r="L42" s="213"/>
      <c r="M42" s="243" t="str">
        <f>IF(A41&lt;&gt;"",TRUNC(IF(A41&gt;0,M43+N43/100-M41-N41/100,0)),"")</f>
        <v/>
      </c>
      <c r="N42" s="244" t="str">
        <f>IF(A41&lt;&gt;"",(IF(A41&gt;0,M43+N43/100-M41-N41/100,0)-M42)*100,"")</f>
        <v/>
      </c>
      <c r="O42" s="213"/>
      <c r="P42" s="214"/>
    </row>
    <row r="43" spans="1:16" ht="15" x14ac:dyDescent="0.2">
      <c r="A43" s="233"/>
      <c r="B43" s="233"/>
      <c r="C43" s="220" t="str">
        <f>IF(A41&lt;&gt;"",NeoPrtAfspr!K38,"")</f>
        <v/>
      </c>
      <c r="D43" s="221"/>
      <c r="E43" s="221" t="str">
        <f>IF(A41&lt;&gt;"",NeoPrtAfspr!M38&amp;" "&amp;NeoPrtAfspr!N38,"")</f>
        <v/>
      </c>
      <c r="F43" s="221"/>
      <c r="G43" s="245"/>
      <c r="H43" s="221"/>
      <c r="I43" s="221"/>
      <c r="J43" s="246" t="s">
        <v>111</v>
      </c>
      <c r="K43" s="221"/>
      <c r="L43" s="221"/>
      <c r="M43" s="226" t="str">
        <f>IF(A41&lt;&gt;"",TRUNC(Var_Neo_InfB_Cont_OplHoev_06),"")</f>
        <v/>
      </c>
      <c r="N43" s="217" t="str">
        <f>IF(A41&lt;&gt;"",(Var_Neo_InfB_Cont_OplHoev_06-M43)*100,"")</f>
        <v/>
      </c>
      <c r="O43" s="213"/>
      <c r="P43" s="214"/>
    </row>
    <row r="44" spans="1:16" ht="15" x14ac:dyDescent="0.2">
      <c r="A44" s="233" t="str">
        <f>IF(NeoBerInfB!B29&gt;1,NeoBerInfB!F29/10,"")</f>
        <v/>
      </c>
      <c r="B44" s="233"/>
      <c r="C44" s="238" t="str">
        <f>IF(A44&lt;&gt;"",IF(NeoBerInfB!B29&gt;1,INDEX(Tbl_Neo_MedIV,NeoBerInfB!B29,1),""),"")</f>
        <v/>
      </c>
      <c r="D44" s="211"/>
      <c r="E44" s="212" t="str">
        <f>IF(A44&lt;&gt;"",IF(NeoBerInfB!B29&gt;1,NeoBerInfB!C29/10,""),"")</f>
        <v/>
      </c>
      <c r="F44" s="211" t="str">
        <f>IF(Var_Neo_InfB_Cont_MedKeuze_07&lt;&gt;5,"mg","ml")</f>
        <v>mg</v>
      </c>
      <c r="G44" s="239" t="s">
        <v>516</v>
      </c>
      <c r="H44" s="211" t="str">
        <f>IF(A44&lt;&gt;"",IF(NeoBerInfB!B29&gt;1,INDEX(Tbl_Neo_MedIV,NeoBerInfB!B29,3),""),"")</f>
        <v/>
      </c>
      <c r="I44" s="211" t="s">
        <v>517</v>
      </c>
      <c r="J44" s="211" t="str">
        <f>IF(A44&lt;&gt;"",IF(NeoBerInfB!B29&gt;1,INDEX(Tbl_Neo_MedIV,NeoBerInfB!B29,4),""),"")</f>
        <v/>
      </c>
      <c r="K44" s="211" t="s">
        <v>518</v>
      </c>
      <c r="L44" s="211"/>
      <c r="M44" s="240" t="str">
        <f>IF(A44&lt;&gt;"",TRUNC((J44/H44)*E44),"")</f>
        <v/>
      </c>
      <c r="N44" s="241" t="str">
        <f>IF(A44&lt;&gt;"",(IF(A44&gt;0,ROUND((J44/H44)*E44,2),0)-M44)*100,"")</f>
        <v/>
      </c>
      <c r="O44" s="213" t="str">
        <f>IF(C44&lt;&gt;"",IF(Var_Neo_InfB_Cont_VochtExtra_08,"extra",""),"")</f>
        <v/>
      </c>
      <c r="P44" s="214"/>
    </row>
    <row r="45" spans="1:16" ht="15" x14ac:dyDescent="0.2">
      <c r="A45" s="233"/>
      <c r="B45" s="233"/>
      <c r="C45" s="225"/>
      <c r="D45" s="213"/>
      <c r="E45" s="213"/>
      <c r="F45" s="213"/>
      <c r="G45" s="242"/>
      <c r="H45" s="213"/>
      <c r="I45" s="213" t="s">
        <v>519</v>
      </c>
      <c r="J45" s="213" t="str">
        <f>IF(A44&lt;&gt;"",IF(A44&gt;0,NeoPrtAfspr!I39,""),"")</f>
        <v/>
      </c>
      <c r="K45" s="213"/>
      <c r="L45" s="213"/>
      <c r="M45" s="243" t="str">
        <f>IF(A44&lt;&gt;"",TRUNC(IF(A44&gt;0,M46+N46/100-M44-N44/100,0)),"")</f>
        <v/>
      </c>
      <c r="N45" s="244" t="str">
        <f>IF(A44&lt;&gt;"",(IF(A44&gt;0,M46+N46/100-M44-N44/100,0)-M45)*100,"")</f>
        <v/>
      </c>
      <c r="O45" s="213"/>
      <c r="P45" s="214"/>
    </row>
    <row r="46" spans="1:16" ht="15" x14ac:dyDescent="0.2">
      <c r="A46" s="233"/>
      <c r="B46" s="233"/>
      <c r="C46" s="220" t="str">
        <f>IF(A44&lt;&gt;"",NeoPrtAfspr!K39,"")</f>
        <v/>
      </c>
      <c r="D46" s="221"/>
      <c r="E46" s="221" t="str">
        <f>IF(A44&lt;&gt;"",NeoPrtAfspr!M39&amp;" "&amp;NeoPrtAfspr!N39,"")</f>
        <v/>
      </c>
      <c r="F46" s="221"/>
      <c r="G46" s="245"/>
      <c r="H46" s="221"/>
      <c r="I46" s="221"/>
      <c r="J46" s="246" t="s">
        <v>111</v>
      </c>
      <c r="K46" s="221"/>
      <c r="L46" s="221"/>
      <c r="M46" s="226" t="str">
        <f>IF(A44&lt;&gt;"",TRUNC(Var_Neo_InfB_Cont_OplHoev_07),"")</f>
        <v/>
      </c>
      <c r="N46" s="217" t="str">
        <f>IF(A44&lt;&gt;"",(Var_Neo_InfB_Cont_OplHoev_07-M46)*100,"")</f>
        <v/>
      </c>
      <c r="O46" s="213"/>
      <c r="P46" s="214"/>
    </row>
    <row r="47" spans="1:16" ht="15" x14ac:dyDescent="0.2">
      <c r="A47" s="233" t="str">
        <f>IF(NeoBerInfB!B30&gt;1,NeoBerInfB!F30/10,"")</f>
        <v/>
      </c>
      <c r="B47" s="233"/>
      <c r="C47" s="238" t="str">
        <f>IF(A47&lt;&gt;"",IF(NeoBerInfB!B30&gt;1,INDEX(Tbl_Neo_MedIV,NeoBerInfB!B30,1),""),"")</f>
        <v/>
      </c>
      <c r="D47" s="211"/>
      <c r="E47" s="212" t="str">
        <f>IF(A47&lt;&gt;"",IF(NeoBerInfB!B30&gt;1,NeoBerInfB!C30/10,""),"")</f>
        <v/>
      </c>
      <c r="F47" s="211" t="str">
        <f>IF(Var_Neo_InfB_Cont_MedKeuze_08&lt;&gt;5,"mg","ml")</f>
        <v>mg</v>
      </c>
      <c r="G47" s="239" t="s">
        <v>516</v>
      </c>
      <c r="H47" s="211" t="str">
        <f>IF(A47&lt;&gt;"",IF(NeoBerInfB!B30&gt;1,INDEX(Tbl_Neo_MedIV,NeoBerInfB!B30,3),""),"")</f>
        <v/>
      </c>
      <c r="I47" s="211" t="s">
        <v>517</v>
      </c>
      <c r="J47" s="211" t="str">
        <f>IF(A47&lt;&gt;"",IF(NeoBerInfB!B30&gt;1,INDEX(Tbl_Neo_MedIV,NeoBerInfB!B30,4),""),"")</f>
        <v/>
      </c>
      <c r="K47" s="211" t="s">
        <v>518</v>
      </c>
      <c r="L47" s="211"/>
      <c r="M47" s="243" t="str">
        <f>IF(A47&lt;&gt;"",TRUNC((J47/H47)*E47),"")</f>
        <v/>
      </c>
      <c r="N47" s="244" t="str">
        <f>IF(A47&lt;&gt;"",(IF(A47&gt;0,ROUND((J47/H47)*E47,2),0)-M47)*100,"")</f>
        <v/>
      </c>
      <c r="O47" s="213" t="str">
        <f>IF(C47&lt;&gt;"",IF(Var_Neo_InfB_Cont_VochtExtra_02=8,"extra",""),"")</f>
        <v/>
      </c>
      <c r="P47" s="214"/>
    </row>
    <row r="48" spans="1:16" ht="15" x14ac:dyDescent="0.2">
      <c r="A48" s="233"/>
      <c r="B48" s="233"/>
      <c r="C48" s="225"/>
      <c r="D48" s="213"/>
      <c r="E48" s="213"/>
      <c r="F48" s="213"/>
      <c r="G48" s="242"/>
      <c r="H48" s="213"/>
      <c r="I48" s="213" t="s">
        <v>519</v>
      </c>
      <c r="J48" s="213" t="str">
        <f>IF(A47&lt;&gt;"",IF(A47&gt;0,NeoPrtAfspr!I40,""),"")</f>
        <v/>
      </c>
      <c r="K48" s="213"/>
      <c r="L48" s="213"/>
      <c r="M48" s="243" t="str">
        <f>IF(A47&lt;&gt;"",TRUNC(IF(A47&gt;0,M49+N49/100-M47-N47/100,0)),"")</f>
        <v/>
      </c>
      <c r="N48" s="244" t="str">
        <f>IF(A47&lt;&gt;"",(IF(A47&gt;0,M49+N49/100-M47-N47/100,0)-M48)*100,"")</f>
        <v/>
      </c>
      <c r="O48" s="213"/>
      <c r="P48" s="214"/>
    </row>
    <row r="49" spans="1:16" ht="15" x14ac:dyDescent="0.2">
      <c r="A49" s="233"/>
      <c r="B49" s="233"/>
      <c r="C49" s="220" t="str">
        <f>IF(A47&lt;&gt;"",NeoPrtAfspr!K40,"")</f>
        <v/>
      </c>
      <c r="D49" s="221"/>
      <c r="E49" s="221" t="str">
        <f>IF(A47&lt;&gt;"",NeoPrtAfspr!M40&amp;" "&amp;NeoPrtAfspr!N40,"")</f>
        <v/>
      </c>
      <c r="F49" s="221"/>
      <c r="G49" s="245"/>
      <c r="H49" s="221"/>
      <c r="I49" s="221"/>
      <c r="J49" s="246" t="s">
        <v>111</v>
      </c>
      <c r="K49" s="221"/>
      <c r="L49" s="221"/>
      <c r="M49" s="226" t="str">
        <f>IF(A47&lt;&gt;"",TRUNC(Var_Neo_InfB_Cont_OplHoev_08),"")</f>
        <v/>
      </c>
      <c r="N49" s="217" t="str">
        <f>IF(A47&lt;&gt;"",(Var_Neo_InfB_Cont_OplHoev_08-M49)*100,"")</f>
        <v/>
      </c>
      <c r="O49" s="213"/>
      <c r="P49" s="214"/>
    </row>
    <row r="50" spans="1:16" ht="15" x14ac:dyDescent="0.2">
      <c r="A50" s="233" t="str">
        <f>IF(NeoBerInfB!B31&gt;1,NeoBerInfB!F31/10,"")</f>
        <v/>
      </c>
      <c r="B50" s="233"/>
      <c r="C50" s="238" t="str">
        <f>IF(A50&lt;&gt;"",IF(NeoBerInfB!B31&gt;1,INDEX(Tbl_Neo_MedIV,NeoBerInfB!B31,1),""),"")</f>
        <v/>
      </c>
      <c r="D50" s="211"/>
      <c r="E50" s="212" t="str">
        <f>IF(A50&lt;&gt;"",IF(NeoBerInfB!B31&gt;1,NeoBerInfB!C31/10,""),"")</f>
        <v/>
      </c>
      <c r="F50" s="211" t="str">
        <f>IF(Var_Neo_InfB_Cont_MedKeuze_09&lt;&gt;5,"mg","ml")</f>
        <v>mg</v>
      </c>
      <c r="G50" s="239" t="s">
        <v>516</v>
      </c>
      <c r="H50" s="211" t="str">
        <f>IF(A50&lt;&gt;"",IF(NeoBerInfB!B31&gt;1,INDEX(Tbl_Neo_MedIV,NeoBerInfB!B31,3),""),"")</f>
        <v/>
      </c>
      <c r="I50" s="211" t="s">
        <v>517</v>
      </c>
      <c r="J50" s="211" t="str">
        <f>IF(A50&lt;&gt;"",IF(NeoBerInfB!B31&gt;1,INDEX(Tbl_Neo_MedIV,NeoBerInfB!B31,4),""),"")</f>
        <v/>
      </c>
      <c r="K50" s="211" t="s">
        <v>518</v>
      </c>
      <c r="L50" s="211"/>
      <c r="M50" s="240" t="str">
        <f>IF(A50&lt;&gt;"",TRUNC((J50/H50)*E50),"")</f>
        <v/>
      </c>
      <c r="N50" s="241" t="str">
        <f>IF(A50&lt;&gt;"",(IF(A50&gt;0,ROUND((J50/H50)*E50,2),0)-M50)*100,"")</f>
        <v/>
      </c>
      <c r="O50" s="213" t="str">
        <f>IF(C50&lt;&gt;"",IF(Var_Neo_InfB_Cont_VochtExtra_10,"extra",""),"")</f>
        <v/>
      </c>
      <c r="P50" s="214"/>
    </row>
    <row r="51" spans="1:16" ht="15" x14ac:dyDescent="0.2">
      <c r="A51" s="233"/>
      <c r="B51" s="233"/>
      <c r="C51" s="225"/>
      <c r="D51" s="213"/>
      <c r="E51" s="213"/>
      <c r="F51" s="213"/>
      <c r="G51" s="242"/>
      <c r="H51" s="213"/>
      <c r="I51" s="213" t="s">
        <v>519</v>
      </c>
      <c r="J51" s="213" t="str">
        <f>IF(A50&lt;&gt;"",IF(A50&gt;0,NeoPrtAfspr!I41,""),"")</f>
        <v/>
      </c>
      <c r="K51" s="213"/>
      <c r="L51" s="213"/>
      <c r="M51" s="243" t="str">
        <f>IF(A50&lt;&gt;"",TRUNC(IF(A50&gt;0,M52+N52/100-M50-N50/100,0)),"")</f>
        <v/>
      </c>
      <c r="N51" s="244" t="str">
        <f>IF(A50&lt;&gt;"",(IF(A50&gt;0,M52+N52/100-M50-N50/100,0)-M51)*100,"")</f>
        <v/>
      </c>
      <c r="O51" s="213"/>
      <c r="P51" s="214"/>
    </row>
    <row r="52" spans="1:16" ht="15" x14ac:dyDescent="0.2">
      <c r="A52" s="233"/>
      <c r="B52" s="233"/>
      <c r="C52" s="220" t="str">
        <f>IF(A50&lt;&gt;"",NeoPrtAfspr!K41,"")</f>
        <v/>
      </c>
      <c r="D52" s="221"/>
      <c r="E52" s="221" t="str">
        <f>IF(A50&lt;&gt;"",NeoPrtAfspr!M41&amp;" "&amp;NeoPrtAfspr!N41,"")</f>
        <v/>
      </c>
      <c r="F52" s="221"/>
      <c r="G52" s="245"/>
      <c r="H52" s="221"/>
      <c r="I52" s="221"/>
      <c r="J52" s="246" t="s">
        <v>111</v>
      </c>
      <c r="K52" s="221"/>
      <c r="L52" s="221"/>
      <c r="M52" s="226" t="str">
        <f>IF(A50&lt;&gt;"",TRUNC(Var_Neo_InfB_Cont_OplHoev_09),"")</f>
        <v/>
      </c>
      <c r="N52" s="217" t="str">
        <f>IF(A50&lt;&gt;"",(Var_Neo_InfB_Cont_OplHoev_09-M52)*100,"")</f>
        <v/>
      </c>
      <c r="O52" s="213"/>
      <c r="P52" s="214"/>
    </row>
    <row r="53" spans="1:16" x14ac:dyDescent="0.2"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47"/>
      <c r="N53" s="248"/>
      <c r="O53" s="213"/>
      <c r="P53" s="214"/>
    </row>
    <row r="54" spans="1:16" x14ac:dyDescent="0.2">
      <c r="A54" s="209"/>
      <c r="B54" s="210"/>
      <c r="C54" s="249" t="str">
        <f>IF(NeoPrtAfspr!B45&lt;&gt;0,NeoPrtAfspr!B45,"")</f>
        <v/>
      </c>
      <c r="D54" s="216"/>
      <c r="E54" s="216"/>
      <c r="F54" s="216"/>
      <c r="G54" s="250"/>
      <c r="H54" s="216"/>
      <c r="I54" s="216"/>
      <c r="J54" s="216"/>
      <c r="K54" s="216"/>
      <c r="L54" s="210"/>
      <c r="M54" s="251"/>
      <c r="N54" s="251"/>
      <c r="O54" s="213"/>
      <c r="P54" s="214"/>
    </row>
    <row r="55" spans="1:16" x14ac:dyDescent="0.2">
      <c r="A55" s="209"/>
      <c r="B55" s="210"/>
      <c r="C55" s="249" t="str">
        <f>IF(NeoPrtAfspr!B46&lt;&gt;0,NeoPrtAfspr!B46,"")</f>
        <v/>
      </c>
      <c r="D55" s="216"/>
      <c r="E55" s="216"/>
      <c r="F55" s="216"/>
      <c r="G55" s="250"/>
      <c r="H55" s="216"/>
      <c r="I55" s="216"/>
      <c r="J55" s="216"/>
      <c r="K55" s="216"/>
      <c r="L55" s="210"/>
      <c r="M55" s="251"/>
      <c r="N55" s="251"/>
      <c r="O55" s="213"/>
      <c r="P55" s="214"/>
    </row>
    <row r="56" spans="1:16" x14ac:dyDescent="0.2">
      <c r="A56" s="209"/>
      <c r="B56" s="210"/>
      <c r="C56" s="249"/>
      <c r="D56" s="216"/>
      <c r="E56" s="216"/>
      <c r="F56" s="216"/>
      <c r="G56" s="250"/>
      <c r="H56" s="216"/>
      <c r="I56" s="216"/>
      <c r="J56" s="216"/>
      <c r="K56" s="216"/>
      <c r="L56" s="210"/>
      <c r="M56" s="251"/>
      <c r="N56" s="251"/>
      <c r="O56" s="213"/>
      <c r="P56" s="214"/>
    </row>
    <row r="57" spans="1:16" x14ac:dyDescent="0.2">
      <c r="D57" s="252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tabSelected="1" workbookViewId="0">
      <selection activeCell="J12" sqref="J12"/>
    </sheetView>
  </sheetViews>
  <sheetFormatPr defaultRowHeight="12.75" x14ac:dyDescent="0.2"/>
  <cols>
    <col min="1" max="1" width="9.140625" style="481"/>
    <col min="2" max="2" width="30.7109375" style="481" bestFit="1" customWidth="1"/>
    <col min="3" max="3" width="12.7109375" style="481" customWidth="1"/>
    <col min="4" max="4" width="18.7109375" style="481" customWidth="1"/>
    <col min="5" max="6" width="9.140625" style="481"/>
    <col min="7" max="10" width="13" style="481" customWidth="1"/>
    <col min="11" max="11" width="17.5703125" style="481" customWidth="1"/>
    <col min="12" max="12" width="37.85546875" style="481" customWidth="1"/>
    <col min="13" max="16384" width="9.140625" style="481"/>
  </cols>
  <sheetData>
    <row r="1" spans="1:13" x14ac:dyDescent="0.2">
      <c r="L1" s="482" t="s">
        <v>4638</v>
      </c>
    </row>
    <row r="2" spans="1:13" s="673" customFormat="1" ht="25.5" x14ac:dyDescent="0.2">
      <c r="A2" s="671"/>
      <c r="B2" s="672" t="s">
        <v>566</v>
      </c>
      <c r="C2" s="672" t="s">
        <v>3779</v>
      </c>
      <c r="D2" s="672" t="s">
        <v>4636</v>
      </c>
      <c r="E2" s="672" t="s">
        <v>199</v>
      </c>
      <c r="F2" s="672" t="s">
        <v>468</v>
      </c>
      <c r="G2" s="672" t="s">
        <v>965</v>
      </c>
      <c r="H2" s="672" t="s">
        <v>966</v>
      </c>
      <c r="I2" s="672" t="s">
        <v>964</v>
      </c>
      <c r="J2" s="672" t="s">
        <v>967</v>
      </c>
      <c r="K2" s="672" t="s">
        <v>4637</v>
      </c>
      <c r="L2" s="672" t="s">
        <v>567</v>
      </c>
      <c r="M2" s="672" t="s">
        <v>4583</v>
      </c>
    </row>
    <row r="3" spans="1:13" x14ac:dyDescent="0.2">
      <c r="A3" s="674">
        <v>1</v>
      </c>
      <c r="B3" s="674"/>
      <c r="C3" s="674"/>
      <c r="D3" s="674"/>
      <c r="E3" s="674"/>
      <c r="F3" s="674"/>
      <c r="G3" s="674"/>
      <c r="H3" s="674"/>
      <c r="J3" s="481">
        <v>1</v>
      </c>
      <c r="L3" s="674"/>
    </row>
    <row r="4" spans="1:13" x14ac:dyDescent="0.2">
      <c r="A4" s="674">
        <v>2</v>
      </c>
      <c r="B4" s="455" t="s">
        <v>208</v>
      </c>
      <c r="C4" s="455" t="s">
        <v>159</v>
      </c>
      <c r="D4" s="455" t="s">
        <v>571</v>
      </c>
      <c r="E4" s="455">
        <v>0.1</v>
      </c>
      <c r="F4" s="455">
        <v>1</v>
      </c>
      <c r="G4" s="455">
        <v>0.05</v>
      </c>
      <c r="H4" s="455">
        <v>0.1</v>
      </c>
      <c r="I4" s="333">
        <v>0.5</v>
      </c>
      <c r="J4" s="333">
        <v>3</v>
      </c>
      <c r="K4" s="333"/>
      <c r="L4" s="674" t="str">
        <f t="shared" ref="L4:L27" si="0">IF(ISBLANK(K4),CONCATENATE(G4,"-",H4," ",D4),K4)</f>
        <v>0,05-0,1 microg/kg/min</v>
      </c>
      <c r="M4" s="481">
        <f t="shared" ref="M4:M27" si="1">HLOOKUP(C4,Tbl_Glob_Conv_EenhCont,VLOOKUP(D4,Tbl_Glob_Conv_EenhCont,2,FALSE),FALSE)</f>
        <v>16.666666666666668</v>
      </c>
    </row>
    <row r="5" spans="1:13" x14ac:dyDescent="0.2">
      <c r="A5" s="674">
        <v>3</v>
      </c>
      <c r="B5" s="455" t="s">
        <v>4815</v>
      </c>
      <c r="C5" s="455" t="s">
        <v>159</v>
      </c>
      <c r="D5" s="455" t="s">
        <v>414</v>
      </c>
      <c r="E5" s="455">
        <v>0.5</v>
      </c>
      <c r="F5" s="455">
        <v>1</v>
      </c>
      <c r="G5" s="455">
        <v>10</v>
      </c>
      <c r="H5" s="455">
        <v>100</v>
      </c>
      <c r="I5" s="333">
        <v>100</v>
      </c>
      <c r="J5" s="333">
        <v>3</v>
      </c>
      <c r="K5" s="333"/>
      <c r="L5" s="674" t="str">
        <f t="shared" si="0"/>
        <v>10-100 nanog/kg/min</v>
      </c>
      <c r="M5" s="481">
        <f t="shared" si="1"/>
        <v>16666.666666666668</v>
      </c>
    </row>
    <row r="6" spans="1:13" x14ac:dyDescent="0.2">
      <c r="A6" s="674">
        <v>4</v>
      </c>
      <c r="B6" s="455" t="s">
        <v>423</v>
      </c>
      <c r="C6" s="455" t="s">
        <v>159</v>
      </c>
      <c r="D6" s="455" t="s">
        <v>571</v>
      </c>
      <c r="E6" s="455">
        <v>50</v>
      </c>
      <c r="F6" s="455">
        <v>1</v>
      </c>
      <c r="G6" s="455">
        <v>5</v>
      </c>
      <c r="H6" s="455">
        <v>15</v>
      </c>
      <c r="I6" s="333">
        <v>15</v>
      </c>
      <c r="J6" s="333">
        <v>3</v>
      </c>
      <c r="K6" s="333"/>
      <c r="L6" s="674" t="str">
        <f t="shared" si="0"/>
        <v>5-15 microg/kg/min</v>
      </c>
      <c r="M6" s="481">
        <f t="shared" si="1"/>
        <v>16.666666666666668</v>
      </c>
    </row>
    <row r="7" spans="1:13" x14ac:dyDescent="0.2">
      <c r="A7" s="674">
        <v>5</v>
      </c>
      <c r="B7" s="455" t="s">
        <v>4816</v>
      </c>
      <c r="C7" s="455" t="s">
        <v>159</v>
      </c>
      <c r="D7" s="455" t="s">
        <v>355</v>
      </c>
      <c r="E7" s="455">
        <v>1</v>
      </c>
      <c r="F7" s="455">
        <v>2</v>
      </c>
      <c r="G7" s="455">
        <v>0.1</v>
      </c>
      <c r="H7" s="455">
        <v>0.5</v>
      </c>
      <c r="I7" s="333">
        <v>0.5</v>
      </c>
      <c r="J7" s="333">
        <v>3</v>
      </c>
      <c r="K7" s="333"/>
      <c r="L7" s="674" t="str">
        <f t="shared" si="0"/>
        <v>0,1-0,5 mg/kg/dag</v>
      </c>
      <c r="M7" s="481">
        <f t="shared" si="1"/>
        <v>24</v>
      </c>
    </row>
    <row r="8" spans="1:13" x14ac:dyDescent="0.2">
      <c r="A8" s="674">
        <v>6</v>
      </c>
      <c r="B8" s="455" t="s">
        <v>40</v>
      </c>
      <c r="C8" s="455" t="s">
        <v>159</v>
      </c>
      <c r="D8" s="455" t="s">
        <v>706</v>
      </c>
      <c r="E8" s="455">
        <v>0.15</v>
      </c>
      <c r="F8" s="455">
        <v>1</v>
      </c>
      <c r="G8" s="455">
        <v>0.25</v>
      </c>
      <c r="H8" s="455">
        <v>2</v>
      </c>
      <c r="I8" s="333">
        <v>2</v>
      </c>
      <c r="J8" s="333">
        <v>12</v>
      </c>
      <c r="K8" s="333"/>
      <c r="L8" s="674" t="str">
        <f t="shared" si="0"/>
        <v>0,25-2 microg/kg/uur</v>
      </c>
      <c r="M8" s="481">
        <f t="shared" si="1"/>
        <v>1000</v>
      </c>
    </row>
    <row r="9" spans="1:13" x14ac:dyDescent="0.2">
      <c r="A9" s="674">
        <v>7</v>
      </c>
      <c r="B9" s="455" t="s">
        <v>323</v>
      </c>
      <c r="C9" s="455" t="s">
        <v>159</v>
      </c>
      <c r="D9" s="455" t="s">
        <v>571</v>
      </c>
      <c r="E9" s="455">
        <v>12.5</v>
      </c>
      <c r="F9" s="455">
        <v>1</v>
      </c>
      <c r="G9" s="455">
        <v>2.5</v>
      </c>
      <c r="H9" s="455">
        <v>20</v>
      </c>
      <c r="I9" s="333">
        <v>20</v>
      </c>
      <c r="J9" s="333">
        <v>3</v>
      </c>
      <c r="K9" s="333"/>
      <c r="L9" s="674" t="str">
        <f t="shared" si="0"/>
        <v>2,5-20 microg/kg/min</v>
      </c>
      <c r="M9" s="481">
        <f t="shared" si="1"/>
        <v>16.666666666666668</v>
      </c>
    </row>
    <row r="10" spans="1:13" x14ac:dyDescent="0.2">
      <c r="A10" s="674">
        <v>8</v>
      </c>
      <c r="B10" s="455" t="s">
        <v>294</v>
      </c>
      <c r="C10" s="455" t="s">
        <v>159</v>
      </c>
      <c r="D10" s="455" t="s">
        <v>571</v>
      </c>
      <c r="E10" s="455">
        <v>40</v>
      </c>
      <c r="F10" s="455">
        <v>1</v>
      </c>
      <c r="G10" s="455">
        <v>1</v>
      </c>
      <c r="H10" s="455">
        <v>20</v>
      </c>
      <c r="I10" s="333">
        <v>20</v>
      </c>
      <c r="J10" s="333">
        <v>3</v>
      </c>
      <c r="K10" s="333"/>
      <c r="L10" s="674" t="str">
        <f t="shared" si="0"/>
        <v>1-20 microg/kg/min</v>
      </c>
      <c r="M10" s="481">
        <f t="shared" si="1"/>
        <v>16.666666666666668</v>
      </c>
    </row>
    <row r="11" spans="1:13" s="482" customFormat="1" x14ac:dyDescent="0.2">
      <c r="A11" s="674">
        <v>9</v>
      </c>
      <c r="B11" s="437" t="s">
        <v>4817</v>
      </c>
      <c r="C11" s="455" t="s">
        <v>159</v>
      </c>
      <c r="D11" s="438" t="s">
        <v>354</v>
      </c>
      <c r="E11" s="437">
        <v>2</v>
      </c>
      <c r="F11" s="437">
        <v>1</v>
      </c>
      <c r="G11" s="455">
        <v>0.5</v>
      </c>
      <c r="H11" s="455">
        <v>2</v>
      </c>
      <c r="I11" s="334">
        <v>2</v>
      </c>
      <c r="J11" s="334">
        <v>3</v>
      </c>
      <c r="K11" s="334"/>
      <c r="L11" s="674" t="str">
        <f t="shared" si="0"/>
        <v>0,5-2 mg/kg/uur</v>
      </c>
      <c r="M11" s="481">
        <f t="shared" si="1"/>
        <v>1</v>
      </c>
    </row>
    <row r="12" spans="1:13" x14ac:dyDescent="0.2">
      <c r="A12" s="674">
        <v>10</v>
      </c>
      <c r="B12" s="455" t="s">
        <v>708</v>
      </c>
      <c r="C12" s="455" t="s">
        <v>160</v>
      </c>
      <c r="D12" s="455" t="s">
        <v>171</v>
      </c>
      <c r="E12" s="455">
        <v>2.5</v>
      </c>
      <c r="F12" s="455">
        <v>1</v>
      </c>
      <c r="G12" s="455">
        <v>1</v>
      </c>
      <c r="H12" s="455">
        <v>1000</v>
      </c>
      <c r="I12" s="333">
        <v>1000</v>
      </c>
      <c r="J12" s="333">
        <v>1</v>
      </c>
      <c r="K12" s="455" t="s">
        <v>4821</v>
      </c>
      <c r="L12" s="674" t="str">
        <f t="shared" si="0"/>
        <v>N.B. Epiduraal, volgens voorschrift anesthesist!</v>
      </c>
      <c r="M12" s="481">
        <f t="shared" si="1"/>
        <v>1</v>
      </c>
    </row>
    <row r="13" spans="1:13" x14ac:dyDescent="0.2">
      <c r="A13" s="674">
        <v>11</v>
      </c>
      <c r="B13" s="455" t="s">
        <v>707</v>
      </c>
      <c r="C13" s="455" t="s">
        <v>160</v>
      </c>
      <c r="D13" s="455" t="s">
        <v>171</v>
      </c>
      <c r="E13" s="455">
        <v>2.5</v>
      </c>
      <c r="F13" s="455">
        <v>1</v>
      </c>
      <c r="G13" s="455">
        <v>1</v>
      </c>
      <c r="H13" s="455">
        <v>1000</v>
      </c>
      <c r="I13" s="333">
        <v>1000</v>
      </c>
      <c r="J13" s="333">
        <v>1</v>
      </c>
      <c r="K13" s="455" t="s">
        <v>4821</v>
      </c>
      <c r="L13" s="674" t="str">
        <f t="shared" si="0"/>
        <v>N.B. Epiduraal, volgens voorschrift anesthesist!</v>
      </c>
      <c r="M13" s="481">
        <f t="shared" si="1"/>
        <v>1</v>
      </c>
    </row>
    <row r="14" spans="1:13" x14ac:dyDescent="0.2">
      <c r="A14" s="674">
        <v>12</v>
      </c>
      <c r="B14" s="455" t="s">
        <v>4818</v>
      </c>
      <c r="C14" s="455" t="s">
        <v>159</v>
      </c>
      <c r="D14" s="455" t="s">
        <v>414</v>
      </c>
      <c r="E14" s="455">
        <v>0.01</v>
      </c>
      <c r="F14" s="455">
        <v>1</v>
      </c>
      <c r="G14" s="455">
        <v>5</v>
      </c>
      <c r="H14" s="455">
        <v>30</v>
      </c>
      <c r="I14" s="333">
        <v>30</v>
      </c>
      <c r="J14" s="333">
        <v>14</v>
      </c>
      <c r="K14" s="333"/>
      <c r="L14" s="674" t="str">
        <f t="shared" si="0"/>
        <v>5-30 nanog/kg/min</v>
      </c>
      <c r="M14" s="481">
        <f t="shared" si="1"/>
        <v>16666.666666666668</v>
      </c>
    </row>
    <row r="15" spans="1:13" x14ac:dyDescent="0.2">
      <c r="A15" s="674">
        <v>13</v>
      </c>
      <c r="B15" s="455" t="s">
        <v>459</v>
      </c>
      <c r="C15" s="455" t="s">
        <v>159</v>
      </c>
      <c r="D15" s="455" t="s">
        <v>466</v>
      </c>
      <c r="E15" s="455">
        <v>10</v>
      </c>
      <c r="F15" s="455">
        <v>11</v>
      </c>
      <c r="G15" s="455">
        <v>0.1</v>
      </c>
      <c r="H15" s="455">
        <v>1</v>
      </c>
      <c r="I15" s="333">
        <v>1</v>
      </c>
      <c r="J15" s="333">
        <v>3</v>
      </c>
      <c r="K15" s="333"/>
      <c r="L15" s="674" t="str">
        <f t="shared" si="0"/>
        <v>0,1-1 mg/kg/min</v>
      </c>
      <c r="M15" s="481">
        <f t="shared" si="1"/>
        <v>1.6666666666666666E-2</v>
      </c>
    </row>
    <row r="16" spans="1:13" x14ac:dyDescent="0.2">
      <c r="A16" s="674">
        <v>14</v>
      </c>
      <c r="B16" s="334" t="s">
        <v>165</v>
      </c>
      <c r="C16" s="455" t="s">
        <v>159</v>
      </c>
      <c r="D16" s="148" t="s">
        <v>355</v>
      </c>
      <c r="E16" s="455">
        <v>10</v>
      </c>
      <c r="F16" s="455">
        <v>1</v>
      </c>
      <c r="G16" s="455">
        <v>1</v>
      </c>
      <c r="H16" s="455">
        <v>4</v>
      </c>
      <c r="I16" s="333">
        <v>4</v>
      </c>
      <c r="J16" s="333">
        <v>3</v>
      </c>
      <c r="K16" s="333"/>
      <c r="L16" s="674" t="str">
        <f t="shared" si="0"/>
        <v>1-4 mg/kg/dag</v>
      </c>
      <c r="M16" s="481">
        <f t="shared" si="1"/>
        <v>24</v>
      </c>
    </row>
    <row r="17" spans="1:13" x14ac:dyDescent="0.2">
      <c r="A17" s="674">
        <v>15</v>
      </c>
      <c r="B17" s="334" t="s">
        <v>461</v>
      </c>
      <c r="C17" s="455" t="s">
        <v>4590</v>
      </c>
      <c r="D17" s="148" t="s">
        <v>184</v>
      </c>
      <c r="E17" s="455">
        <v>100</v>
      </c>
      <c r="F17" s="455">
        <v>1</v>
      </c>
      <c r="G17" s="455">
        <v>0.01</v>
      </c>
      <c r="H17" s="455">
        <v>0.1</v>
      </c>
      <c r="I17" s="333">
        <v>0.1</v>
      </c>
      <c r="J17" s="333">
        <v>3</v>
      </c>
      <c r="K17" s="333"/>
      <c r="L17" s="674" t="str">
        <f t="shared" si="0"/>
        <v>0,01-0,1 IE/kg/uur</v>
      </c>
      <c r="M17" s="481">
        <f t="shared" si="1"/>
        <v>1</v>
      </c>
    </row>
    <row r="18" spans="1:13" x14ac:dyDescent="0.2">
      <c r="A18" s="674">
        <v>16</v>
      </c>
      <c r="B18" s="334" t="s">
        <v>385</v>
      </c>
      <c r="C18" s="455" t="s">
        <v>159</v>
      </c>
      <c r="D18" s="148" t="s">
        <v>571</v>
      </c>
      <c r="E18" s="455">
        <v>1</v>
      </c>
      <c r="F18" s="455">
        <v>1</v>
      </c>
      <c r="G18" s="455">
        <v>0.01</v>
      </c>
      <c r="H18" s="455">
        <v>1.5</v>
      </c>
      <c r="I18" s="333">
        <v>0.5</v>
      </c>
      <c r="J18" s="333">
        <v>14</v>
      </c>
      <c r="K18" s="333"/>
      <c r="L18" s="674" t="str">
        <f t="shared" si="0"/>
        <v>0,01-1,5 microg/kg/min</v>
      </c>
      <c r="M18" s="481">
        <f t="shared" si="1"/>
        <v>16.666666666666668</v>
      </c>
    </row>
    <row r="19" spans="1:13" x14ac:dyDescent="0.2">
      <c r="A19" s="674">
        <v>17</v>
      </c>
      <c r="B19" s="334" t="s">
        <v>462</v>
      </c>
      <c r="C19" s="455" t="s">
        <v>159</v>
      </c>
      <c r="D19" s="148" t="s">
        <v>354</v>
      </c>
      <c r="E19" s="455">
        <v>5</v>
      </c>
      <c r="F19" s="455">
        <v>1</v>
      </c>
      <c r="G19" s="455">
        <v>0.25</v>
      </c>
      <c r="H19" s="455">
        <v>3</v>
      </c>
      <c r="I19" s="333">
        <v>3</v>
      </c>
      <c r="J19" s="333">
        <v>3</v>
      </c>
      <c r="K19" s="333"/>
      <c r="L19" s="674" t="str">
        <f t="shared" si="0"/>
        <v>0,25-3 mg/kg/uur</v>
      </c>
      <c r="M19" s="481">
        <f t="shared" si="1"/>
        <v>1</v>
      </c>
    </row>
    <row r="20" spans="1:13" x14ac:dyDescent="0.2">
      <c r="A20" s="674">
        <v>18</v>
      </c>
      <c r="B20" s="455" t="s">
        <v>4819</v>
      </c>
      <c r="C20" s="455" t="s">
        <v>159</v>
      </c>
      <c r="D20" s="455" t="s">
        <v>354</v>
      </c>
      <c r="E20" s="455">
        <v>20</v>
      </c>
      <c r="F20" s="455">
        <v>1</v>
      </c>
      <c r="G20" s="455">
        <v>4</v>
      </c>
      <c r="H20" s="455">
        <v>7</v>
      </c>
      <c r="I20" s="333">
        <v>7</v>
      </c>
      <c r="J20" s="333">
        <v>3</v>
      </c>
      <c r="K20" s="455" t="s">
        <v>710</v>
      </c>
      <c r="L20" s="674" t="str">
        <f t="shared" si="0"/>
        <v>4-7 mg/kg/uur (volgens protocol, let op hypothermie)</v>
      </c>
      <c r="M20" s="481">
        <f t="shared" si="1"/>
        <v>1</v>
      </c>
    </row>
    <row r="21" spans="1:13" x14ac:dyDescent="0.2">
      <c r="A21" s="674">
        <v>19</v>
      </c>
      <c r="B21" s="334" t="s">
        <v>349</v>
      </c>
      <c r="C21" s="455" t="s">
        <v>159</v>
      </c>
      <c r="D21" s="148" t="s">
        <v>354</v>
      </c>
      <c r="E21" s="455">
        <v>5</v>
      </c>
      <c r="F21" s="455">
        <v>1</v>
      </c>
      <c r="G21" s="455">
        <v>0.05</v>
      </c>
      <c r="H21" s="455">
        <v>5</v>
      </c>
      <c r="I21" s="333">
        <v>5</v>
      </c>
      <c r="J21" s="333">
        <v>3</v>
      </c>
      <c r="K21" s="333"/>
      <c r="L21" s="674" t="str">
        <f t="shared" si="0"/>
        <v>0,05-5 mg/kg/uur</v>
      </c>
      <c r="M21" s="481">
        <f t="shared" si="1"/>
        <v>1</v>
      </c>
    </row>
    <row r="22" spans="1:13" x14ac:dyDescent="0.2">
      <c r="A22" s="674">
        <v>20</v>
      </c>
      <c r="B22" s="334" t="s">
        <v>464</v>
      </c>
      <c r="C22" s="455" t="s">
        <v>159</v>
      </c>
      <c r="D22" s="148" t="s">
        <v>571</v>
      </c>
      <c r="E22" s="455">
        <v>1</v>
      </c>
      <c r="F22" s="455">
        <v>1</v>
      </c>
      <c r="G22" s="455">
        <v>0.25</v>
      </c>
      <c r="H22" s="455">
        <v>0.75</v>
      </c>
      <c r="I22" s="333">
        <v>0.75</v>
      </c>
      <c r="J22" s="333">
        <v>3</v>
      </c>
      <c r="K22" s="333"/>
      <c r="L22" s="674" t="str">
        <f t="shared" si="0"/>
        <v>0,25-0,75 microg/kg/min</v>
      </c>
      <c r="M22" s="481">
        <f t="shared" si="1"/>
        <v>16.666666666666668</v>
      </c>
    </row>
    <row r="23" spans="1:13" x14ac:dyDescent="0.2">
      <c r="A23" s="674">
        <v>21</v>
      </c>
      <c r="B23" s="334" t="s">
        <v>116</v>
      </c>
      <c r="C23" s="455" t="s">
        <v>159</v>
      </c>
      <c r="D23" s="148" t="s">
        <v>355</v>
      </c>
      <c r="E23" s="455">
        <v>10</v>
      </c>
      <c r="F23" s="455">
        <v>1</v>
      </c>
      <c r="G23" s="455">
        <v>0.125</v>
      </c>
      <c r="H23" s="455">
        <v>0.5</v>
      </c>
      <c r="I23" s="333">
        <v>0.5</v>
      </c>
      <c r="J23" s="333">
        <v>3</v>
      </c>
      <c r="K23" s="333"/>
      <c r="L23" s="674" t="str">
        <f t="shared" si="0"/>
        <v>0,125-0,5 mg/kg/dag</v>
      </c>
      <c r="M23" s="481">
        <f t="shared" si="1"/>
        <v>24</v>
      </c>
    </row>
    <row r="24" spans="1:13" x14ac:dyDescent="0.2">
      <c r="A24" s="674">
        <v>22</v>
      </c>
      <c r="B24" s="455" t="s">
        <v>4820</v>
      </c>
      <c r="C24" s="455" t="s">
        <v>159</v>
      </c>
      <c r="D24" s="455" t="s">
        <v>571</v>
      </c>
      <c r="E24" s="455">
        <v>1</v>
      </c>
      <c r="F24" s="455">
        <v>1</v>
      </c>
      <c r="G24" s="455">
        <v>0.5</v>
      </c>
      <c r="H24" s="455">
        <v>2</v>
      </c>
      <c r="I24" s="333">
        <v>2</v>
      </c>
      <c r="J24" s="333">
        <v>3</v>
      </c>
      <c r="K24" s="333"/>
      <c r="L24" s="674" t="str">
        <f t="shared" si="0"/>
        <v>0,5-2 microg/kg/min</v>
      </c>
      <c r="M24" s="481">
        <f t="shared" si="1"/>
        <v>16.666666666666668</v>
      </c>
    </row>
    <row r="25" spans="1:13" x14ac:dyDescent="0.2">
      <c r="A25" s="674">
        <v>23</v>
      </c>
      <c r="B25" s="334" t="s">
        <v>57</v>
      </c>
      <c r="C25" s="455" t="s">
        <v>159</v>
      </c>
      <c r="D25" s="148" t="s">
        <v>571</v>
      </c>
      <c r="E25" s="455">
        <v>25</v>
      </c>
      <c r="F25" s="455">
        <v>1</v>
      </c>
      <c r="G25" s="455">
        <v>0.5</v>
      </c>
      <c r="H25" s="455">
        <v>8</v>
      </c>
      <c r="I25" s="333">
        <v>8</v>
      </c>
      <c r="J25" s="333">
        <v>3</v>
      </c>
      <c r="K25" s="333"/>
      <c r="L25" s="674" t="str">
        <f t="shared" si="0"/>
        <v>0,5-8 microg/kg/min</v>
      </c>
      <c r="M25" s="481">
        <f t="shared" si="1"/>
        <v>16.666666666666668</v>
      </c>
    </row>
    <row r="26" spans="1:13" x14ac:dyDescent="0.2">
      <c r="A26" s="674">
        <v>24</v>
      </c>
      <c r="B26" s="334" t="s">
        <v>381</v>
      </c>
      <c r="C26" s="455" t="s">
        <v>159</v>
      </c>
      <c r="D26" s="148" t="s">
        <v>571</v>
      </c>
      <c r="E26" s="455">
        <v>1</v>
      </c>
      <c r="F26" s="455">
        <v>1</v>
      </c>
      <c r="G26" s="455">
        <v>0.05</v>
      </c>
      <c r="H26" s="455">
        <v>2</v>
      </c>
      <c r="I26" s="333">
        <v>2</v>
      </c>
      <c r="J26" s="333">
        <v>3</v>
      </c>
      <c r="K26" s="333"/>
      <c r="L26" s="674" t="str">
        <f t="shared" si="0"/>
        <v>0,05-2 microg/kg/min</v>
      </c>
      <c r="M26" s="481">
        <f t="shared" si="1"/>
        <v>16.666666666666668</v>
      </c>
    </row>
    <row r="27" spans="1:13" x14ac:dyDescent="0.2">
      <c r="A27" s="674">
        <v>25</v>
      </c>
      <c r="B27" s="334" t="s">
        <v>266</v>
      </c>
      <c r="C27" s="455" t="s">
        <v>159</v>
      </c>
      <c r="D27" s="148" t="s">
        <v>354</v>
      </c>
      <c r="E27" s="455">
        <v>10</v>
      </c>
      <c r="F27" s="455">
        <v>1</v>
      </c>
      <c r="G27" s="455">
        <v>0.3</v>
      </c>
      <c r="H27" s="455">
        <v>1.2</v>
      </c>
      <c r="I27" s="333">
        <v>1.2</v>
      </c>
      <c r="J27" s="333">
        <v>3</v>
      </c>
      <c r="K27" s="333"/>
      <c r="L27" s="674" t="str">
        <f t="shared" si="0"/>
        <v>0,3-1,2 mg/kg/uur</v>
      </c>
      <c r="M27" s="481">
        <f t="shared" si="1"/>
        <v>1</v>
      </c>
    </row>
    <row r="28" spans="1:13" x14ac:dyDescent="0.2">
      <c r="A28" s="674" t="s">
        <v>4626</v>
      </c>
      <c r="B28" s="670">
        <v>1</v>
      </c>
      <c r="C28" s="670">
        <f>B28+1</f>
        <v>2</v>
      </c>
      <c r="D28" s="670">
        <f t="shared" ref="D28:M28" si="2">C28+1</f>
        <v>3</v>
      </c>
      <c r="E28" s="670">
        <f t="shared" si="2"/>
        <v>4</v>
      </c>
      <c r="F28" s="670">
        <f t="shared" si="2"/>
        <v>5</v>
      </c>
      <c r="G28" s="670">
        <f t="shared" si="2"/>
        <v>6</v>
      </c>
      <c r="H28" s="670">
        <f t="shared" si="2"/>
        <v>7</v>
      </c>
      <c r="I28" s="670">
        <f t="shared" si="2"/>
        <v>8</v>
      </c>
      <c r="J28" s="670">
        <f t="shared" si="2"/>
        <v>9</v>
      </c>
      <c r="K28" s="670">
        <f t="shared" si="2"/>
        <v>10</v>
      </c>
      <c r="L28" s="670">
        <f t="shared" si="2"/>
        <v>11</v>
      </c>
      <c r="M28" s="670">
        <f t="shared" si="2"/>
        <v>12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54" customWidth="1"/>
    <col min="2" max="16384" width="9.140625" style="154"/>
  </cols>
  <sheetData>
    <row r="1" spans="1:7" x14ac:dyDescent="0.2">
      <c r="A1" s="366" t="s">
        <v>4811</v>
      </c>
      <c r="B1" s="684">
        <v>1</v>
      </c>
      <c r="C1" s="684">
        <v>2</v>
      </c>
      <c r="D1" s="684">
        <v>3</v>
      </c>
      <c r="E1" s="684">
        <v>4</v>
      </c>
      <c r="F1" s="684">
        <v>5</v>
      </c>
      <c r="G1" s="684">
        <v>6</v>
      </c>
    </row>
    <row r="2" spans="1:7" x14ac:dyDescent="0.2">
      <c r="A2" s="654" t="s">
        <v>555</v>
      </c>
      <c r="B2" s="684"/>
      <c r="C2" s="684"/>
      <c r="D2" s="684"/>
      <c r="E2" s="684"/>
      <c r="F2" s="684"/>
      <c r="G2" s="684"/>
    </row>
    <row r="3" spans="1:7" x14ac:dyDescent="0.2">
      <c r="A3" s="303" t="s">
        <v>556</v>
      </c>
      <c r="B3" s="685">
        <v>50</v>
      </c>
      <c r="C3" s="685">
        <v>80</v>
      </c>
      <c r="D3" s="685">
        <v>110</v>
      </c>
      <c r="E3" s="685">
        <v>150</v>
      </c>
      <c r="F3" s="685">
        <v>150</v>
      </c>
      <c r="G3" s="685">
        <v>150</v>
      </c>
    </row>
    <row r="4" spans="1:7" x14ac:dyDescent="0.2">
      <c r="A4" s="303" t="s">
        <v>600</v>
      </c>
      <c r="B4" s="686">
        <f>80-(((_Pat_Gewicht/10)*1000)-500)/500*30</f>
        <v>50</v>
      </c>
      <c r="C4" s="686">
        <f>110-(((_Pat_Gewicht/10)*1000)-500)/500*30</f>
        <v>80</v>
      </c>
      <c r="D4" s="686">
        <f>150-(((_Pat_Gewicht/10)*1000)-500)/500*40</f>
        <v>110</v>
      </c>
      <c r="E4" s="686">
        <f>160-(((_Pat_Gewicht/10)*1000)-500)/500*10</f>
        <v>150</v>
      </c>
      <c r="F4" s="686">
        <v>160</v>
      </c>
      <c r="G4" s="686">
        <v>160</v>
      </c>
    </row>
    <row r="5" spans="1:7" x14ac:dyDescent="0.2">
      <c r="A5" s="372" t="s">
        <v>557</v>
      </c>
      <c r="B5" s="685">
        <v>30</v>
      </c>
      <c r="C5" s="685">
        <v>50</v>
      </c>
      <c r="D5" s="685">
        <v>70</v>
      </c>
      <c r="E5" s="685">
        <v>90</v>
      </c>
      <c r="F5" s="685">
        <v>110</v>
      </c>
      <c r="G5" s="685">
        <v>150</v>
      </c>
    </row>
    <row r="6" spans="1:7" x14ac:dyDescent="0.2">
      <c r="A6" s="303"/>
      <c r="B6" s="685"/>
      <c r="C6" s="685"/>
      <c r="D6" s="685"/>
      <c r="E6" s="685"/>
      <c r="F6" s="685"/>
      <c r="G6" s="685"/>
    </row>
    <row r="7" spans="1:7" x14ac:dyDescent="0.2">
      <c r="A7" s="305" t="s">
        <v>558</v>
      </c>
      <c r="B7" s="687"/>
      <c r="C7" s="687"/>
      <c r="D7" s="687"/>
      <c r="E7" s="687"/>
      <c r="F7" s="687"/>
      <c r="G7" s="687"/>
    </row>
    <row r="8" spans="1:7" x14ac:dyDescent="0.2">
      <c r="A8" s="303" t="s">
        <v>559</v>
      </c>
      <c r="B8" s="685"/>
      <c r="C8" s="685"/>
      <c r="D8" s="685"/>
      <c r="E8" s="685">
        <v>35</v>
      </c>
      <c r="F8" s="685">
        <v>35</v>
      </c>
      <c r="G8" s="685">
        <v>35</v>
      </c>
    </row>
    <row r="9" spans="1:7" x14ac:dyDescent="0.2">
      <c r="A9" s="303" t="s">
        <v>34</v>
      </c>
      <c r="B9" s="685"/>
      <c r="C9" s="685" t="s">
        <v>560</v>
      </c>
      <c r="D9" s="685" t="s">
        <v>560</v>
      </c>
      <c r="E9" s="685"/>
      <c r="F9" s="685"/>
      <c r="G9" s="685"/>
    </row>
    <row r="10" spans="1:7" x14ac:dyDescent="0.2">
      <c r="A10" s="303" t="s">
        <v>513</v>
      </c>
      <c r="B10" s="685"/>
      <c r="C10" s="685" t="s">
        <v>561</v>
      </c>
      <c r="D10" s="685" t="s">
        <v>561</v>
      </c>
      <c r="E10" s="685"/>
      <c r="F10" s="685"/>
      <c r="G10" s="685"/>
    </row>
    <row r="11" spans="1:7" ht="15.75" x14ac:dyDescent="0.3">
      <c r="A11" s="303" t="s">
        <v>562</v>
      </c>
      <c r="B11" s="685" t="s">
        <v>560</v>
      </c>
      <c r="C11" s="685" t="s">
        <v>560</v>
      </c>
      <c r="D11" s="685" t="s">
        <v>560</v>
      </c>
      <c r="E11" s="685"/>
      <c r="F11" s="685"/>
      <c r="G11" s="685"/>
    </row>
    <row r="12" spans="1:7" ht="15.75" x14ac:dyDescent="0.3">
      <c r="A12" s="303" t="s">
        <v>563</v>
      </c>
      <c r="B12" s="685">
        <v>0.3</v>
      </c>
      <c r="C12" s="685">
        <v>0.3</v>
      </c>
      <c r="D12" s="685">
        <v>0.3</v>
      </c>
      <c r="E12" s="685"/>
      <c r="F12" s="685"/>
      <c r="G12" s="685"/>
    </row>
    <row r="13" spans="1:7" x14ac:dyDescent="0.2">
      <c r="A13" s="303" t="s">
        <v>209</v>
      </c>
      <c r="B13" s="685"/>
      <c r="C13" s="685">
        <v>1</v>
      </c>
      <c r="D13" s="685">
        <v>1</v>
      </c>
      <c r="E13" s="685"/>
      <c r="F13" s="685"/>
      <c r="G13" s="685"/>
    </row>
    <row r="14" spans="1:7" x14ac:dyDescent="0.2">
      <c r="A14" s="303" t="s">
        <v>564</v>
      </c>
      <c r="B14" s="685"/>
      <c r="C14" s="685">
        <v>7.5</v>
      </c>
      <c r="D14" s="685">
        <v>15</v>
      </c>
      <c r="E14" s="685"/>
      <c r="F14" s="685"/>
      <c r="G14" s="685"/>
    </row>
    <row r="15" spans="1:7" ht="12.75" customHeight="1" x14ac:dyDescent="0.2">
      <c r="A15" s="303" t="s">
        <v>565</v>
      </c>
      <c r="B15" s="685"/>
      <c r="C15" s="685">
        <v>2.5</v>
      </c>
      <c r="D15" s="685">
        <v>5</v>
      </c>
      <c r="E15" s="685">
        <v>7.5</v>
      </c>
      <c r="F15" s="685">
        <v>10</v>
      </c>
      <c r="G15" s="685">
        <v>12</v>
      </c>
    </row>
    <row r="16" spans="1:7" x14ac:dyDescent="0.2">
      <c r="A16" s="303"/>
      <c r="B16" s="303"/>
      <c r="C16" s="303"/>
      <c r="D16" s="155"/>
      <c r="E16" s="155"/>
      <c r="F16" s="155"/>
      <c r="G16" s="155"/>
    </row>
    <row r="18" spans="1:8" x14ac:dyDescent="0.2">
      <c r="B18" s="306"/>
      <c r="C18" s="306"/>
      <c r="D18" s="306"/>
      <c r="E18" s="306"/>
      <c r="F18" s="306"/>
      <c r="G18" s="306"/>
    </row>
    <row r="20" spans="1:8" x14ac:dyDescent="0.2">
      <c r="A20" s="162"/>
      <c r="B20" s="162"/>
      <c r="C20" s="162"/>
      <c r="D20" s="162"/>
      <c r="E20" s="162"/>
      <c r="F20" s="162"/>
      <c r="G20" s="162"/>
      <c r="H20" s="162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RowHeight="12.75" x14ac:dyDescent="0.2"/>
  <cols>
    <col min="1" max="1" width="32" style="334" customWidth="1"/>
    <col min="2" max="16384" width="9.140625" style="334"/>
  </cols>
  <sheetData>
    <row r="1" spans="1:13" x14ac:dyDescent="0.2">
      <c r="A1" s="652">
        <v>1</v>
      </c>
      <c r="B1" s="652">
        <v>2</v>
      </c>
      <c r="C1" s="652">
        <v>3</v>
      </c>
      <c r="D1" s="652">
        <v>4</v>
      </c>
      <c r="E1" s="652">
        <v>5</v>
      </c>
      <c r="F1" s="652">
        <v>6</v>
      </c>
      <c r="G1" s="652">
        <v>7</v>
      </c>
      <c r="H1" s="652">
        <v>8</v>
      </c>
      <c r="I1" s="652">
        <v>9</v>
      </c>
      <c r="J1" s="652">
        <v>10</v>
      </c>
      <c r="K1" s="652">
        <v>11</v>
      </c>
      <c r="L1" s="652">
        <v>12</v>
      </c>
      <c r="M1" s="652">
        <v>13</v>
      </c>
    </row>
    <row r="2" spans="1:13" x14ac:dyDescent="0.2">
      <c r="B2" s="652" t="s">
        <v>227</v>
      </c>
      <c r="C2" s="652" t="s">
        <v>189</v>
      </c>
      <c r="D2" s="652" t="s">
        <v>228</v>
      </c>
      <c r="E2" s="652" t="s">
        <v>190</v>
      </c>
      <c r="F2" s="652" t="s">
        <v>222</v>
      </c>
      <c r="G2" s="652" t="s">
        <v>223</v>
      </c>
      <c r="H2" s="652" t="s">
        <v>224</v>
      </c>
      <c r="I2" s="652" t="s">
        <v>229</v>
      </c>
      <c r="J2" s="652" t="s">
        <v>225</v>
      </c>
      <c r="K2" s="652" t="s">
        <v>851</v>
      </c>
      <c r="L2" s="652" t="s">
        <v>852</v>
      </c>
      <c r="M2" s="652" t="s">
        <v>569</v>
      </c>
    </row>
    <row r="3" spans="1:13" x14ac:dyDescent="0.2">
      <c r="A3" s="334" t="s">
        <v>4597</v>
      </c>
      <c r="B3" s="652" t="str">
        <f t="shared" ref="B3:M3" si="0">VLOOKUP(B$2,Tbl_Glob_Conversie,3,FALSE)</f>
        <v>kcal</v>
      </c>
      <c r="C3" s="652" t="str">
        <f t="shared" si="0"/>
        <v>gram</v>
      </c>
      <c r="D3" s="652" t="str">
        <f t="shared" si="0"/>
        <v>gram</v>
      </c>
      <c r="E3" s="652" t="str">
        <f t="shared" si="0"/>
        <v>gram</v>
      </c>
      <c r="F3" s="652" t="str">
        <f t="shared" si="0"/>
        <v>mmol</v>
      </c>
      <c r="G3" s="652" t="str">
        <f t="shared" si="0"/>
        <v>mmol</v>
      </c>
      <c r="H3" s="652" t="str">
        <f t="shared" si="0"/>
        <v>mmol</v>
      </c>
      <c r="I3" s="652" t="str">
        <f t="shared" si="0"/>
        <v>mmol</v>
      </c>
      <c r="J3" s="652" t="str">
        <f t="shared" si="0"/>
        <v>mmol</v>
      </c>
      <c r="K3" s="652" t="str">
        <f t="shared" si="0"/>
        <v>mmol</v>
      </c>
      <c r="L3" s="652" t="str">
        <f t="shared" si="0"/>
        <v>IE</v>
      </c>
      <c r="M3" s="652" t="str">
        <f t="shared" si="0"/>
        <v>mmol</v>
      </c>
    </row>
    <row r="5" spans="1:13" x14ac:dyDescent="0.2">
      <c r="A5" s="334" t="s">
        <v>162</v>
      </c>
      <c r="B5" s="334">
        <f t="shared" ref="B5:M14" si="1">VLOOKUP($A5,Tbl_Glob_BerVoeding,B$1,FALSE)</f>
        <v>0.68</v>
      </c>
      <c r="C5" s="334">
        <f t="shared" si="1"/>
        <v>0.01</v>
      </c>
      <c r="D5" s="334">
        <f t="shared" si="1"/>
        <v>7.0000000000000007E-2</v>
      </c>
      <c r="E5" s="334">
        <f t="shared" si="1"/>
        <v>0.04</v>
      </c>
      <c r="F5" s="334">
        <f t="shared" si="1"/>
        <v>8.6956000000000012E-3</v>
      </c>
      <c r="G5" s="334">
        <f t="shared" si="1"/>
        <v>1.2820500000000002E-2</v>
      </c>
      <c r="H5" s="334">
        <f t="shared" si="1"/>
        <v>7.4700000000000001E-3</v>
      </c>
      <c r="I5" s="334">
        <f t="shared" si="1"/>
        <v>4.8433499999999997E-3</v>
      </c>
      <c r="J5" s="334">
        <f t="shared" si="1"/>
        <v>1.23423E-3</v>
      </c>
      <c r="K5" s="334">
        <f t="shared" si="1"/>
        <v>1.7899999999999998E-5</v>
      </c>
      <c r="L5" s="334">
        <f t="shared" si="1"/>
        <v>0</v>
      </c>
      <c r="M5" s="334">
        <f t="shared" si="1"/>
        <v>1.212858E-2</v>
      </c>
    </row>
    <row r="6" spans="1:13" x14ac:dyDescent="0.2">
      <c r="A6" s="334" t="s">
        <v>856</v>
      </c>
      <c r="B6" s="334">
        <f t="shared" si="1"/>
        <v>0.8</v>
      </c>
      <c r="C6" s="334">
        <f t="shared" si="1"/>
        <v>2.6000000000000002E-2</v>
      </c>
      <c r="D6" s="334">
        <f t="shared" si="1"/>
        <v>8.4000000000000005E-2</v>
      </c>
      <c r="E6" s="334">
        <f t="shared" si="1"/>
        <v>3.9E-2</v>
      </c>
      <c r="F6" s="334">
        <f t="shared" si="1"/>
        <v>3.0434599999999999E-2</v>
      </c>
      <c r="G6" s="334">
        <f t="shared" si="1"/>
        <v>2.0512800000000001E-2</v>
      </c>
      <c r="H6" s="334">
        <f t="shared" si="1"/>
        <v>2.4899999999999999E-2</v>
      </c>
      <c r="I6" s="334">
        <f t="shared" si="1"/>
        <v>1.8081839999999998E-2</v>
      </c>
      <c r="J6" s="334">
        <f t="shared" si="1"/>
        <v>3.2912799999999997E-3</v>
      </c>
      <c r="K6" s="334">
        <f t="shared" si="1"/>
        <v>2.8639999999999997E-4</v>
      </c>
      <c r="L6" s="334">
        <f t="shared" si="1"/>
        <v>1.2</v>
      </c>
      <c r="M6" s="334">
        <f t="shared" si="1"/>
        <v>2.3975099999999999E-2</v>
      </c>
    </row>
    <row r="7" spans="1:13" x14ac:dyDescent="0.2">
      <c r="A7" s="334" t="s">
        <v>857</v>
      </c>
      <c r="B7" s="334">
        <f t="shared" si="1"/>
        <v>0.75</v>
      </c>
      <c r="C7" s="334">
        <f t="shared" si="1"/>
        <v>0.02</v>
      </c>
      <c r="D7" s="334">
        <f t="shared" si="1"/>
        <v>7.4999999999999997E-2</v>
      </c>
      <c r="E7" s="334">
        <f t="shared" si="1"/>
        <v>0.04</v>
      </c>
      <c r="F7" s="334">
        <f t="shared" si="1"/>
        <v>1.217384E-2</v>
      </c>
      <c r="G7" s="334">
        <f t="shared" si="1"/>
        <v>1.9743570000000002E-2</v>
      </c>
      <c r="H7" s="334">
        <f t="shared" si="1"/>
        <v>2.1662999999999998E-2</v>
      </c>
      <c r="I7" s="334">
        <f t="shared" si="1"/>
        <v>1.517583E-2</v>
      </c>
      <c r="J7" s="334">
        <f t="shared" si="1"/>
        <v>2.8798700000000001E-3</v>
      </c>
      <c r="K7" s="334">
        <f t="shared" si="1"/>
        <v>2.1479999999999999E-4</v>
      </c>
      <c r="L7" s="334">
        <f t="shared" si="1"/>
        <v>0.68</v>
      </c>
      <c r="M7" s="334">
        <f t="shared" si="1"/>
        <v>1.5513299999999999E-2</v>
      </c>
    </row>
    <row r="8" spans="1:13" x14ac:dyDescent="0.2">
      <c r="A8" s="334" t="s">
        <v>572</v>
      </c>
      <c r="B8" s="334">
        <f t="shared" si="1"/>
        <v>0.66</v>
      </c>
      <c r="C8" s="334">
        <f t="shared" si="1"/>
        <v>1.3000000000000001E-2</v>
      </c>
      <c r="D8" s="334">
        <f t="shared" si="1"/>
        <v>7.2999999999999995E-2</v>
      </c>
      <c r="E8" s="334">
        <f t="shared" si="1"/>
        <v>3.4000000000000002E-2</v>
      </c>
      <c r="F8" s="334">
        <f t="shared" si="1"/>
        <v>7.3912600000000002E-3</v>
      </c>
      <c r="G8" s="334">
        <f t="shared" si="1"/>
        <v>1.7435880000000001E-2</v>
      </c>
      <c r="H8" s="334">
        <f t="shared" si="1"/>
        <v>1.4193000000000001E-2</v>
      </c>
      <c r="I8" s="334">
        <f t="shared" si="1"/>
        <v>1.033248E-2</v>
      </c>
      <c r="J8" s="334">
        <f t="shared" si="1"/>
        <v>2.0981909999999997E-3</v>
      </c>
      <c r="K8" s="334">
        <f t="shared" si="1"/>
        <v>6.981E-4</v>
      </c>
      <c r="L8" s="334">
        <f t="shared" si="1"/>
        <v>3.48</v>
      </c>
      <c r="M8" s="334">
        <f t="shared" si="1"/>
        <v>1.1846520000000001E-2</v>
      </c>
    </row>
    <row r="9" spans="1:13" x14ac:dyDescent="0.2">
      <c r="A9" s="334" t="s">
        <v>921</v>
      </c>
      <c r="B9" s="334">
        <f t="shared" si="1"/>
        <v>0.68</v>
      </c>
      <c r="C9" s="334">
        <f t="shared" si="1"/>
        <v>1.3999999999999999E-2</v>
      </c>
      <c r="D9" s="334">
        <f t="shared" si="1"/>
        <v>8.5999999999999993E-2</v>
      </c>
      <c r="E9" s="334">
        <f t="shared" si="1"/>
        <v>0.03</v>
      </c>
      <c r="F9" s="334">
        <f t="shared" si="1"/>
        <v>9.9999400000000006E-3</v>
      </c>
      <c r="G9" s="334">
        <f t="shared" si="1"/>
        <v>1.8974339999999999E-2</v>
      </c>
      <c r="H9" s="334">
        <f t="shared" si="1"/>
        <v>1.6184999999999998E-2</v>
      </c>
      <c r="I9" s="334">
        <f t="shared" si="1"/>
        <v>1.162404E-2</v>
      </c>
      <c r="J9" s="334">
        <f t="shared" si="1"/>
        <v>1.974768E-3</v>
      </c>
      <c r="K9" s="334">
        <f t="shared" si="1"/>
        <v>1.253E-3</v>
      </c>
      <c r="L9" s="334">
        <f t="shared" si="1"/>
        <v>0.56000000000000005</v>
      </c>
      <c r="M9" s="334">
        <f t="shared" si="1"/>
        <v>1.3256820000000001E-2</v>
      </c>
    </row>
    <row r="10" spans="1:13" x14ac:dyDescent="0.2">
      <c r="A10" s="334" t="s">
        <v>922</v>
      </c>
      <c r="B10" s="334">
        <f t="shared" si="1"/>
        <v>0.68</v>
      </c>
      <c r="C10" s="334">
        <f t="shared" si="1"/>
        <v>0.01</v>
      </c>
      <c r="D10" s="334">
        <f t="shared" si="1"/>
        <v>7.0000000000000007E-2</v>
      </c>
      <c r="E10" s="334">
        <f t="shared" si="1"/>
        <v>0.04</v>
      </c>
      <c r="F10" s="334">
        <f t="shared" si="1"/>
        <v>8.6956000000000012E-3</v>
      </c>
      <c r="G10" s="334">
        <f t="shared" si="1"/>
        <v>1.2820500000000002E-2</v>
      </c>
      <c r="H10" s="334">
        <f t="shared" si="1"/>
        <v>7.4700000000000001E-3</v>
      </c>
      <c r="I10" s="334">
        <f t="shared" si="1"/>
        <v>4.8433499999999997E-3</v>
      </c>
      <c r="J10" s="334">
        <f t="shared" si="1"/>
        <v>1.23423E-3</v>
      </c>
      <c r="K10" s="334">
        <f t="shared" si="1"/>
        <v>1.7899999999999998E-5</v>
      </c>
      <c r="L10" s="334">
        <f t="shared" si="1"/>
        <v>0</v>
      </c>
      <c r="M10" s="334">
        <f t="shared" si="1"/>
        <v>1.212858E-2</v>
      </c>
    </row>
    <row r="11" spans="1:13" x14ac:dyDescent="0.2">
      <c r="A11" s="334" t="s">
        <v>923</v>
      </c>
      <c r="B11" s="334">
        <f t="shared" si="1"/>
        <v>0.68</v>
      </c>
      <c r="C11" s="334">
        <f t="shared" si="1"/>
        <v>0.01</v>
      </c>
      <c r="D11" s="334">
        <f t="shared" si="1"/>
        <v>7.0000000000000007E-2</v>
      </c>
      <c r="E11" s="334">
        <f t="shared" si="1"/>
        <v>0.04</v>
      </c>
      <c r="F11" s="334">
        <f t="shared" si="1"/>
        <v>8.6956000000000012E-3</v>
      </c>
      <c r="G11" s="334">
        <f t="shared" si="1"/>
        <v>1.2820500000000002E-2</v>
      </c>
      <c r="H11" s="334">
        <f t="shared" si="1"/>
        <v>7.4700000000000001E-3</v>
      </c>
      <c r="I11" s="334">
        <f t="shared" si="1"/>
        <v>4.8433499999999997E-3</v>
      </c>
      <c r="J11" s="334">
        <f t="shared" si="1"/>
        <v>1.23423E-3</v>
      </c>
      <c r="K11" s="334">
        <f t="shared" si="1"/>
        <v>1.7899999999999998E-5</v>
      </c>
      <c r="L11" s="334">
        <f t="shared" si="1"/>
        <v>0</v>
      </c>
      <c r="M11" s="334">
        <f t="shared" si="1"/>
        <v>1.212858E-2</v>
      </c>
    </row>
    <row r="12" spans="1:13" x14ac:dyDescent="0.2">
      <c r="A12" s="334" t="s">
        <v>924</v>
      </c>
      <c r="B12" s="334">
        <f t="shared" si="1"/>
        <v>0.68</v>
      </c>
      <c r="C12" s="334">
        <f t="shared" si="1"/>
        <v>0.01</v>
      </c>
      <c r="D12" s="334">
        <f t="shared" si="1"/>
        <v>7.0000000000000007E-2</v>
      </c>
      <c r="E12" s="334">
        <f t="shared" si="1"/>
        <v>0.04</v>
      </c>
      <c r="F12" s="334">
        <f t="shared" si="1"/>
        <v>8.6956000000000012E-3</v>
      </c>
      <c r="G12" s="334">
        <f t="shared" si="1"/>
        <v>1.2820500000000002E-2</v>
      </c>
      <c r="H12" s="334">
        <f t="shared" si="1"/>
        <v>7.4700000000000001E-3</v>
      </c>
      <c r="I12" s="334">
        <f t="shared" si="1"/>
        <v>4.8433499999999997E-3</v>
      </c>
      <c r="J12" s="334">
        <f t="shared" si="1"/>
        <v>1.23423E-3</v>
      </c>
      <c r="K12" s="334">
        <f t="shared" si="1"/>
        <v>1.7899999999999998E-5</v>
      </c>
      <c r="L12" s="334">
        <f t="shared" si="1"/>
        <v>0</v>
      </c>
      <c r="M12" s="334">
        <f t="shared" si="1"/>
        <v>1.212858E-2</v>
      </c>
    </row>
    <row r="13" spans="1:13" x14ac:dyDescent="0.2">
      <c r="A13" s="334" t="s">
        <v>925</v>
      </c>
      <c r="B13" s="334">
        <f t="shared" si="1"/>
        <v>0.68</v>
      </c>
      <c r="C13" s="334">
        <f t="shared" si="1"/>
        <v>0.01</v>
      </c>
      <c r="D13" s="334">
        <f t="shared" si="1"/>
        <v>7.0000000000000007E-2</v>
      </c>
      <c r="E13" s="334">
        <f t="shared" si="1"/>
        <v>0.04</v>
      </c>
      <c r="F13" s="334">
        <f t="shared" si="1"/>
        <v>8.6956000000000012E-3</v>
      </c>
      <c r="G13" s="334">
        <f t="shared" si="1"/>
        <v>1.2820500000000002E-2</v>
      </c>
      <c r="H13" s="334">
        <f t="shared" si="1"/>
        <v>7.4700000000000001E-3</v>
      </c>
      <c r="I13" s="334">
        <f t="shared" si="1"/>
        <v>4.8433499999999997E-3</v>
      </c>
      <c r="J13" s="334">
        <f t="shared" si="1"/>
        <v>1.23423E-3</v>
      </c>
      <c r="K13" s="334">
        <f t="shared" si="1"/>
        <v>1.7899999999999998E-5</v>
      </c>
      <c r="L13" s="334">
        <f t="shared" si="1"/>
        <v>0</v>
      </c>
      <c r="M13" s="334">
        <f t="shared" si="1"/>
        <v>1.212858E-2</v>
      </c>
    </row>
    <row r="14" spans="1:13" x14ac:dyDescent="0.2">
      <c r="A14" s="334" t="s">
        <v>926</v>
      </c>
      <c r="B14" s="334">
        <f t="shared" si="1"/>
        <v>0.68</v>
      </c>
      <c r="C14" s="334">
        <f t="shared" si="1"/>
        <v>0.01</v>
      </c>
      <c r="D14" s="334">
        <f t="shared" si="1"/>
        <v>7.0000000000000007E-2</v>
      </c>
      <c r="E14" s="334">
        <f t="shared" si="1"/>
        <v>0.04</v>
      </c>
      <c r="F14" s="334">
        <f t="shared" si="1"/>
        <v>8.6956000000000012E-3</v>
      </c>
      <c r="G14" s="334">
        <f t="shared" si="1"/>
        <v>1.2820500000000002E-2</v>
      </c>
      <c r="H14" s="334">
        <f t="shared" si="1"/>
        <v>7.4700000000000001E-3</v>
      </c>
      <c r="I14" s="334">
        <f t="shared" si="1"/>
        <v>4.8433499999999997E-3</v>
      </c>
      <c r="J14" s="334">
        <f t="shared" si="1"/>
        <v>1.23423E-3</v>
      </c>
      <c r="K14" s="334">
        <f t="shared" si="1"/>
        <v>1.7899999999999998E-5</v>
      </c>
      <c r="L14" s="334">
        <f t="shared" si="1"/>
        <v>0</v>
      </c>
      <c r="M14" s="334">
        <f t="shared" si="1"/>
        <v>1.212858E-2</v>
      </c>
    </row>
    <row r="15" spans="1:13" x14ac:dyDescent="0.2">
      <c r="A15" s="334" t="s">
        <v>927</v>
      </c>
      <c r="B15" s="334">
        <f t="shared" ref="B15:M20" si="2">VLOOKUP($A15,Tbl_Glob_BerVoeding,B$1,FALSE)</f>
        <v>0.68</v>
      </c>
      <c r="C15" s="334">
        <f t="shared" si="2"/>
        <v>0.01</v>
      </c>
      <c r="D15" s="334">
        <f t="shared" si="2"/>
        <v>7.0000000000000007E-2</v>
      </c>
      <c r="E15" s="334">
        <f t="shared" si="2"/>
        <v>0.04</v>
      </c>
      <c r="F15" s="334">
        <f t="shared" si="2"/>
        <v>8.6956000000000012E-3</v>
      </c>
      <c r="G15" s="334">
        <f t="shared" si="2"/>
        <v>1.2820500000000002E-2</v>
      </c>
      <c r="H15" s="334">
        <f t="shared" si="2"/>
        <v>7.4700000000000001E-3</v>
      </c>
      <c r="I15" s="334">
        <f t="shared" si="2"/>
        <v>4.8433499999999997E-3</v>
      </c>
      <c r="J15" s="334">
        <f t="shared" si="2"/>
        <v>1.23423E-3</v>
      </c>
      <c r="K15" s="334">
        <f t="shared" si="2"/>
        <v>1.7899999999999998E-5</v>
      </c>
      <c r="L15" s="334">
        <f t="shared" si="2"/>
        <v>0</v>
      </c>
      <c r="M15" s="334">
        <f t="shared" si="2"/>
        <v>1.212858E-2</v>
      </c>
    </row>
    <row r="16" spans="1:13" x14ac:dyDescent="0.2">
      <c r="A16" s="334" t="s">
        <v>858</v>
      </c>
      <c r="B16" s="334">
        <f t="shared" si="2"/>
        <v>0.66</v>
      </c>
      <c r="C16" s="334">
        <f t="shared" si="2"/>
        <v>1.4999999999999999E-2</v>
      </c>
      <c r="D16" s="334">
        <f t="shared" si="2"/>
        <v>7.2000000000000008E-2</v>
      </c>
      <c r="E16" s="334">
        <f t="shared" si="2"/>
        <v>3.4000000000000002E-2</v>
      </c>
      <c r="F16" s="334">
        <f t="shared" si="2"/>
        <v>1.0869500000000001E-2</v>
      </c>
      <c r="G16" s="334">
        <f t="shared" si="2"/>
        <v>1.8717930000000001E-2</v>
      </c>
      <c r="H16" s="334">
        <f t="shared" si="2"/>
        <v>1.1453999999999999E-2</v>
      </c>
      <c r="I16" s="334">
        <f t="shared" si="2"/>
        <v>8.3951400000000006E-3</v>
      </c>
      <c r="J16" s="334">
        <f t="shared" si="2"/>
        <v>2.0981909999999997E-3</v>
      </c>
      <c r="K16" s="334">
        <f t="shared" si="2"/>
        <v>9.4870000000000005E-5</v>
      </c>
      <c r="L16" s="334">
        <f t="shared" si="2"/>
        <v>0.48</v>
      </c>
      <c r="M16" s="334">
        <f t="shared" si="2"/>
        <v>1.1564459999999999E-2</v>
      </c>
    </row>
    <row r="17" spans="1:13" x14ac:dyDescent="0.2">
      <c r="A17" s="334" t="s">
        <v>930</v>
      </c>
      <c r="B17" s="334">
        <f t="shared" si="2"/>
        <v>0.66299999999999992</v>
      </c>
      <c r="C17" s="334">
        <f t="shared" si="2"/>
        <v>1.4999999999999999E-2</v>
      </c>
      <c r="D17" s="334">
        <f t="shared" si="2"/>
        <v>7.0000000000000007E-2</v>
      </c>
      <c r="E17" s="334">
        <f t="shared" si="2"/>
        <v>3.6000000000000004E-2</v>
      </c>
      <c r="F17" s="334">
        <f t="shared" si="2"/>
        <v>8.826034E-3</v>
      </c>
      <c r="G17" s="334">
        <f t="shared" si="2"/>
        <v>1.7179470000000002E-2</v>
      </c>
      <c r="H17" s="334">
        <f t="shared" si="2"/>
        <v>1.3271699999999999E-2</v>
      </c>
      <c r="I17" s="334">
        <f t="shared" si="2"/>
        <v>9.4283879999999994E-3</v>
      </c>
      <c r="J17" s="334">
        <f t="shared" si="2"/>
        <v>3.2912799999999994E-5</v>
      </c>
      <c r="K17" s="334">
        <f t="shared" si="2"/>
        <v>9.1290000000000002E-5</v>
      </c>
      <c r="L17" s="334">
        <f t="shared" si="2"/>
        <v>0.76</v>
      </c>
      <c r="M17" s="334">
        <f t="shared" si="2"/>
        <v>1.12824E-2</v>
      </c>
    </row>
    <row r="18" spans="1:13" x14ac:dyDescent="0.2">
      <c r="A18" s="334" t="s">
        <v>859</v>
      </c>
      <c r="B18" s="334">
        <f t="shared" si="2"/>
        <v>0.67</v>
      </c>
      <c r="C18" s="334">
        <f t="shared" si="2"/>
        <v>1.8000000000000002E-2</v>
      </c>
      <c r="D18" s="334">
        <f t="shared" si="2"/>
        <v>7.2000000000000008E-2</v>
      </c>
      <c r="E18" s="334">
        <f t="shared" si="2"/>
        <v>3.4000000000000002E-2</v>
      </c>
      <c r="F18" s="334">
        <f t="shared" si="2"/>
        <v>1.1347758000000001E-2</v>
      </c>
      <c r="G18" s="334">
        <f t="shared" si="2"/>
        <v>1.8589725000000001E-2</v>
      </c>
      <c r="H18" s="334">
        <f t="shared" si="2"/>
        <v>1.6334399999999999E-2</v>
      </c>
      <c r="I18" s="334">
        <f t="shared" si="2"/>
        <v>1.5208118999999999E-2</v>
      </c>
      <c r="J18" s="334">
        <f t="shared" si="2"/>
        <v>2.8798700000000001E-3</v>
      </c>
      <c r="K18" s="334">
        <f t="shared" si="2"/>
        <v>1.7899999999999999E-4</v>
      </c>
      <c r="L18" s="334">
        <f t="shared" si="2"/>
        <v>0.48</v>
      </c>
      <c r="M18" s="334">
        <f t="shared" si="2"/>
        <v>1.5033797999999998E-2</v>
      </c>
    </row>
    <row r="19" spans="1:13" x14ac:dyDescent="0.2">
      <c r="A19" s="334" t="s">
        <v>933</v>
      </c>
      <c r="B19" s="334">
        <f t="shared" si="2"/>
        <v>0.67</v>
      </c>
      <c r="C19" s="334">
        <f t="shared" si="2"/>
        <v>1.6E-2</v>
      </c>
      <c r="D19" s="334">
        <f t="shared" si="2"/>
        <v>7.0000000000000007E-2</v>
      </c>
      <c r="E19" s="334">
        <f t="shared" si="2"/>
        <v>3.5000000000000003E-2</v>
      </c>
      <c r="F19" s="334">
        <f t="shared" si="2"/>
        <v>8.6956000000000012E-3</v>
      </c>
      <c r="G19" s="334">
        <f t="shared" si="2"/>
        <v>2.076921E-2</v>
      </c>
      <c r="H19" s="334">
        <f t="shared" si="2"/>
        <v>1.1702999999999998E-2</v>
      </c>
      <c r="I19" s="334">
        <f t="shared" si="2"/>
        <v>8.3951400000000006E-3</v>
      </c>
      <c r="J19" s="334">
        <f t="shared" si="2"/>
        <v>2.1804729999999996E-3</v>
      </c>
      <c r="K19" s="334">
        <f t="shared" si="2"/>
        <v>9.4870000000000005E-5</v>
      </c>
      <c r="L19" s="334">
        <f t="shared" si="2"/>
        <v>0.52</v>
      </c>
      <c r="M19" s="334">
        <f t="shared" si="2"/>
        <v>1.12824E-2</v>
      </c>
    </row>
    <row r="20" spans="1:13" x14ac:dyDescent="0.2">
      <c r="A20" s="334" t="s">
        <v>861</v>
      </c>
      <c r="B20" s="334">
        <f t="shared" si="2"/>
        <v>0.66</v>
      </c>
      <c r="C20" s="334">
        <f t="shared" si="2"/>
        <v>1.3999999999999999E-2</v>
      </c>
      <c r="D20" s="334">
        <f t="shared" si="2"/>
        <v>7.2000000000000008E-2</v>
      </c>
      <c r="E20" s="334">
        <f t="shared" si="2"/>
        <v>3.5000000000000003E-2</v>
      </c>
      <c r="F20" s="334">
        <f t="shared" si="2"/>
        <v>8.6956000000000012E-3</v>
      </c>
      <c r="G20" s="334">
        <f t="shared" si="2"/>
        <v>1.6666650000000002E-2</v>
      </c>
      <c r="H20" s="334">
        <f t="shared" si="2"/>
        <v>1.2449999999999999E-2</v>
      </c>
      <c r="I20" s="334">
        <f t="shared" si="2"/>
        <v>9.6866999999999995E-3</v>
      </c>
      <c r="J20" s="334">
        <f t="shared" si="2"/>
        <v>2.46846E-3</v>
      </c>
      <c r="K20" s="334">
        <f t="shared" si="2"/>
        <v>1.3961999999999999E-4</v>
      </c>
      <c r="L20" s="334">
        <f t="shared" si="2"/>
        <v>0.48</v>
      </c>
      <c r="M20" s="334">
        <f t="shared" si="2"/>
        <v>1.1846520000000001E-2</v>
      </c>
    </row>
    <row r="22" spans="1:13" x14ac:dyDescent="0.2">
      <c r="A22" s="334" t="s">
        <v>4598</v>
      </c>
    </row>
    <row r="24" spans="1:13" x14ac:dyDescent="0.2">
      <c r="A24" s="455" t="s">
        <v>575</v>
      </c>
      <c r="B24" s="334">
        <f t="shared" ref="B24:M30" si="3">VLOOKUP($A24,Tbl_Glob_BerPoeder,B$1,FALSE)</f>
        <v>3.47</v>
      </c>
      <c r="C24" s="334">
        <f t="shared" si="3"/>
        <v>0.252</v>
      </c>
      <c r="D24" s="334">
        <f t="shared" si="3"/>
        <v>0.622</v>
      </c>
      <c r="E24" s="334">
        <f t="shared" si="3"/>
        <v>0</v>
      </c>
      <c r="F24" s="334">
        <f t="shared" si="3"/>
        <v>0.34912834000000004</v>
      </c>
      <c r="G24" s="334">
        <f t="shared" si="3"/>
        <v>0.13538448</v>
      </c>
      <c r="H24" s="334">
        <f t="shared" si="3"/>
        <v>0.37125899999999995</v>
      </c>
      <c r="I24" s="334">
        <f t="shared" si="3"/>
        <v>0.28156007999999999</v>
      </c>
      <c r="J24" s="334">
        <f t="shared" si="3"/>
        <v>4.7312149999999997E-2</v>
      </c>
      <c r="K24" s="334">
        <f t="shared" si="3"/>
        <v>0</v>
      </c>
      <c r="L24" s="334">
        <f t="shared" si="3"/>
        <v>46</v>
      </c>
      <c r="M24" s="334">
        <f t="shared" si="3"/>
        <v>0.16162037999999998</v>
      </c>
    </row>
    <row r="25" spans="1:13" x14ac:dyDescent="0.2">
      <c r="A25" s="455" t="s">
        <v>524</v>
      </c>
      <c r="B25" s="334">
        <f t="shared" si="3"/>
        <v>3.84</v>
      </c>
      <c r="C25" s="334">
        <f t="shared" si="3"/>
        <v>0</v>
      </c>
      <c r="D25" s="334">
        <f t="shared" si="3"/>
        <v>0.96</v>
      </c>
      <c r="E25" s="334">
        <f t="shared" si="3"/>
        <v>0</v>
      </c>
      <c r="F25" s="334">
        <f t="shared" si="3"/>
        <v>8.6956000000000002E-4</v>
      </c>
      <c r="G25" s="334">
        <f t="shared" si="3"/>
        <v>0</v>
      </c>
      <c r="H25" s="334">
        <f t="shared" si="3"/>
        <v>0</v>
      </c>
      <c r="I25" s="334">
        <f t="shared" si="3"/>
        <v>0</v>
      </c>
      <c r="J25" s="334">
        <f t="shared" si="3"/>
        <v>0</v>
      </c>
      <c r="K25" s="334">
        <f t="shared" si="3"/>
        <v>0</v>
      </c>
      <c r="L25" s="334">
        <f t="shared" si="3"/>
        <v>0</v>
      </c>
      <c r="M25" s="334">
        <f t="shared" si="3"/>
        <v>0</v>
      </c>
    </row>
    <row r="26" spans="1:13" x14ac:dyDescent="0.2">
      <c r="A26" s="455" t="s">
        <v>952</v>
      </c>
      <c r="B26" s="334">
        <f t="shared" si="3"/>
        <v>4.84</v>
      </c>
      <c r="C26" s="334">
        <f t="shared" si="3"/>
        <v>9.6999999999999989E-2</v>
      </c>
      <c r="D26" s="334">
        <f t="shared" si="3"/>
        <v>0.53799999999999992</v>
      </c>
      <c r="E26" s="334">
        <f t="shared" si="3"/>
        <v>0.247</v>
      </c>
      <c r="F26" s="334">
        <f t="shared" si="3"/>
        <v>5.43475E-2</v>
      </c>
      <c r="G26" s="334">
        <f t="shared" si="3"/>
        <v>0.12846141</v>
      </c>
      <c r="H26" s="334">
        <f t="shared" si="3"/>
        <v>0.10408199999999999</v>
      </c>
      <c r="I26" s="334">
        <f t="shared" si="3"/>
        <v>7.6524929999999991E-2</v>
      </c>
      <c r="J26" s="334">
        <f t="shared" si="3"/>
        <v>1.522217E-2</v>
      </c>
      <c r="K26" s="334">
        <f t="shared" si="3"/>
        <v>6.981E-4</v>
      </c>
      <c r="L26" s="334">
        <f t="shared" si="3"/>
        <v>3.48</v>
      </c>
      <c r="M26" s="334">
        <f t="shared" si="3"/>
        <v>8.5746240000000001E-2</v>
      </c>
    </row>
    <row r="27" spans="1:13" x14ac:dyDescent="0.2">
      <c r="A27" s="455" t="s">
        <v>870</v>
      </c>
      <c r="B27" s="334">
        <f t="shared" si="3"/>
        <v>4.74</v>
      </c>
      <c r="C27" s="334">
        <f t="shared" si="3"/>
        <v>0.156</v>
      </c>
      <c r="D27" s="334">
        <f t="shared" si="3"/>
        <v>0.22899999999999998</v>
      </c>
      <c r="E27" s="334">
        <f t="shared" si="3"/>
        <v>0.498</v>
      </c>
      <c r="F27" s="334">
        <f t="shared" si="3"/>
        <v>0.1804337</v>
      </c>
      <c r="G27" s="334">
        <f t="shared" si="3"/>
        <v>0.12153833999999999</v>
      </c>
      <c r="H27" s="334">
        <f t="shared" si="3"/>
        <v>0.14765699999999998</v>
      </c>
      <c r="I27" s="334">
        <f t="shared" si="3"/>
        <v>0.10719947999999999</v>
      </c>
      <c r="J27" s="334">
        <f t="shared" si="3"/>
        <v>1.9336269999999999E-2</v>
      </c>
      <c r="K27" s="334">
        <f t="shared" si="3"/>
        <v>1.7004999999999998E-3</v>
      </c>
      <c r="L27" s="334">
        <f t="shared" si="3"/>
        <v>7.2</v>
      </c>
      <c r="M27" s="334">
        <f t="shared" si="3"/>
        <v>0.14215823999999999</v>
      </c>
    </row>
    <row r="28" spans="1:13" x14ac:dyDescent="0.2">
      <c r="A28" s="455" t="s">
        <v>871</v>
      </c>
      <c r="B28" s="334">
        <f t="shared" si="3"/>
        <v>3.38</v>
      </c>
      <c r="C28" s="334">
        <f t="shared" si="3"/>
        <v>0.82099999999999995</v>
      </c>
      <c r="D28" s="334">
        <f t="shared" si="3"/>
        <v>2.2000000000000002E-2</v>
      </c>
      <c r="E28" s="334">
        <f t="shared" si="3"/>
        <v>1E-3</v>
      </c>
      <c r="F28" s="334">
        <f t="shared" si="3"/>
        <v>0.33738928000000001</v>
      </c>
      <c r="G28" s="334">
        <f t="shared" si="3"/>
        <v>0.31435866000000001</v>
      </c>
      <c r="H28" s="334">
        <f t="shared" si="3"/>
        <v>0.13047599999999998</v>
      </c>
      <c r="I28" s="334">
        <f t="shared" si="3"/>
        <v>0.16661123999999997</v>
      </c>
      <c r="J28" s="334">
        <f t="shared" si="3"/>
        <v>1.8924859999999998E-2</v>
      </c>
      <c r="K28" s="334">
        <f t="shared" si="3"/>
        <v>0</v>
      </c>
      <c r="L28" s="334">
        <f t="shared" si="3"/>
        <v>0</v>
      </c>
      <c r="M28" s="334">
        <f t="shared" si="3"/>
        <v>1.8615959999999997E-2</v>
      </c>
    </row>
    <row r="29" spans="1:13" x14ac:dyDescent="0.2">
      <c r="A29" s="455" t="s">
        <v>872</v>
      </c>
      <c r="B29" s="334">
        <f t="shared" si="3"/>
        <v>4.5</v>
      </c>
      <c r="C29" s="334">
        <f t="shared" si="3"/>
        <v>0</v>
      </c>
      <c r="D29" s="334">
        <f t="shared" si="3"/>
        <v>0</v>
      </c>
      <c r="E29" s="334">
        <f t="shared" si="3"/>
        <v>0.5</v>
      </c>
      <c r="F29" s="334">
        <f t="shared" si="3"/>
        <v>3.04346E-3</v>
      </c>
      <c r="G29" s="334">
        <f t="shared" si="3"/>
        <v>0</v>
      </c>
      <c r="H29" s="334">
        <f t="shared" si="3"/>
        <v>0</v>
      </c>
      <c r="I29" s="334">
        <f t="shared" si="3"/>
        <v>0</v>
      </c>
      <c r="J29" s="334">
        <f t="shared" si="3"/>
        <v>0</v>
      </c>
      <c r="K29" s="334">
        <f t="shared" si="3"/>
        <v>0</v>
      </c>
      <c r="L29" s="334">
        <f t="shared" si="3"/>
        <v>0</v>
      </c>
      <c r="M29" s="334">
        <f t="shared" si="3"/>
        <v>2.8206000000000001E-5</v>
      </c>
    </row>
    <row r="30" spans="1:13" x14ac:dyDescent="0.2">
      <c r="A30" s="455" t="s">
        <v>929</v>
      </c>
      <c r="B30" s="334">
        <f t="shared" si="3"/>
        <v>3.18</v>
      </c>
      <c r="C30" s="334">
        <f t="shared" si="3"/>
        <v>0</v>
      </c>
      <c r="D30" s="334">
        <f t="shared" si="3"/>
        <v>0.66200000000000003</v>
      </c>
      <c r="E30" s="334">
        <f t="shared" si="3"/>
        <v>3.0000000000000001E-3</v>
      </c>
      <c r="F30" s="334">
        <f t="shared" si="3"/>
        <v>2.6086799999999999E-3</v>
      </c>
      <c r="G30" s="334">
        <f t="shared" si="3"/>
        <v>2.3333310000000003E-2</v>
      </c>
      <c r="H30" s="334">
        <f t="shared" si="3"/>
        <v>8.3415000000000003E-2</v>
      </c>
      <c r="I30" s="334">
        <f t="shared" si="3"/>
        <v>3.8746799999999997E-3</v>
      </c>
      <c r="J30" s="334">
        <f t="shared" si="3"/>
        <v>3.7438309999999995E-3</v>
      </c>
      <c r="K30" s="334">
        <f t="shared" si="3"/>
        <v>1.5751999999999999E-3</v>
      </c>
      <c r="L30" s="334">
        <f t="shared" si="3"/>
        <v>0</v>
      </c>
      <c r="M30" s="334">
        <f t="shared" si="3"/>
        <v>3.0744539999999997E-2</v>
      </c>
    </row>
    <row r="32" spans="1:13" x14ac:dyDescent="0.2">
      <c r="A32" s="334" t="s">
        <v>4600</v>
      </c>
    </row>
    <row r="34" spans="1:13" x14ac:dyDescent="0.2">
      <c r="A34" s="455" t="s">
        <v>872</v>
      </c>
      <c r="B34" s="334">
        <f t="shared" ref="B34:M37" si="4">VLOOKUP($A34,Tbl_Glob_BerPoeder,B$1,FALSE)</f>
        <v>4.5</v>
      </c>
      <c r="C34" s="334">
        <f t="shared" si="4"/>
        <v>0</v>
      </c>
      <c r="D34" s="334">
        <f t="shared" si="4"/>
        <v>0</v>
      </c>
      <c r="E34" s="334">
        <f t="shared" si="4"/>
        <v>0.5</v>
      </c>
      <c r="F34" s="334">
        <f t="shared" si="4"/>
        <v>3.04346E-3</v>
      </c>
      <c r="G34" s="334">
        <f t="shared" si="4"/>
        <v>0</v>
      </c>
      <c r="H34" s="334">
        <f t="shared" si="4"/>
        <v>0</v>
      </c>
      <c r="I34" s="334">
        <f t="shared" si="4"/>
        <v>0</v>
      </c>
      <c r="J34" s="334">
        <f t="shared" si="4"/>
        <v>0</v>
      </c>
      <c r="K34" s="334">
        <f t="shared" si="4"/>
        <v>0</v>
      </c>
      <c r="L34" s="334">
        <f t="shared" si="4"/>
        <v>0</v>
      </c>
      <c r="M34" s="334">
        <f t="shared" si="4"/>
        <v>2.8206000000000001E-5</v>
      </c>
    </row>
    <row r="35" spans="1:13" x14ac:dyDescent="0.2">
      <c r="A35" s="455" t="s">
        <v>524</v>
      </c>
      <c r="B35" s="334">
        <f t="shared" si="4"/>
        <v>3.84</v>
      </c>
      <c r="C35" s="334">
        <f t="shared" si="4"/>
        <v>0</v>
      </c>
      <c r="D35" s="334">
        <f t="shared" si="4"/>
        <v>0.96</v>
      </c>
      <c r="E35" s="334">
        <f t="shared" si="4"/>
        <v>0</v>
      </c>
      <c r="F35" s="334">
        <f t="shared" si="4"/>
        <v>8.6956000000000002E-4</v>
      </c>
      <c r="G35" s="334">
        <f t="shared" si="4"/>
        <v>0</v>
      </c>
      <c r="H35" s="334">
        <f t="shared" si="4"/>
        <v>0</v>
      </c>
      <c r="I35" s="334">
        <f t="shared" si="4"/>
        <v>0</v>
      </c>
      <c r="J35" s="334">
        <f t="shared" si="4"/>
        <v>0</v>
      </c>
      <c r="K35" s="334">
        <f t="shared" si="4"/>
        <v>0</v>
      </c>
      <c r="L35" s="334">
        <f t="shared" si="4"/>
        <v>0</v>
      </c>
      <c r="M35" s="334">
        <f t="shared" si="4"/>
        <v>0</v>
      </c>
    </row>
    <row r="36" spans="1:13" x14ac:dyDescent="0.2">
      <c r="A36" s="455" t="s">
        <v>870</v>
      </c>
      <c r="B36" s="334">
        <f t="shared" si="4"/>
        <v>4.74</v>
      </c>
      <c r="C36" s="334">
        <f t="shared" si="4"/>
        <v>0.156</v>
      </c>
      <c r="D36" s="334">
        <f t="shared" si="4"/>
        <v>0.22899999999999998</v>
      </c>
      <c r="E36" s="334">
        <f t="shared" si="4"/>
        <v>0.498</v>
      </c>
      <c r="F36" s="334">
        <f t="shared" si="4"/>
        <v>0.1804337</v>
      </c>
      <c r="G36" s="334">
        <f t="shared" si="4"/>
        <v>0.12153833999999999</v>
      </c>
      <c r="H36" s="334">
        <f t="shared" si="4"/>
        <v>0.14765699999999998</v>
      </c>
      <c r="I36" s="334">
        <f t="shared" si="4"/>
        <v>0.10719947999999999</v>
      </c>
      <c r="J36" s="334">
        <f t="shared" si="4"/>
        <v>1.9336269999999999E-2</v>
      </c>
      <c r="K36" s="334">
        <f t="shared" si="4"/>
        <v>1.7004999999999998E-3</v>
      </c>
      <c r="L36" s="334">
        <f t="shared" si="4"/>
        <v>7.2</v>
      </c>
      <c r="M36" s="334">
        <f t="shared" si="4"/>
        <v>0.14215823999999999</v>
      </c>
    </row>
    <row r="37" spans="1:13" x14ac:dyDescent="0.2">
      <c r="A37" s="455" t="s">
        <v>929</v>
      </c>
      <c r="B37" s="334">
        <f t="shared" si="4"/>
        <v>3.18</v>
      </c>
      <c r="C37" s="334">
        <f t="shared" si="4"/>
        <v>0</v>
      </c>
      <c r="D37" s="334">
        <f t="shared" si="4"/>
        <v>0.66200000000000003</v>
      </c>
      <c r="E37" s="334">
        <f t="shared" si="4"/>
        <v>3.0000000000000001E-3</v>
      </c>
      <c r="F37" s="334">
        <f t="shared" si="4"/>
        <v>2.6086799999999999E-3</v>
      </c>
      <c r="G37" s="334">
        <f t="shared" si="4"/>
        <v>2.3333310000000003E-2</v>
      </c>
      <c r="H37" s="334">
        <f t="shared" si="4"/>
        <v>8.3415000000000003E-2</v>
      </c>
      <c r="I37" s="334">
        <f t="shared" si="4"/>
        <v>3.8746799999999997E-3</v>
      </c>
      <c r="J37" s="334">
        <f t="shared" si="4"/>
        <v>3.7438309999999995E-3</v>
      </c>
      <c r="K37" s="334">
        <f t="shared" si="4"/>
        <v>1.5751999999999999E-3</v>
      </c>
      <c r="L37" s="334">
        <f t="shared" si="4"/>
        <v>0</v>
      </c>
      <c r="M37" s="334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456" customWidth="1"/>
    <col min="2" max="2" width="9.140625" style="456"/>
    <col min="3" max="3" width="14.5703125" style="456" customWidth="1"/>
    <col min="4" max="4" width="15.28515625" style="456" customWidth="1"/>
    <col min="5" max="5" width="9.140625" style="456"/>
    <col min="6" max="6" width="23" style="456" bestFit="1" customWidth="1"/>
    <col min="7" max="16384" width="9.140625" style="456"/>
  </cols>
  <sheetData>
    <row r="1" spans="1:6" s="681" customFormat="1" ht="25.5" x14ac:dyDescent="0.2">
      <c r="A1" s="681" t="s">
        <v>4800</v>
      </c>
      <c r="C1" s="681" t="s">
        <v>839</v>
      </c>
      <c r="D1" s="681" t="s">
        <v>840</v>
      </c>
    </row>
    <row r="2" spans="1:6" x14ac:dyDescent="0.2">
      <c r="F2" s="456" t="s">
        <v>551</v>
      </c>
    </row>
    <row r="3" spans="1:6" x14ac:dyDescent="0.2">
      <c r="A3" s="456" t="s">
        <v>570</v>
      </c>
      <c r="B3" s="679"/>
      <c r="C3" s="456">
        <v>2.2000000000000002</v>
      </c>
      <c r="D3" s="456">
        <v>0.5</v>
      </c>
      <c r="F3" s="456" t="s">
        <v>991</v>
      </c>
    </row>
    <row r="4" spans="1:6" x14ac:dyDescent="0.2">
      <c r="A4" s="456" t="s">
        <v>573</v>
      </c>
      <c r="B4" s="679"/>
      <c r="C4" s="456">
        <v>4.4000000000000004</v>
      </c>
      <c r="D4" s="456">
        <v>1</v>
      </c>
    </row>
    <row r="5" spans="1:6" x14ac:dyDescent="0.2">
      <c r="A5" s="456" t="s">
        <v>574</v>
      </c>
      <c r="B5" s="679"/>
      <c r="D5" s="456">
        <v>1.5</v>
      </c>
    </row>
    <row r="6" spans="1:6" x14ac:dyDescent="0.2">
      <c r="A6" s="456" t="s">
        <v>576</v>
      </c>
      <c r="B6" s="679"/>
      <c r="D6" s="456">
        <v>2</v>
      </c>
    </row>
    <row r="7" spans="1:6" x14ac:dyDescent="0.2">
      <c r="A7" s="456" t="s">
        <v>577</v>
      </c>
      <c r="B7" s="679"/>
      <c r="D7" s="456">
        <v>2.5</v>
      </c>
    </row>
    <row r="8" spans="1:6" x14ac:dyDescent="0.2">
      <c r="A8" s="456" t="s">
        <v>578</v>
      </c>
      <c r="B8" s="679"/>
      <c r="D8" s="456">
        <v>3</v>
      </c>
    </row>
    <row r="9" spans="1:6" x14ac:dyDescent="0.2">
      <c r="A9" s="456" t="s">
        <v>579</v>
      </c>
      <c r="B9" s="679"/>
      <c r="D9" s="456">
        <v>3.5</v>
      </c>
    </row>
    <row r="10" spans="1:6" x14ac:dyDescent="0.2">
      <c r="A10" s="456" t="s">
        <v>580</v>
      </c>
      <c r="B10" s="679"/>
      <c r="D10" s="456">
        <v>4</v>
      </c>
    </row>
    <row r="11" spans="1:6" x14ac:dyDescent="0.2">
      <c r="A11" s="456" t="s">
        <v>581</v>
      </c>
      <c r="B11" s="679"/>
      <c r="D11" s="456">
        <v>4.5</v>
      </c>
    </row>
    <row r="12" spans="1:6" x14ac:dyDescent="0.2">
      <c r="A12" s="456" t="s">
        <v>582</v>
      </c>
      <c r="B12" s="679"/>
      <c r="D12" s="456">
        <v>5</v>
      </c>
    </row>
    <row r="13" spans="1:6" x14ac:dyDescent="0.2">
      <c r="A13" s="456" t="s">
        <v>302</v>
      </c>
      <c r="B13" s="679"/>
    </row>
    <row r="14" spans="1:6" x14ac:dyDescent="0.2">
      <c r="A14" s="456" t="s">
        <v>583</v>
      </c>
      <c r="B14" s="679"/>
    </row>
    <row r="15" spans="1:6" x14ac:dyDescent="0.2">
      <c r="A15" s="456" t="s">
        <v>55</v>
      </c>
      <c r="B15" s="679"/>
    </row>
    <row r="16" spans="1:6" x14ac:dyDescent="0.2">
      <c r="A16" s="456" t="s">
        <v>328</v>
      </c>
      <c r="B16" s="679"/>
    </row>
    <row r="17" spans="1:2" x14ac:dyDescent="0.2">
      <c r="A17" s="456" t="s">
        <v>704</v>
      </c>
      <c r="B17" s="679"/>
    </row>
    <row r="18" spans="1:2" x14ac:dyDescent="0.2">
      <c r="B18" s="679"/>
    </row>
    <row r="39" spans="2:2" x14ac:dyDescent="0.2">
      <c r="B39" s="680"/>
    </row>
    <row r="52" spans="2:2" x14ac:dyDescent="0.2">
      <c r="B52" s="676"/>
    </row>
    <row r="53" spans="2:2" x14ac:dyDescent="0.2">
      <c r="B53" s="676"/>
    </row>
    <row r="54" spans="2:2" x14ac:dyDescent="0.2">
      <c r="B54" s="676"/>
    </row>
    <row r="55" spans="2:2" x14ac:dyDescent="0.2">
      <c r="B55" s="676"/>
    </row>
    <row r="56" spans="2:2" x14ac:dyDescent="0.2">
      <c r="B56" s="676"/>
    </row>
    <row r="57" spans="2:2" x14ac:dyDescent="0.2">
      <c r="B57" s="676"/>
    </row>
    <row r="65" spans="1:2" x14ac:dyDescent="0.2">
      <c r="B65" s="680"/>
    </row>
    <row r="67" spans="1:2" x14ac:dyDescent="0.2">
      <c r="B67" s="676"/>
    </row>
    <row r="68" spans="1:2" x14ac:dyDescent="0.2">
      <c r="B68" s="676"/>
    </row>
    <row r="69" spans="1:2" x14ac:dyDescent="0.2">
      <c r="B69" s="677"/>
    </row>
    <row r="70" spans="1:2" x14ac:dyDescent="0.2">
      <c r="B70" s="677"/>
    </row>
    <row r="71" spans="1:2" x14ac:dyDescent="0.2">
      <c r="B71" s="677"/>
    </row>
    <row r="72" spans="1:2" x14ac:dyDescent="0.2">
      <c r="B72" s="677"/>
    </row>
    <row r="73" spans="1:2" x14ac:dyDescent="0.2">
      <c r="B73" s="676"/>
    </row>
    <row r="74" spans="1:2" x14ac:dyDescent="0.2">
      <c r="A74" s="678"/>
      <c r="B74" s="676"/>
    </row>
    <row r="75" spans="1:2" x14ac:dyDescent="0.2">
      <c r="A75" s="678"/>
      <c r="B75" s="676"/>
    </row>
    <row r="76" spans="1:2" x14ac:dyDescent="0.2">
      <c r="A76" s="148"/>
      <c r="B76" s="676"/>
    </row>
    <row r="77" spans="1:2" x14ac:dyDescent="0.2">
      <c r="A77" s="678"/>
    </row>
    <row r="78" spans="1:2" x14ac:dyDescent="0.2">
      <c r="A78" s="678"/>
    </row>
    <row r="79" spans="1:2" x14ac:dyDescent="0.2">
      <c r="A79" s="678"/>
    </row>
    <row r="80" spans="1:2" x14ac:dyDescent="0.2">
      <c r="A80" s="678"/>
      <c r="B80" s="676"/>
    </row>
    <row r="81" spans="1:2" x14ac:dyDescent="0.2">
      <c r="A81" s="148"/>
      <c r="B81" s="676"/>
    </row>
    <row r="82" spans="1:2" x14ac:dyDescent="0.2">
      <c r="A82" s="148"/>
      <c r="B82" s="676"/>
    </row>
    <row r="83" spans="1:2" x14ac:dyDescent="0.2">
      <c r="A83" s="678"/>
      <c r="B83" s="677"/>
    </row>
    <row r="84" spans="1:2" x14ac:dyDescent="0.2">
      <c r="A84" s="678"/>
      <c r="B84" s="677"/>
    </row>
    <row r="85" spans="1:2" x14ac:dyDescent="0.2">
      <c r="A85" s="678"/>
      <c r="B85" s="677"/>
    </row>
    <row r="86" spans="1:2" x14ac:dyDescent="0.2">
      <c r="A86" s="678"/>
      <c r="B86" s="676"/>
    </row>
    <row r="87" spans="1:2" x14ac:dyDescent="0.2">
      <c r="A87" s="678"/>
      <c r="B87" s="676"/>
    </row>
    <row r="88" spans="1:2" x14ac:dyDescent="0.2">
      <c r="A88" s="678"/>
      <c r="B88" s="676"/>
    </row>
    <row r="89" spans="1:2" x14ac:dyDescent="0.2">
      <c r="A89" s="678"/>
    </row>
    <row r="90" spans="1:2" x14ac:dyDescent="0.2">
      <c r="A90" s="678"/>
    </row>
    <row r="91" spans="1:2" x14ac:dyDescent="0.2">
      <c r="A91" s="678"/>
    </row>
    <row r="92" spans="1:2" x14ac:dyDescent="0.2">
      <c r="A92" s="678"/>
    </row>
    <row r="93" spans="1:2" x14ac:dyDescent="0.2">
      <c r="A93" s="678"/>
    </row>
    <row r="94" spans="1:2" x14ac:dyDescent="0.2">
      <c r="A94" s="678"/>
    </row>
    <row r="95" spans="1:2" x14ac:dyDescent="0.2">
      <c r="A95" s="678"/>
    </row>
    <row r="96" spans="1:2" x14ac:dyDescent="0.2">
      <c r="A96" s="678"/>
    </row>
    <row r="97" spans="1:1" x14ac:dyDescent="0.2">
      <c r="A97" s="678"/>
    </row>
    <row r="98" spans="1:1" x14ac:dyDescent="0.2">
      <c r="A98" s="678"/>
    </row>
    <row r="99" spans="1:1" x14ac:dyDescent="0.2">
      <c r="A99" s="678"/>
    </row>
    <row r="100" spans="1:1" x14ac:dyDescent="0.2">
      <c r="A100" s="678"/>
    </row>
    <row r="101" spans="1:1" x14ac:dyDescent="0.2">
      <c r="A101" s="678"/>
    </row>
    <row r="102" spans="1:1" x14ac:dyDescent="0.2">
      <c r="A102" s="678"/>
    </row>
    <row r="103" spans="1:1" x14ac:dyDescent="0.2">
      <c r="A103" s="678"/>
    </row>
    <row r="104" spans="1:1" x14ac:dyDescent="0.2">
      <c r="A104" s="678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10" customWidth="1"/>
    <col min="2" max="2" width="6" style="310" customWidth="1"/>
    <col min="3" max="3" width="26.42578125" style="310" customWidth="1"/>
    <col min="4" max="4" width="4.5703125" style="310" customWidth="1"/>
    <col min="5" max="5" width="9.140625" style="310"/>
    <col min="6" max="6" width="4.28515625" style="310" customWidth="1"/>
    <col min="7" max="7" width="11.7109375" style="310" customWidth="1"/>
    <col min="8" max="23" width="2.7109375" style="13" customWidth="1"/>
    <col min="24" max="33" width="2.7109375" style="310" customWidth="1"/>
    <col min="34" max="16384" width="9.140625" style="310"/>
  </cols>
  <sheetData>
    <row r="1" spans="1:33" ht="19.5" customHeight="1" thickBot="1" x14ac:dyDescent="0.25">
      <c r="A1" s="351"/>
      <c r="B1" s="310" t="str">
        <f>"Naam: "&amp;__2_AchterNaam&amp;", "&amp;__3_VoorNaam</f>
        <v xml:space="preserve">Naam: , </v>
      </c>
      <c r="D1" s="310" t="str">
        <f>"Geboortedatum: "</f>
        <v xml:space="preserve">Geboortedatum: </v>
      </c>
      <c r="F1" s="863">
        <f>__4_GebDatum</f>
        <v>1462</v>
      </c>
      <c r="G1" s="863"/>
      <c r="I1" s="6" t="str">
        <f>"Gewicht: "&amp;ROUND(_Pat_Gewicht/10,1)&amp;"kg"</f>
        <v>Gewicht: 1kg</v>
      </c>
      <c r="P1" s="6" t="s">
        <v>180</v>
      </c>
      <c r="R1" s="861"/>
      <c r="S1" s="861"/>
      <c r="T1" s="861"/>
      <c r="U1" s="861"/>
      <c r="V1" s="861"/>
      <c r="W1" s="861"/>
      <c r="Y1" s="310" t="s">
        <v>297</v>
      </c>
      <c r="AB1" s="862">
        <f ca="1">TODAY()</f>
        <v>42755</v>
      </c>
      <c r="AC1" s="862"/>
      <c r="AD1" s="862"/>
      <c r="AE1" s="862"/>
      <c r="AF1" s="862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73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73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73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73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73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73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73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73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73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73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73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73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73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73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73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73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73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73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73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73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73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73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73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73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73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73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73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73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73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73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73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73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73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73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73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73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51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73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73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73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73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73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73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73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73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73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73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73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73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73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73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73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73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73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73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73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73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73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73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73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73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73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73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73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73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73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73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73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73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73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73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73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73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73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73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73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73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73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73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73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73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73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73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73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73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73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73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73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73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73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73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73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73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73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73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73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73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73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73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73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73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73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73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73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73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73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73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73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73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73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73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73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73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73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73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73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73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73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73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73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73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73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73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73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73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73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73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73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73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73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73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73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73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mergeCells count="3">
    <mergeCell ref="F1:G1"/>
    <mergeCell ref="R1:W1"/>
    <mergeCell ref="AB1:AF1"/>
  </mergeCells>
  <conditionalFormatting sqref="B3:B22">
    <cfRule type="cellIs" dxfId="4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10"/>
    <col min="2" max="25" width="4.7109375" style="310" customWidth="1"/>
    <col min="26" max="16384" width="9.140625" style="310"/>
  </cols>
  <sheetData>
    <row r="1" spans="1:25" x14ac:dyDescent="0.2">
      <c r="A1" s="351" t="s">
        <v>386</v>
      </c>
    </row>
    <row r="2" spans="1:25" x14ac:dyDescent="0.2">
      <c r="A2" s="310" t="s">
        <v>377</v>
      </c>
      <c r="B2" s="310">
        <v>20</v>
      </c>
    </row>
    <row r="3" spans="1:25" x14ac:dyDescent="0.2">
      <c r="A3" s="310" t="s">
        <v>387</v>
      </c>
      <c r="B3" s="310">
        <v>9</v>
      </c>
    </row>
    <row r="4" spans="1:25" x14ac:dyDescent="0.2">
      <c r="A4" s="310" t="s">
        <v>388</v>
      </c>
      <c r="B4" s="310">
        <v>9</v>
      </c>
      <c r="C4" s="310">
        <v>21</v>
      </c>
    </row>
    <row r="5" spans="1:25" x14ac:dyDescent="0.2">
      <c r="A5" s="310" t="s">
        <v>389</v>
      </c>
      <c r="B5" s="310">
        <v>9</v>
      </c>
      <c r="C5" s="310">
        <v>17</v>
      </c>
      <c r="D5" s="310">
        <v>1</v>
      </c>
    </row>
    <row r="6" spans="1:25" x14ac:dyDescent="0.2">
      <c r="A6" s="351" t="s">
        <v>390</v>
      </c>
      <c r="B6" s="310">
        <v>9</v>
      </c>
      <c r="C6" s="310">
        <v>15</v>
      </c>
      <c r="D6" s="310">
        <v>21</v>
      </c>
      <c r="E6" s="310">
        <v>3</v>
      </c>
    </row>
    <row r="7" spans="1:25" x14ac:dyDescent="0.2">
      <c r="A7" s="355" t="s">
        <v>435</v>
      </c>
      <c r="B7" s="310">
        <v>9</v>
      </c>
      <c r="C7" s="310">
        <v>12</v>
      </c>
      <c r="D7" s="310">
        <v>15</v>
      </c>
      <c r="E7" s="310">
        <v>18</v>
      </c>
      <c r="F7" s="310">
        <v>22</v>
      </c>
    </row>
    <row r="8" spans="1:25" x14ac:dyDescent="0.2">
      <c r="A8" s="310" t="s">
        <v>176</v>
      </c>
      <c r="B8" s="310">
        <v>9</v>
      </c>
      <c r="C8" s="310">
        <v>13</v>
      </c>
      <c r="D8" s="310">
        <v>17</v>
      </c>
      <c r="E8" s="310">
        <v>21</v>
      </c>
      <c r="F8" s="310">
        <v>1</v>
      </c>
      <c r="G8" s="310">
        <v>5</v>
      </c>
    </row>
    <row r="9" spans="1:25" x14ac:dyDescent="0.2">
      <c r="A9" s="310" t="s">
        <v>177</v>
      </c>
      <c r="B9" s="310">
        <v>11</v>
      </c>
      <c r="C9" s="310">
        <v>14</v>
      </c>
      <c r="D9" s="310">
        <v>17</v>
      </c>
      <c r="E9" s="310">
        <v>20</v>
      </c>
      <c r="F9" s="310">
        <v>23</v>
      </c>
      <c r="G9" s="310">
        <v>2</v>
      </c>
      <c r="H9" s="310">
        <v>5</v>
      </c>
      <c r="I9" s="310">
        <v>8</v>
      </c>
    </row>
    <row r="10" spans="1:25" x14ac:dyDescent="0.2">
      <c r="A10" s="310" t="s">
        <v>178</v>
      </c>
      <c r="B10" s="310">
        <v>9</v>
      </c>
      <c r="C10" s="310">
        <v>11</v>
      </c>
      <c r="D10" s="310">
        <v>13</v>
      </c>
      <c r="E10" s="310">
        <v>15</v>
      </c>
      <c r="F10" s="310">
        <v>17</v>
      </c>
      <c r="G10" s="310">
        <v>19</v>
      </c>
      <c r="H10" s="310">
        <v>21</v>
      </c>
      <c r="I10" s="310">
        <v>23</v>
      </c>
      <c r="J10" s="310">
        <v>1</v>
      </c>
      <c r="K10" s="310">
        <v>3</v>
      </c>
      <c r="L10" s="310">
        <v>5</v>
      </c>
      <c r="M10" s="310">
        <v>7</v>
      </c>
    </row>
    <row r="11" spans="1:25" x14ac:dyDescent="0.2">
      <c r="A11" s="310" t="s">
        <v>26</v>
      </c>
      <c r="B11" s="310">
        <v>9</v>
      </c>
      <c r="C11" s="310">
        <v>10</v>
      </c>
      <c r="D11" s="310">
        <v>11</v>
      </c>
      <c r="E11" s="310">
        <v>12</v>
      </c>
      <c r="F11" s="310">
        <v>13</v>
      </c>
      <c r="G11" s="310">
        <v>14</v>
      </c>
      <c r="H11" s="310">
        <v>15</v>
      </c>
      <c r="I11" s="310">
        <v>16</v>
      </c>
      <c r="J11" s="310">
        <v>17</v>
      </c>
      <c r="K11" s="310">
        <v>18</v>
      </c>
      <c r="L11" s="310">
        <v>19</v>
      </c>
      <c r="M11" s="310">
        <v>20</v>
      </c>
      <c r="N11" s="310">
        <v>21</v>
      </c>
      <c r="O11" s="310">
        <v>22</v>
      </c>
      <c r="P11" s="310">
        <v>23</v>
      </c>
      <c r="Q11" s="310">
        <v>24</v>
      </c>
      <c r="R11" s="310">
        <v>1</v>
      </c>
      <c r="S11" s="310">
        <v>2</v>
      </c>
      <c r="T11" s="310">
        <v>3</v>
      </c>
      <c r="U11" s="310">
        <v>4</v>
      </c>
      <c r="V11" s="310">
        <v>5</v>
      </c>
      <c r="W11" s="310">
        <v>6</v>
      </c>
      <c r="X11" s="310">
        <v>7</v>
      </c>
      <c r="Y11" s="310">
        <v>8</v>
      </c>
    </row>
    <row r="13" spans="1:25" x14ac:dyDescent="0.2">
      <c r="A13" s="310">
        <v>10</v>
      </c>
      <c r="B13" s="310" t="s">
        <v>387</v>
      </c>
      <c r="C13" s="310" t="s">
        <v>388</v>
      </c>
      <c r="D13" s="310" t="s">
        <v>389</v>
      </c>
      <c r="E13" s="310" t="s">
        <v>390</v>
      </c>
      <c r="F13" s="311" t="s">
        <v>435</v>
      </c>
      <c r="G13" s="311" t="s">
        <v>176</v>
      </c>
      <c r="H13" s="311" t="s">
        <v>177</v>
      </c>
      <c r="I13" s="311" t="s">
        <v>178</v>
      </c>
      <c r="J13" s="311" t="s">
        <v>26</v>
      </c>
    </row>
    <row r="15" spans="1:25" x14ac:dyDescent="0.2">
      <c r="B15" s="310">
        <v>2</v>
      </c>
      <c r="C15" s="310">
        <v>3</v>
      </c>
      <c r="D15" s="310">
        <v>4</v>
      </c>
      <c r="E15" s="310">
        <v>5</v>
      </c>
      <c r="F15" s="310">
        <v>6</v>
      </c>
      <c r="G15" s="310">
        <v>7</v>
      </c>
      <c r="H15" s="310">
        <v>8</v>
      </c>
      <c r="I15" s="310">
        <v>9</v>
      </c>
      <c r="J15" s="310">
        <v>10</v>
      </c>
      <c r="K15" s="310">
        <v>11</v>
      </c>
      <c r="L15" s="310">
        <v>12</v>
      </c>
      <c r="M15" s="310">
        <v>13</v>
      </c>
      <c r="N15" s="310">
        <v>14</v>
      </c>
      <c r="O15" s="310">
        <v>15</v>
      </c>
      <c r="P15" s="310">
        <v>16</v>
      </c>
      <c r="Q15" s="310">
        <v>17</v>
      </c>
      <c r="R15" s="310">
        <v>18</v>
      </c>
      <c r="S15" s="310">
        <v>19</v>
      </c>
      <c r="T15" s="310">
        <v>20</v>
      </c>
      <c r="U15" s="310">
        <v>21</v>
      </c>
      <c r="V15" s="310">
        <v>22</v>
      </c>
      <c r="W15" s="310">
        <v>23</v>
      </c>
      <c r="X15" s="310">
        <v>24</v>
      </c>
      <c r="Y15" s="310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310" t="s">
        <v>387</v>
      </c>
      <c r="B17" s="12" t="s">
        <v>179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310" t="s">
        <v>388</v>
      </c>
      <c r="B18" s="12" t="s">
        <v>179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179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310" t="s">
        <v>389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 t="s">
        <v>179</v>
      </c>
      <c r="K19" s="12"/>
      <c r="L19" s="12"/>
      <c r="M19" s="12"/>
      <c r="N19" s="12"/>
      <c r="O19" s="12"/>
      <c r="P19" s="12"/>
      <c r="Q19" s="12"/>
      <c r="R19" s="12" t="s">
        <v>179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310" t="s">
        <v>390</v>
      </c>
      <c r="B20" s="12" t="s">
        <v>179</v>
      </c>
      <c r="C20" s="12"/>
      <c r="D20" s="12"/>
      <c r="E20" s="12"/>
      <c r="F20" s="12"/>
      <c r="G20" s="12"/>
      <c r="H20" s="12" t="s">
        <v>179</v>
      </c>
      <c r="I20" s="12"/>
      <c r="J20" s="12"/>
      <c r="K20" s="12"/>
      <c r="L20" s="12"/>
      <c r="M20" s="12"/>
      <c r="N20" s="12" t="s">
        <v>179</v>
      </c>
      <c r="O20" s="12"/>
      <c r="P20" s="12"/>
      <c r="Q20" s="12"/>
      <c r="R20" s="12"/>
      <c r="S20" s="12"/>
      <c r="T20" s="12" t="s">
        <v>179</v>
      </c>
      <c r="U20" s="12"/>
      <c r="V20" s="12"/>
      <c r="W20" s="12"/>
      <c r="X20" s="12"/>
      <c r="Y20" s="12"/>
    </row>
    <row r="21" spans="1:25" x14ac:dyDescent="0.2">
      <c r="A21" s="310" t="s">
        <v>435</v>
      </c>
      <c r="B21" s="12" t="s">
        <v>179</v>
      </c>
      <c r="C21" s="12"/>
      <c r="D21" s="12"/>
      <c r="E21" s="12" t="s">
        <v>179</v>
      </c>
      <c r="F21" s="12"/>
      <c r="G21" s="12"/>
      <c r="H21" s="12" t="s">
        <v>179</v>
      </c>
      <c r="I21" s="12"/>
      <c r="J21" s="12"/>
      <c r="K21" s="12" t="s">
        <v>179</v>
      </c>
      <c r="L21" s="12"/>
      <c r="M21" s="12"/>
      <c r="N21" s="12"/>
      <c r="O21" s="12" t="s">
        <v>179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310" t="s">
        <v>176</v>
      </c>
      <c r="B22" s="12" t="s">
        <v>179</v>
      </c>
      <c r="C22" s="12"/>
      <c r="D22" s="12"/>
      <c r="E22" s="12"/>
      <c r="F22" s="12" t="s">
        <v>179</v>
      </c>
      <c r="G22" s="12"/>
      <c r="H22" s="12"/>
      <c r="I22" s="12"/>
      <c r="J22" s="12" t="s">
        <v>179</v>
      </c>
      <c r="K22" s="12"/>
      <c r="L22" s="12"/>
      <c r="M22" s="12"/>
      <c r="N22" s="12" t="s">
        <v>179</v>
      </c>
      <c r="O22" s="12"/>
      <c r="P22" s="12"/>
      <c r="Q22" s="12"/>
      <c r="R22" s="12" t="s">
        <v>179</v>
      </c>
      <c r="S22" s="12"/>
      <c r="T22" s="12"/>
      <c r="U22" s="12"/>
      <c r="V22" s="12" t="s">
        <v>179</v>
      </c>
      <c r="X22" s="12"/>
      <c r="Y22" s="12"/>
    </row>
    <row r="23" spans="1:25" x14ac:dyDescent="0.2">
      <c r="A23" s="311" t="s">
        <v>177</v>
      </c>
      <c r="B23" s="12"/>
      <c r="C23" s="12"/>
      <c r="D23" s="12" t="s">
        <v>179</v>
      </c>
      <c r="E23" s="12"/>
      <c r="F23" s="12"/>
      <c r="G23" s="12" t="s">
        <v>179</v>
      </c>
      <c r="H23" s="12"/>
      <c r="I23" s="12"/>
      <c r="J23" s="12" t="s">
        <v>179</v>
      </c>
      <c r="K23" s="12"/>
      <c r="L23" s="12"/>
      <c r="M23" s="12" t="s">
        <v>179</v>
      </c>
      <c r="N23" s="12"/>
      <c r="O23" s="12"/>
      <c r="P23" s="12" t="s">
        <v>179</v>
      </c>
      <c r="Q23" s="12"/>
      <c r="R23" s="12"/>
      <c r="S23" s="12" t="s">
        <v>179</v>
      </c>
      <c r="T23" s="12"/>
      <c r="U23" s="12"/>
      <c r="V23" s="12" t="s">
        <v>179</v>
      </c>
      <c r="W23" s="12"/>
      <c r="X23" s="12"/>
      <c r="Y23" s="12" t="s">
        <v>179</v>
      </c>
    </row>
    <row r="24" spans="1:25" x14ac:dyDescent="0.2">
      <c r="A24" s="311" t="s">
        <v>178</v>
      </c>
      <c r="B24" s="12" t="s">
        <v>179</v>
      </c>
      <c r="C24" s="12"/>
      <c r="D24" s="12" t="s">
        <v>179</v>
      </c>
      <c r="E24" s="12"/>
      <c r="F24" s="12" t="s">
        <v>179</v>
      </c>
      <c r="G24" s="12"/>
      <c r="H24" s="12" t="s">
        <v>179</v>
      </c>
      <c r="I24" s="12"/>
      <c r="J24" s="12" t="s">
        <v>179</v>
      </c>
      <c r="K24" s="12"/>
      <c r="L24" s="12" t="s">
        <v>179</v>
      </c>
      <c r="M24" s="12"/>
      <c r="N24" s="12" t="s">
        <v>179</v>
      </c>
      <c r="O24" s="12"/>
      <c r="P24" s="12" t="s">
        <v>179</v>
      </c>
      <c r="Q24" s="12"/>
      <c r="R24" s="12" t="s">
        <v>179</v>
      </c>
      <c r="S24" s="12"/>
      <c r="T24" s="12" t="s">
        <v>179</v>
      </c>
      <c r="U24" s="12"/>
      <c r="V24" s="12" t="s">
        <v>179</v>
      </c>
      <c r="W24" s="12"/>
      <c r="X24" s="12" t="s">
        <v>179</v>
      </c>
      <c r="Y24" s="12"/>
    </row>
    <row r="25" spans="1:25" x14ac:dyDescent="0.2">
      <c r="A25" s="311" t="s">
        <v>26</v>
      </c>
      <c r="B25" s="12" t="s">
        <v>179</v>
      </c>
      <c r="C25" s="12" t="s">
        <v>179</v>
      </c>
      <c r="D25" s="12" t="s">
        <v>179</v>
      </c>
      <c r="E25" s="12" t="s">
        <v>179</v>
      </c>
      <c r="F25" s="12" t="s">
        <v>179</v>
      </c>
      <c r="G25" s="12" t="s">
        <v>179</v>
      </c>
      <c r="H25" s="12" t="s">
        <v>179</v>
      </c>
      <c r="I25" s="12" t="s">
        <v>179</v>
      </c>
      <c r="J25" s="12" t="s">
        <v>179</v>
      </c>
      <c r="K25" s="12" t="s">
        <v>179</v>
      </c>
      <c r="L25" s="12" t="s">
        <v>179</v>
      </c>
      <c r="M25" s="12" t="s">
        <v>179</v>
      </c>
      <c r="N25" s="12" t="s">
        <v>179</v>
      </c>
      <c r="O25" s="12" t="s">
        <v>179</v>
      </c>
      <c r="P25" s="12" t="s">
        <v>179</v>
      </c>
      <c r="Q25" s="12" t="s">
        <v>179</v>
      </c>
      <c r="R25" s="12" t="s">
        <v>179</v>
      </c>
      <c r="S25" s="12" t="s">
        <v>179</v>
      </c>
      <c r="T25" s="12" t="s">
        <v>179</v>
      </c>
      <c r="U25" s="12" t="s">
        <v>179</v>
      </c>
      <c r="V25" s="12" t="s">
        <v>179</v>
      </c>
      <c r="W25" s="12" t="s">
        <v>179</v>
      </c>
      <c r="X25" s="12" t="s">
        <v>179</v>
      </c>
      <c r="Y25" s="12" t="s">
        <v>179</v>
      </c>
    </row>
    <row r="26" spans="1:25" x14ac:dyDescent="0.2">
      <c r="A26" s="311" t="s">
        <v>367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179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311" t="s">
        <v>436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96" customFormat="1" x14ac:dyDescent="0.2">
      <c r="A1" s="360"/>
    </row>
    <row r="2" spans="1:17" s="96" customFormat="1" ht="17.25" customHeight="1" x14ac:dyDescent="0.2">
      <c r="B2" s="97" t="s">
        <v>297</v>
      </c>
      <c r="C2" s="98">
        <f ca="1">Var_AfspraakDatum</f>
        <v>42755</v>
      </c>
      <c r="D2" s="99"/>
      <c r="E2" s="97" t="s">
        <v>298</v>
      </c>
      <c r="F2" s="100">
        <f>_Pat_OpnDatum</f>
        <v>1462</v>
      </c>
      <c r="G2" s="97" t="str">
        <f ca="1">"ICU-dag: "&amp;Var_AfspraakDatum-_Pat_OpnDatum+1</f>
        <v>ICU-dag: 41294</v>
      </c>
      <c r="H2" s="97"/>
      <c r="I2" s="153" t="s">
        <v>490</v>
      </c>
      <c r="J2" s="102">
        <f>__1_Bed</f>
        <v>0</v>
      </c>
    </row>
    <row r="3" spans="1:17" s="96" customFormat="1" ht="17.25" customHeight="1" x14ac:dyDescent="0.2">
      <c r="B3" s="97" t="s">
        <v>28</v>
      </c>
      <c r="C3" s="101" t="str">
        <f>__2_AchterNaam&amp;", "&amp;__3_VoorNaam</f>
        <v xml:space="preserve">, </v>
      </c>
      <c r="D3" s="101"/>
      <c r="E3" s="97" t="s">
        <v>305</v>
      </c>
      <c r="F3" s="100">
        <f>__4_GebDatum</f>
        <v>1462</v>
      </c>
      <c r="G3" s="102" t="str">
        <f>"Gewicht: "&amp;_Pat_Gewicht/10&amp;" kg"</f>
        <v>Gewicht: 1 kg</v>
      </c>
      <c r="H3" s="97"/>
      <c r="I3" s="102" t="str">
        <f>"Lengte: "&amp;_Pat_Lengte&amp;" cm"</f>
        <v>Lengte: 0 cm</v>
      </c>
      <c r="J3" s="97"/>
    </row>
    <row r="4" spans="1:17" s="96" customFormat="1" ht="17.25" customHeight="1" x14ac:dyDescent="0.2">
      <c r="A4" s="107"/>
      <c r="B4" s="97" t="s">
        <v>338</v>
      </c>
      <c r="C4" s="102">
        <f>__0_PatNum</f>
        <v>0</v>
      </c>
      <c r="D4" s="99"/>
      <c r="E4" s="97" t="s">
        <v>268</v>
      </c>
      <c r="F4" s="104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97"/>
      <c r="I4" s="97" t="str">
        <f>"Lichamelijk oppervlak: "&amp;ROUND(POWER(_Pat_Gewicht/10,0.425)*POWER(((_Pat_Lengte/100)*100),0.725)*0.007184,2)&amp;" m2"</f>
        <v>Lichamelijk oppervlak: 0 m2</v>
      </c>
      <c r="J4" s="97"/>
    </row>
    <row r="5" spans="1:17" x14ac:dyDescent="0.2">
      <c r="G5" s="310"/>
      <c r="H5" s="310"/>
    </row>
    <row r="6" spans="1:17" x14ac:dyDescent="0.2">
      <c r="A6" s="351"/>
      <c r="B6" s="1" t="s">
        <v>688</v>
      </c>
      <c r="F6" s="1" t="s">
        <v>627</v>
      </c>
      <c r="G6" s="310"/>
      <c r="H6" s="1"/>
      <c r="I6" s="1" t="s">
        <v>695</v>
      </c>
      <c r="J6" s="310"/>
      <c r="K6" s="310"/>
      <c r="Q6" s="315"/>
    </row>
    <row r="7" spans="1:17" ht="18" customHeight="1" x14ac:dyDescent="0.2">
      <c r="G7" s="310"/>
      <c r="H7" s="310"/>
      <c r="I7" s="310"/>
      <c r="J7" s="310"/>
      <c r="K7" s="310"/>
      <c r="Q7" s="311"/>
    </row>
    <row r="8" spans="1:17" ht="18" customHeight="1" x14ac:dyDescent="0.2">
      <c r="C8" s="375" t="str">
        <f>IF(_Neo_AfsprD_GewichtFrequentie=0,"",_Neo_AfsprD_GewichtFrequentie)</f>
        <v/>
      </c>
      <c r="D8" s="343"/>
      <c r="G8" s="310"/>
      <c r="H8" s="310"/>
      <c r="I8" s="310"/>
      <c r="J8" s="375" t="str">
        <f>IF(_Neo_AfsprD_AantalLampen=0,"0 lamp(en)",CONCATENATE(_Neo_AfsprD_AantalLampen, " lamp(en)"))</f>
        <v>0 lamp(en)</v>
      </c>
      <c r="Q8" s="311"/>
    </row>
    <row r="9" spans="1:17" ht="18" customHeight="1" x14ac:dyDescent="0.2">
      <c r="C9" s="375" t="str">
        <f>IF(_Neo_AfsprD_LengteFrequentie=0,"",_Neo_AfsprD_LengteFrequentie)</f>
        <v/>
      </c>
      <c r="D9" s="343"/>
      <c r="G9" s="310"/>
      <c r="H9" s="310"/>
      <c r="I9" s="310"/>
      <c r="J9" s="310"/>
      <c r="K9" s="310"/>
      <c r="M9" s="310"/>
      <c r="N9" s="310"/>
      <c r="Q9" s="310"/>
    </row>
    <row r="10" spans="1:17" ht="18" customHeight="1" x14ac:dyDescent="0.2">
      <c r="A10" s="310"/>
      <c r="B10" s="310"/>
      <c r="C10" s="375" t="str">
        <f>IF(_Neo_AfsprD_SchedelFrequentie=0,"",_Neo_AfsprD_SchedelFrequentie)</f>
        <v/>
      </c>
      <c r="D10" s="343"/>
      <c r="G10" s="310"/>
      <c r="H10" s="310"/>
      <c r="I10" s="310"/>
      <c r="J10" s="310"/>
      <c r="K10" s="310"/>
      <c r="M10" s="310"/>
      <c r="N10" s="310"/>
      <c r="Q10" s="310"/>
    </row>
    <row r="11" spans="1:17" ht="18" customHeight="1" x14ac:dyDescent="0.2">
      <c r="G11" s="310"/>
      <c r="H11" s="310"/>
      <c r="I11" s="310"/>
      <c r="J11" s="310"/>
      <c r="K11" s="310"/>
      <c r="M11" s="310"/>
      <c r="N11" s="310"/>
    </row>
    <row r="12" spans="1:17" ht="18" customHeight="1" x14ac:dyDescent="0.2">
      <c r="C12" s="334" t="str">
        <f>CONCATENATE(NeoBerAfspr!$B$12," dd")</f>
        <v>0 dd</v>
      </c>
      <c r="D12" s="333"/>
      <c r="G12" s="310"/>
      <c r="H12" s="310"/>
      <c r="I12" s="310"/>
      <c r="J12" s="310"/>
      <c r="K12" s="310"/>
      <c r="M12" s="310"/>
    </row>
    <row r="13" spans="1:17" ht="18" customHeight="1" x14ac:dyDescent="0.2">
      <c r="G13" s="310"/>
      <c r="H13" s="310"/>
      <c r="I13" s="310"/>
      <c r="J13" s="310"/>
      <c r="K13" s="310"/>
      <c r="M13" s="310"/>
    </row>
    <row r="14" spans="1:17" ht="18" customHeight="1" x14ac:dyDescent="0.2">
      <c r="G14" s="310"/>
      <c r="H14" s="310"/>
      <c r="I14" s="310"/>
      <c r="J14" s="310"/>
      <c r="K14" s="310"/>
      <c r="M14" s="311"/>
    </row>
    <row r="15" spans="1:17" ht="18" customHeight="1" x14ac:dyDescent="0.2">
      <c r="G15" s="310"/>
      <c r="H15" s="310"/>
      <c r="I15" s="310"/>
      <c r="J15" s="310"/>
      <c r="K15" s="310"/>
      <c r="M15" s="311"/>
    </row>
    <row r="16" spans="1:17" ht="18" customHeight="1" x14ac:dyDescent="0.2">
      <c r="G16" s="310"/>
      <c r="H16" s="310"/>
      <c r="I16" s="310"/>
      <c r="J16" s="310"/>
      <c r="K16" s="310"/>
      <c r="M16" s="310"/>
    </row>
    <row r="17" spans="1:14" ht="18" customHeight="1" x14ac:dyDescent="0.2">
      <c r="G17" s="310"/>
      <c r="H17" s="310"/>
      <c r="I17" s="310"/>
      <c r="J17" s="334" t="str">
        <f>CONCATENATE(NeoBerAfspr!$K$17," dd")</f>
        <v>0 dd</v>
      </c>
      <c r="K17" s="334" t="str">
        <f>CONCATENATE(NeoBerAfspr!$L$17," ml")</f>
        <v>0 ml</v>
      </c>
      <c r="M17" s="311"/>
      <c r="N17" s="310"/>
    </row>
    <row r="18" spans="1:14" ht="18" customHeight="1" x14ac:dyDescent="0.2">
      <c r="G18" s="310"/>
      <c r="H18" s="310"/>
      <c r="I18" s="310"/>
      <c r="J18" s="333"/>
      <c r="K18" s="333"/>
      <c r="M18" s="311"/>
      <c r="N18" s="310"/>
    </row>
    <row r="19" spans="1:14" ht="18" customHeight="1" x14ac:dyDescent="0.2">
      <c r="G19" s="310"/>
      <c r="H19" s="310"/>
      <c r="I19" s="310"/>
      <c r="J19" s="334" t="str">
        <f>CONCATENATE("à ",_Neo_AfsprD_VerliezenFrequentie," uur")</f>
        <v>à 0 uur</v>
      </c>
      <c r="K19" s="310"/>
      <c r="M19" s="311"/>
      <c r="N19" s="311"/>
    </row>
    <row r="20" spans="1:14" ht="18" customHeight="1" x14ac:dyDescent="0.2">
      <c r="G20" s="310"/>
      <c r="H20" s="310"/>
      <c r="I20" s="310"/>
      <c r="J20" s="310"/>
      <c r="K20" s="310"/>
      <c r="M20" s="311"/>
      <c r="N20" s="310"/>
    </row>
    <row r="21" spans="1:14" ht="18" customHeight="1" x14ac:dyDescent="0.2">
      <c r="B21" s="1" t="s">
        <v>694</v>
      </c>
      <c r="G21" s="310"/>
      <c r="H21" s="310"/>
      <c r="I21" s="310"/>
      <c r="J21" s="310"/>
      <c r="K21" s="310"/>
      <c r="M21" s="310"/>
      <c r="N21" s="311"/>
    </row>
    <row r="22" spans="1:14" ht="18" customHeight="1" x14ac:dyDescent="0.2">
      <c r="G22" s="310"/>
      <c r="H22" s="310"/>
      <c r="I22" s="310"/>
      <c r="J22" s="310"/>
      <c r="K22" s="310"/>
      <c r="M22" s="311"/>
      <c r="N22" s="311"/>
    </row>
    <row r="23" spans="1:14" ht="18" customHeight="1" x14ac:dyDescent="0.2">
      <c r="G23" s="310"/>
      <c r="H23" s="310"/>
      <c r="I23" s="310"/>
      <c r="J23" s="310"/>
      <c r="K23" s="310"/>
      <c r="M23" s="310"/>
      <c r="N23" s="310"/>
    </row>
    <row r="24" spans="1:14" ht="18" customHeight="1" x14ac:dyDescent="0.2">
      <c r="G24" s="310"/>
      <c r="H24" s="310"/>
      <c r="I24" s="310"/>
      <c r="J24" s="310"/>
      <c r="K24" s="310"/>
      <c r="M24" s="311"/>
      <c r="N24" s="311"/>
    </row>
    <row r="25" spans="1:14" ht="18" customHeight="1" x14ac:dyDescent="0.2">
      <c r="G25" s="310"/>
      <c r="H25" s="310"/>
      <c r="I25" s="310"/>
      <c r="J25" s="310"/>
      <c r="K25" s="310"/>
      <c r="M25" s="311"/>
      <c r="N25" s="311"/>
    </row>
    <row r="26" spans="1:14" ht="18" customHeight="1" x14ac:dyDescent="0.2">
      <c r="G26" s="310"/>
      <c r="H26" s="310"/>
      <c r="I26" s="310"/>
      <c r="J26" s="310"/>
      <c r="K26" s="310"/>
      <c r="M26" s="315"/>
      <c r="N26" s="311"/>
    </row>
    <row r="27" spans="1:14" ht="18" customHeight="1" x14ac:dyDescent="0.2">
      <c r="C27" s="311" t="s">
        <v>701</v>
      </c>
      <c r="D27" s="334" t="str">
        <f>CONCATENATE(NeoBerAfspr!C27," uur")</f>
        <v>12:00 uur</v>
      </c>
      <c r="G27" s="310"/>
      <c r="H27" s="310"/>
      <c r="I27" s="310"/>
      <c r="J27" s="310"/>
      <c r="K27" s="310"/>
      <c r="M27" s="311"/>
      <c r="N27" s="311"/>
    </row>
    <row r="28" spans="1:14" ht="18" customHeight="1" x14ac:dyDescent="0.2">
      <c r="G28" s="310"/>
      <c r="H28" s="310"/>
      <c r="I28" s="310"/>
      <c r="J28" s="310"/>
      <c r="K28" s="310"/>
      <c r="M28" s="311"/>
    </row>
    <row r="29" spans="1:14" ht="18" customHeight="1" x14ac:dyDescent="0.2">
      <c r="A29" s="310"/>
      <c r="B29" s="310"/>
      <c r="C29" s="310"/>
      <c r="D29" s="310"/>
      <c r="G29" s="310"/>
      <c r="H29" s="310"/>
      <c r="I29" s="310"/>
      <c r="J29" s="310"/>
      <c r="K29" s="310"/>
      <c r="M29" s="311"/>
    </row>
    <row r="30" spans="1:14" ht="18" customHeight="1" x14ac:dyDescent="0.2">
      <c r="A30" s="310"/>
      <c r="B30" s="310"/>
      <c r="C30" s="310"/>
      <c r="D30" s="310"/>
      <c r="G30" s="310"/>
      <c r="H30" s="310"/>
      <c r="I30" s="310"/>
      <c r="J30" s="310"/>
      <c r="K30" s="310"/>
      <c r="M30" s="310"/>
    </row>
    <row r="31" spans="1:14" ht="18" customHeight="1" x14ac:dyDescent="0.2">
      <c r="B31" s="310"/>
      <c r="C31" s="310"/>
      <c r="D31" s="310"/>
      <c r="G31" s="912" t="b">
        <f>IF(_Neo_AfsprB_WondkweekTekst=0,"",_Neo_AfsprB_WondkweekTekst)</f>
        <v>0</v>
      </c>
      <c r="H31" s="912"/>
      <c r="L31" s="310"/>
      <c r="M31" s="310"/>
    </row>
    <row r="32" spans="1:14" ht="18" customHeight="1" x14ac:dyDescent="0.2">
      <c r="G32" s="912"/>
      <c r="H32" s="912"/>
      <c r="L32" s="310"/>
      <c r="M32" s="310"/>
    </row>
    <row r="33" spans="1:13" s="310" customFormat="1" ht="18" customHeight="1" x14ac:dyDescent="0.2">
      <c r="A33"/>
      <c r="B33"/>
      <c r="C33"/>
      <c r="D33"/>
      <c r="E33"/>
      <c r="G33" s="912"/>
      <c r="H33" s="912"/>
      <c r="L33"/>
    </row>
    <row r="34" spans="1:13" s="310" customFormat="1" ht="18" customHeight="1" x14ac:dyDescent="0.2">
      <c r="A34"/>
      <c r="B34" s="1" t="s">
        <v>892</v>
      </c>
      <c r="C34"/>
      <c r="D34"/>
      <c r="E34"/>
      <c r="L34"/>
    </row>
    <row r="35" spans="1:13" ht="18" customHeight="1" x14ac:dyDescent="0.2">
      <c r="L35" s="310"/>
      <c r="M35" s="311"/>
    </row>
    <row r="36" spans="1:13" ht="18" customHeight="1" x14ac:dyDescent="0.2">
      <c r="E36" s="310"/>
      <c r="I36" s="310"/>
      <c r="J36" s="310"/>
      <c r="K36" s="310"/>
      <c r="L36" s="310"/>
      <c r="M36" s="311"/>
    </row>
    <row r="37" spans="1:13" s="310" customFormat="1" ht="18" customHeight="1" x14ac:dyDescent="0.2">
      <c r="L37"/>
      <c r="M37" s="311"/>
    </row>
    <row r="38" spans="1:13" s="310" customFormat="1" ht="18" customHeight="1" x14ac:dyDescent="0.2">
      <c r="B38" s="311"/>
      <c r="C38" s="311"/>
      <c r="M38" s="311"/>
    </row>
    <row r="39" spans="1:13" ht="18" customHeight="1" x14ac:dyDescent="0.2">
      <c r="A39" s="310"/>
      <c r="B39" s="311"/>
      <c r="C39" s="311"/>
      <c r="D39" s="310"/>
      <c r="E39" s="310"/>
      <c r="L39" s="310"/>
      <c r="M39" s="311"/>
    </row>
    <row r="40" spans="1:13" s="310" customFormat="1" ht="18" customHeight="1" x14ac:dyDescent="0.2">
      <c r="B40" s="311"/>
      <c r="C40" s="311"/>
      <c r="D40"/>
      <c r="E40"/>
      <c r="I40"/>
      <c r="J40"/>
      <c r="K40"/>
      <c r="M40" s="311"/>
    </row>
    <row r="41" spans="1:13" s="310" customFormat="1" ht="18" customHeight="1" x14ac:dyDescent="0.2">
      <c r="B41" s="311"/>
      <c r="C41" s="311"/>
      <c r="D41" s="376">
        <f>NeoBerAfspr!D47</f>
        <v>0</v>
      </c>
      <c r="E41" s="310" t="s">
        <v>894</v>
      </c>
      <c r="I41"/>
      <c r="J41"/>
      <c r="K41"/>
      <c r="L41"/>
      <c r="M41" s="311"/>
    </row>
    <row r="42" spans="1:13" s="310" customFormat="1" ht="18" customHeight="1" x14ac:dyDescent="0.2">
      <c r="B42" s="311"/>
      <c r="I42"/>
      <c r="J42"/>
      <c r="K42"/>
      <c r="L42"/>
      <c r="M42" s="311"/>
    </row>
    <row r="43" spans="1:13" ht="18" customHeight="1" x14ac:dyDescent="0.2">
      <c r="A43" s="310"/>
      <c r="B43" s="311"/>
      <c r="C43" s="310"/>
      <c r="D43" s="310"/>
      <c r="E43" s="310"/>
      <c r="M43" s="311"/>
    </row>
    <row r="44" spans="1:13" ht="18" customHeight="1" x14ac:dyDescent="0.2">
      <c r="B44" s="1" t="s">
        <v>660</v>
      </c>
      <c r="M44" s="311"/>
    </row>
    <row r="45" spans="1:13" ht="18" customHeight="1" x14ac:dyDescent="0.2">
      <c r="B45" s="311" t="s">
        <v>688</v>
      </c>
      <c r="C45" s="310" t="str">
        <f>IFERROR(LEFT(Var_Neo_AfsprControles,LEN(Var_Neo_AfsprControles)-3),"")</f>
        <v/>
      </c>
      <c r="M45" s="311"/>
    </row>
    <row r="46" spans="1:13" ht="18" customHeight="1" x14ac:dyDescent="0.2">
      <c r="B46" s="311" t="s">
        <v>694</v>
      </c>
      <c r="C46" s="310" t="str">
        <f>IFERROR(LEFT(Var_Neo_AfsprOnderzoek,LEN(Var_Neo_AfsprOnderzoek)-3),"")</f>
        <v/>
      </c>
      <c r="M46" s="311"/>
    </row>
    <row r="47" spans="1:13" ht="18" customHeight="1" x14ac:dyDescent="0.2">
      <c r="B47" s="311" t="s">
        <v>892</v>
      </c>
      <c r="C47" s="310" t="str">
        <f>IFERROR(LEFT(Var_Neo_AfsprInstellingen,LEN(Var_Neo_AfsprInstellingen)-3),"")</f>
        <v/>
      </c>
      <c r="M47" s="311"/>
    </row>
    <row r="48" spans="1:13" ht="18" customHeight="1" x14ac:dyDescent="0.2">
      <c r="B48" s="311" t="s">
        <v>627</v>
      </c>
      <c r="C48" t="str">
        <f>IFERROR(LEFT(Var_Neo_AfsprKweken,LEN(Var_Neo_AfsprKweken)-3),"")</f>
        <v/>
      </c>
      <c r="M48" s="311"/>
    </row>
    <row r="49" spans="2:13" ht="18" customHeight="1" x14ac:dyDescent="0.2">
      <c r="B49" s="311" t="s">
        <v>673</v>
      </c>
      <c r="C49" s="310" t="str">
        <f>IFERROR(LEFT(Var_Neo_AfsprOverig,LEN(Var_Neo_AfsprOverig)-3),"")</f>
        <v/>
      </c>
      <c r="M49" s="311"/>
    </row>
    <row r="50" spans="2:13" ht="18" customHeight="1" x14ac:dyDescent="0.2">
      <c r="M50" s="310"/>
    </row>
    <row r="51" spans="2:13" ht="18" customHeight="1" x14ac:dyDescent="0.2">
      <c r="M51" s="311"/>
    </row>
    <row r="52" spans="2:13" ht="18" customHeight="1" x14ac:dyDescent="0.2">
      <c r="M52" s="311"/>
    </row>
    <row r="53" spans="2:13" ht="18" customHeight="1" x14ac:dyDescent="0.2">
      <c r="M53" s="311"/>
    </row>
    <row r="54" spans="2:13" ht="18" customHeight="1" x14ac:dyDescent="0.2">
      <c r="M54" s="311"/>
    </row>
    <row r="55" spans="2:13" ht="18" customHeight="1" x14ac:dyDescent="0.2">
      <c r="M55" s="311"/>
    </row>
    <row r="56" spans="2:13" ht="18" customHeight="1" x14ac:dyDescent="0.2">
      <c r="M56" s="310"/>
    </row>
    <row r="57" spans="2:13" ht="18" customHeight="1" x14ac:dyDescent="0.2">
      <c r="M57" s="310"/>
    </row>
    <row r="58" spans="2:13" ht="18" customHeight="1" x14ac:dyDescent="0.2">
      <c r="M58" s="317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16"/>
    <col min="5" max="5" width="17.85546875" customWidth="1"/>
    <col min="7" max="7" width="37.42578125" bestFit="1" customWidth="1"/>
    <col min="8" max="8" width="9.140625" style="310" customWidth="1"/>
    <col min="9" max="9" width="28" style="341" bestFit="1" customWidth="1"/>
    <col min="11" max="11" width="13.5703125" customWidth="1"/>
  </cols>
  <sheetData>
    <row r="1" spans="1:13" x14ac:dyDescent="0.2">
      <c r="A1" s="351"/>
    </row>
    <row r="6" spans="1:13" x14ac:dyDescent="0.2">
      <c r="A6" s="361" t="s">
        <v>688</v>
      </c>
      <c r="E6" s="1" t="s">
        <v>627</v>
      </c>
      <c r="I6" s="339" t="s">
        <v>673</v>
      </c>
    </row>
    <row r="7" spans="1:13" x14ac:dyDescent="0.2">
      <c r="A7" s="311" t="s">
        <v>622</v>
      </c>
      <c r="B7" s="351" t="b">
        <v>0</v>
      </c>
      <c r="E7" t="s">
        <v>629</v>
      </c>
      <c r="F7" s="351" t="b">
        <v>0</v>
      </c>
      <c r="I7" s="340" t="s">
        <v>659</v>
      </c>
      <c r="J7" s="351" t="b">
        <v>0</v>
      </c>
    </row>
    <row r="8" spans="1:13" x14ac:dyDescent="0.2">
      <c r="A8" s="311" t="s">
        <v>267</v>
      </c>
      <c r="B8" s="351" t="b">
        <v>0</v>
      </c>
      <c r="C8" s="355">
        <v>0</v>
      </c>
      <c r="D8" s="439">
        <v>1</v>
      </c>
      <c r="E8" t="s">
        <v>630</v>
      </c>
      <c r="F8" s="351" t="b">
        <v>0</v>
      </c>
      <c r="G8" t="s">
        <v>631</v>
      </c>
      <c r="H8" s="351" t="b">
        <v>0</v>
      </c>
      <c r="I8" s="340" t="s">
        <v>826</v>
      </c>
      <c r="J8" s="351" t="b">
        <v>0</v>
      </c>
      <c r="M8" s="310"/>
    </row>
    <row r="9" spans="1:13" x14ac:dyDescent="0.2">
      <c r="A9" s="311" t="s">
        <v>128</v>
      </c>
      <c r="B9" s="351" t="b">
        <v>0</v>
      </c>
      <c r="C9" s="351">
        <v>0</v>
      </c>
      <c r="D9" s="352">
        <v>1</v>
      </c>
      <c r="G9" t="s">
        <v>632</v>
      </c>
      <c r="H9" s="351" t="b">
        <v>0</v>
      </c>
      <c r="I9" s="340" t="s">
        <v>667</v>
      </c>
      <c r="J9" s="351" t="b">
        <v>0</v>
      </c>
      <c r="M9" s="310"/>
    </row>
    <row r="10" spans="1:13" x14ac:dyDescent="0.2">
      <c r="A10" s="311" t="s">
        <v>613</v>
      </c>
      <c r="B10" s="351" t="b">
        <v>0</v>
      </c>
      <c r="G10" t="s">
        <v>633</v>
      </c>
      <c r="H10" s="351" t="b">
        <v>0</v>
      </c>
      <c r="I10" s="340" t="s">
        <v>623</v>
      </c>
      <c r="J10" s="351" t="b">
        <v>0</v>
      </c>
      <c r="M10" s="310"/>
    </row>
    <row r="11" spans="1:13" x14ac:dyDescent="0.2">
      <c r="A11" s="311" t="s">
        <v>722</v>
      </c>
      <c r="B11" s="351" t="b">
        <v>0</v>
      </c>
      <c r="C11" s="311" t="s">
        <v>690</v>
      </c>
      <c r="D11" s="352" t="b">
        <v>0</v>
      </c>
      <c r="G11" t="s">
        <v>634</v>
      </c>
      <c r="H11" s="351" t="b">
        <v>0</v>
      </c>
      <c r="I11" s="340"/>
      <c r="J11" s="351" t="b">
        <v>0</v>
      </c>
      <c r="M11" s="310"/>
    </row>
    <row r="12" spans="1:13" x14ac:dyDescent="0.2">
      <c r="A12" s="311" t="s">
        <v>724</v>
      </c>
      <c r="B12" s="389">
        <v>0</v>
      </c>
      <c r="C12" s="336" t="s">
        <v>691</v>
      </c>
      <c r="D12" s="352" t="b">
        <v>0</v>
      </c>
      <c r="E12" s="311" t="s">
        <v>635</v>
      </c>
      <c r="F12" s="351" t="b">
        <v>0</v>
      </c>
      <c r="I12" s="340" t="s">
        <v>668</v>
      </c>
      <c r="J12" s="351" t="b">
        <v>0</v>
      </c>
      <c r="M12" s="310"/>
    </row>
    <row r="13" spans="1:13" x14ac:dyDescent="0.2">
      <c r="C13" s="311" t="s">
        <v>692</v>
      </c>
      <c r="D13" s="352" t="b">
        <v>0</v>
      </c>
      <c r="E13" s="311" t="s">
        <v>636</v>
      </c>
      <c r="F13" s="351" t="b">
        <v>0</v>
      </c>
      <c r="G13" t="s">
        <v>643</v>
      </c>
      <c r="H13" s="351" t="b">
        <v>0</v>
      </c>
      <c r="I13" s="340" t="s">
        <v>619</v>
      </c>
      <c r="J13" s="351" t="b">
        <v>0</v>
      </c>
      <c r="M13" s="310"/>
    </row>
    <row r="14" spans="1:13" x14ac:dyDescent="0.2">
      <c r="C14" s="311" t="s">
        <v>693</v>
      </c>
      <c r="D14" s="352" t="b">
        <v>0</v>
      </c>
      <c r="E14" s="311" t="s">
        <v>637</v>
      </c>
      <c r="F14" s="351" t="b">
        <v>0</v>
      </c>
      <c r="I14" s="340" t="s">
        <v>620</v>
      </c>
      <c r="J14" s="351" t="b">
        <v>0</v>
      </c>
      <c r="M14" s="310"/>
    </row>
    <row r="15" spans="1:13" x14ac:dyDescent="0.2">
      <c r="A15" s="311" t="s">
        <v>723</v>
      </c>
      <c r="B15" s="351" t="b">
        <v>0</v>
      </c>
      <c r="E15" s="311" t="s">
        <v>638</v>
      </c>
      <c r="F15" s="351" t="b">
        <v>0</v>
      </c>
      <c r="G15" t="s">
        <v>644</v>
      </c>
      <c r="H15" s="351" t="b">
        <v>0</v>
      </c>
      <c r="I15" s="340" t="s">
        <v>621</v>
      </c>
      <c r="J15" s="351" t="b">
        <v>0</v>
      </c>
      <c r="M15" s="310"/>
    </row>
    <row r="16" spans="1:13" x14ac:dyDescent="0.2">
      <c r="A16" t="s">
        <v>615</v>
      </c>
      <c r="B16" s="351" t="b">
        <v>0</v>
      </c>
      <c r="E16" s="310"/>
      <c r="G16" t="s">
        <v>645</v>
      </c>
      <c r="H16" s="351" t="b">
        <v>0</v>
      </c>
      <c r="I16" s="340" t="s">
        <v>672</v>
      </c>
      <c r="J16" s="351" t="b">
        <v>0</v>
      </c>
      <c r="M16" s="310"/>
    </row>
    <row r="17" spans="1:13" x14ac:dyDescent="0.2">
      <c r="A17" s="311" t="s">
        <v>614</v>
      </c>
      <c r="B17" s="351" t="b">
        <v>0</v>
      </c>
      <c r="E17" s="311" t="s">
        <v>391</v>
      </c>
      <c r="F17" s="351" t="b">
        <v>0</v>
      </c>
      <c r="I17" s="340" t="s">
        <v>827</v>
      </c>
      <c r="J17" s="351" t="b">
        <v>0</v>
      </c>
      <c r="K17" s="355">
        <v>0</v>
      </c>
      <c r="L17" s="355">
        <v>0</v>
      </c>
      <c r="M17" s="310"/>
    </row>
    <row r="18" spans="1:13" x14ac:dyDescent="0.2">
      <c r="A18" s="311" t="s">
        <v>618</v>
      </c>
      <c r="B18" s="351" t="b">
        <v>0</v>
      </c>
      <c r="C18" s="351">
        <v>0</v>
      </c>
      <c r="D18" s="352">
        <v>1</v>
      </c>
      <c r="E18" s="311" t="s">
        <v>639</v>
      </c>
      <c r="F18" s="351" t="b">
        <v>0</v>
      </c>
      <c r="G18" t="s">
        <v>646</v>
      </c>
      <c r="H18" s="351" t="b">
        <v>0</v>
      </c>
      <c r="I18" s="340" t="s">
        <v>391</v>
      </c>
      <c r="J18" s="351" t="b">
        <v>0</v>
      </c>
      <c r="M18" s="310"/>
    </row>
    <row r="19" spans="1:13" x14ac:dyDescent="0.2">
      <c r="A19" s="311" t="s">
        <v>616</v>
      </c>
      <c r="B19" s="351" t="b">
        <v>0</v>
      </c>
      <c r="E19" s="310"/>
      <c r="G19" t="s">
        <v>647</v>
      </c>
      <c r="H19" s="351" t="b">
        <v>0</v>
      </c>
      <c r="I19" s="340" t="s">
        <v>669</v>
      </c>
      <c r="J19" s="351" t="b">
        <v>0</v>
      </c>
      <c r="M19" s="310"/>
    </row>
    <row r="20" spans="1:13" x14ac:dyDescent="0.2">
      <c r="E20" s="310"/>
      <c r="G20" t="s">
        <v>648</v>
      </c>
      <c r="H20" s="351" t="b">
        <v>0</v>
      </c>
      <c r="I20" s="340" t="s">
        <v>828</v>
      </c>
      <c r="J20" s="351" t="b">
        <v>0</v>
      </c>
      <c r="K20" s="440">
        <v>0</v>
      </c>
      <c r="L20" s="355"/>
      <c r="M20" s="310"/>
    </row>
    <row r="21" spans="1:13" x14ac:dyDescent="0.2">
      <c r="A21" s="1" t="s">
        <v>694</v>
      </c>
      <c r="B21" s="351"/>
      <c r="E21" s="311" t="s">
        <v>640</v>
      </c>
      <c r="F21" s="351" t="b">
        <v>0</v>
      </c>
      <c r="I21" s="340"/>
      <c r="J21" s="310"/>
      <c r="K21" s="311" t="s">
        <v>829</v>
      </c>
      <c r="L21" s="351" t="b">
        <v>0</v>
      </c>
      <c r="M21" s="310"/>
    </row>
    <row r="22" spans="1:13" x14ac:dyDescent="0.2">
      <c r="A22" s="311" t="s">
        <v>628</v>
      </c>
      <c r="B22" s="351" t="b">
        <v>0</v>
      </c>
      <c r="C22" t="str">
        <f>IF(OR(D22=0,D22=1,D22=""),"",INDEX(tbl_Ped_aEEG,D22,1))</f>
        <v/>
      </c>
      <c r="D22" s="352">
        <v>1</v>
      </c>
      <c r="E22" s="311" t="s">
        <v>641</v>
      </c>
      <c r="F22" s="351" t="b">
        <v>0</v>
      </c>
      <c r="G22" t="s">
        <v>649</v>
      </c>
      <c r="H22" s="351" t="b">
        <v>0</v>
      </c>
      <c r="I22" s="340"/>
      <c r="J22" s="310"/>
      <c r="K22" s="311" t="s">
        <v>302</v>
      </c>
      <c r="L22" s="351" t="b">
        <v>0</v>
      </c>
      <c r="M22" s="310"/>
    </row>
    <row r="23" spans="1:13" x14ac:dyDescent="0.2">
      <c r="A23" s="311" t="s">
        <v>392</v>
      </c>
      <c r="B23" s="351" t="b">
        <v>0</v>
      </c>
      <c r="E23" s="311" t="s">
        <v>642</v>
      </c>
      <c r="F23" s="351" t="b">
        <v>0</v>
      </c>
      <c r="G23" t="s">
        <v>650</v>
      </c>
      <c r="H23" s="351" t="b">
        <v>0</v>
      </c>
      <c r="I23" s="340"/>
      <c r="J23" s="310"/>
      <c r="K23" s="311" t="s">
        <v>830</v>
      </c>
      <c r="L23" s="351" t="b">
        <v>0</v>
      </c>
      <c r="M23" s="310"/>
    </row>
    <row r="24" spans="1:13" x14ac:dyDescent="0.2">
      <c r="A24" s="311" t="s">
        <v>33</v>
      </c>
      <c r="B24" s="351" t="b">
        <v>0</v>
      </c>
      <c r="E24" s="310"/>
      <c r="G24" t="s">
        <v>651</v>
      </c>
      <c r="H24" s="351" t="b">
        <v>0</v>
      </c>
      <c r="I24" s="340" t="s">
        <v>696</v>
      </c>
      <c r="J24" s="351" t="b">
        <v>0</v>
      </c>
      <c r="K24" s="311" t="s">
        <v>697</v>
      </c>
      <c r="L24" s="351" t="b">
        <v>0</v>
      </c>
      <c r="M24" s="310"/>
    </row>
    <row r="25" spans="1:13" x14ac:dyDescent="0.2">
      <c r="A25" s="311" t="s">
        <v>665</v>
      </c>
      <c r="B25" s="351" t="b">
        <v>0</v>
      </c>
      <c r="E25" s="310"/>
      <c r="G25" t="s">
        <v>652</v>
      </c>
      <c r="H25" s="351" t="b">
        <v>0</v>
      </c>
      <c r="I25" s="340"/>
      <c r="K25" s="311" t="s">
        <v>698</v>
      </c>
      <c r="L25" s="351" t="b">
        <v>0</v>
      </c>
      <c r="M25" s="310"/>
    </row>
    <row r="26" spans="1:13" x14ac:dyDescent="0.2">
      <c r="A26" s="311" t="s">
        <v>666</v>
      </c>
      <c r="B26" s="351" t="b">
        <v>0</v>
      </c>
      <c r="E26" s="310"/>
      <c r="G26" t="s">
        <v>653</v>
      </c>
      <c r="H26" s="351" t="b">
        <v>0</v>
      </c>
      <c r="I26" s="340"/>
      <c r="K26" s="311" t="s">
        <v>699</v>
      </c>
      <c r="L26" s="351" t="b">
        <v>0</v>
      </c>
      <c r="M26" s="310"/>
    </row>
    <row r="27" spans="1:13" x14ac:dyDescent="0.2">
      <c r="A27" s="311" t="s">
        <v>393</v>
      </c>
      <c r="B27" s="351" t="b">
        <v>0</v>
      </c>
      <c r="C27" t="str">
        <f>REPLACE(INDEX(tbl_Ped_VertrekTijden,D27,2),1,1,"")</f>
        <v>12:00</v>
      </c>
      <c r="D27" s="352">
        <v>50</v>
      </c>
      <c r="E27" s="310"/>
      <c r="G27" t="s">
        <v>654</v>
      </c>
      <c r="H27" s="351" t="b">
        <v>0</v>
      </c>
      <c r="I27" s="340"/>
      <c r="K27" s="311" t="s">
        <v>700</v>
      </c>
      <c r="L27" s="351" t="b">
        <v>0</v>
      </c>
      <c r="M27" s="310"/>
    </row>
    <row r="28" spans="1:13" x14ac:dyDescent="0.2">
      <c r="A28" s="311" t="s">
        <v>725</v>
      </c>
      <c r="B28" s="351" t="b">
        <v>0</v>
      </c>
      <c r="E28" s="310"/>
      <c r="G28" t="s">
        <v>655</v>
      </c>
      <c r="H28" s="351" t="b">
        <v>0</v>
      </c>
      <c r="I28" s="340"/>
      <c r="K28" s="311" t="s">
        <v>278</v>
      </c>
      <c r="L28" s="351"/>
    </row>
    <row r="29" spans="1:13" x14ac:dyDescent="0.2">
      <c r="A29" s="311" t="s">
        <v>726</v>
      </c>
      <c r="B29" s="351" t="b">
        <v>0</v>
      </c>
      <c r="E29" s="310"/>
      <c r="G29" t="s">
        <v>656</v>
      </c>
      <c r="H29" s="351" t="b">
        <v>0</v>
      </c>
      <c r="I29" s="340" t="s">
        <v>539</v>
      </c>
      <c r="J29" s="351" t="b">
        <v>0</v>
      </c>
      <c r="K29" s="351">
        <v>0</v>
      </c>
    </row>
    <row r="30" spans="1:13" x14ac:dyDescent="0.2">
      <c r="A30" s="311" t="s">
        <v>617</v>
      </c>
      <c r="B30" s="351" t="b">
        <v>0</v>
      </c>
      <c r="E30" s="310"/>
      <c r="G30" t="s">
        <v>657</v>
      </c>
      <c r="H30" s="351" t="b">
        <v>0</v>
      </c>
      <c r="I30" s="340"/>
    </row>
    <row r="31" spans="1:13" x14ac:dyDescent="0.2">
      <c r="A31" s="311" t="s">
        <v>32</v>
      </c>
      <c r="B31" s="351" t="b">
        <v>0</v>
      </c>
      <c r="E31" s="311" t="s">
        <v>658</v>
      </c>
      <c r="F31" s="351" t="b">
        <v>0</v>
      </c>
      <c r="G31" s="355" t="b">
        <v>0</v>
      </c>
      <c r="H31" s="311"/>
      <c r="I31" s="340"/>
    </row>
    <row r="32" spans="1:13" x14ac:dyDescent="0.2">
      <c r="A32" s="311" t="s">
        <v>19</v>
      </c>
      <c r="B32" s="351" t="b">
        <v>0</v>
      </c>
      <c r="E32" s="1"/>
      <c r="I32" s="340"/>
    </row>
    <row r="33" spans="1:9" x14ac:dyDescent="0.2">
      <c r="A33" s="1" t="s">
        <v>892</v>
      </c>
      <c r="B33" s="310"/>
      <c r="C33" s="310"/>
      <c r="E33" s="310"/>
      <c r="F33" s="310"/>
      <c r="G33" s="310"/>
      <c r="I33" s="340"/>
    </row>
    <row r="34" spans="1:9" x14ac:dyDescent="0.2">
      <c r="A34" s="311" t="s">
        <v>727</v>
      </c>
      <c r="B34" s="351" t="b">
        <v>0</v>
      </c>
      <c r="C34" s="310" t="str">
        <f>IF(OR(D34=0,D34=1,D34=""),"",INDEX(tbl_Ped_DrainLokatie,D34,0))</f>
        <v/>
      </c>
      <c r="D34" s="352">
        <v>1</v>
      </c>
      <c r="E34">
        <f>IF(OR(D22=0,D22=""),"",INDEX(tbl_Ped_aEEG,D22,1))</f>
        <v>0</v>
      </c>
      <c r="I34" s="340"/>
    </row>
    <row r="35" spans="1:9" x14ac:dyDescent="0.2">
      <c r="C35" s="310" t="str">
        <f>IF(OR(D35=0,D35=1,D35=""),"",INDEX(tbl_Ped_DrainModus,D35,0))</f>
        <v/>
      </c>
      <c r="D35" s="352">
        <v>1</v>
      </c>
      <c r="I35" s="340"/>
    </row>
    <row r="36" spans="1:9" x14ac:dyDescent="0.2">
      <c r="C36" s="310" t="str">
        <f>IF(OR(D36=0,D36=1,D36=""),"",INDEX(tbl_Ped_DrainZuig,D36,0))</f>
        <v/>
      </c>
      <c r="D36" s="352">
        <v>1</v>
      </c>
      <c r="I36" s="340"/>
    </row>
    <row r="37" spans="1:9" x14ac:dyDescent="0.2">
      <c r="A37" s="311" t="s">
        <v>825</v>
      </c>
      <c r="B37" s="351" t="b">
        <v>0</v>
      </c>
      <c r="C37" s="310" t="str">
        <f>IF(OR(D37=0,D37=1,D37=""),"",INDEX(tbl_Ped_DrainLokatie,D37,0))</f>
        <v/>
      </c>
      <c r="D37" s="352">
        <v>1</v>
      </c>
      <c r="E37" s="310"/>
    </row>
    <row r="38" spans="1:9" x14ac:dyDescent="0.2">
      <c r="A38" s="310"/>
      <c r="B38" s="310"/>
      <c r="C38" s="310" t="str">
        <f>IF(OR(D38=0,D38=1,D38=""),"",INDEX(tbl_Ped_DrainModus,D38,0))</f>
        <v/>
      </c>
      <c r="D38" s="352">
        <v>1</v>
      </c>
    </row>
    <row r="39" spans="1:9" x14ac:dyDescent="0.2">
      <c r="A39" s="310"/>
      <c r="B39" s="310"/>
      <c r="C39" s="310" t="str">
        <f>IF(OR(D39=0,D39=1,D39=""),"",INDEX(tbl_Ped_DrainZuig,D39,0))</f>
        <v/>
      </c>
      <c r="D39" s="352">
        <v>1</v>
      </c>
    </row>
    <row r="40" spans="1:9" x14ac:dyDescent="0.2">
      <c r="A40" s="311" t="s">
        <v>895</v>
      </c>
      <c r="B40" s="351" t="b">
        <v>0</v>
      </c>
      <c r="C40" s="310" t="str">
        <f>IF(OR(D40=0,D40=1,D40=""),"",INDEX(tbl_Ped_DrainLokatie,D40,0))</f>
        <v/>
      </c>
      <c r="D40" s="352">
        <v>1</v>
      </c>
      <c r="E40" s="310"/>
    </row>
    <row r="41" spans="1:9" x14ac:dyDescent="0.2">
      <c r="C41" s="310" t="str">
        <f>IF(OR(D41=0,D41=1,D41=""),"",INDEX(tbl_Ped_DrainModus,D41,0))</f>
        <v/>
      </c>
      <c r="D41" s="352">
        <v>1</v>
      </c>
    </row>
    <row r="42" spans="1:9" x14ac:dyDescent="0.2">
      <c r="C42" s="310" t="str">
        <f>IF(OR(D42=0,D42=1,D42=""),"",INDEX(tbl_Ped_DrainZuig,D42,0))</f>
        <v/>
      </c>
      <c r="D42" s="352">
        <v>1</v>
      </c>
    </row>
    <row r="43" spans="1:9" x14ac:dyDescent="0.2">
      <c r="A43" s="340" t="s">
        <v>671</v>
      </c>
      <c r="B43" s="351" t="b">
        <v>0</v>
      </c>
      <c r="C43" s="311" t="s">
        <v>896</v>
      </c>
      <c r="D43" s="352" t="b">
        <v>0</v>
      </c>
      <c r="E43" s="310"/>
    </row>
    <row r="44" spans="1:9" x14ac:dyDescent="0.2">
      <c r="A44" s="311" t="s">
        <v>834</v>
      </c>
      <c r="B44" s="351" t="b">
        <v>0</v>
      </c>
      <c r="C44" s="311" t="s">
        <v>896</v>
      </c>
      <c r="D44" s="352" t="b">
        <v>0</v>
      </c>
      <c r="E44" s="310"/>
    </row>
    <row r="45" spans="1:9" x14ac:dyDescent="0.2">
      <c r="A45" s="340" t="s">
        <v>670</v>
      </c>
      <c r="B45" s="351" t="b">
        <v>0</v>
      </c>
      <c r="C45" s="311" t="s">
        <v>896</v>
      </c>
      <c r="D45" s="352" t="b">
        <v>0</v>
      </c>
      <c r="E45" s="310"/>
    </row>
    <row r="46" spans="1:9" x14ac:dyDescent="0.2">
      <c r="A46" s="311" t="s">
        <v>893</v>
      </c>
      <c r="B46" s="351" t="b">
        <v>0</v>
      </c>
      <c r="C46" t="str">
        <f>IF(OR(D46=0,D46=1,D46=""),"",INDEX(tbl_Ped_LiquorDrain,D46,0))</f>
        <v/>
      </c>
      <c r="D46" s="352">
        <v>1</v>
      </c>
      <c r="E46" s="310"/>
    </row>
    <row r="47" spans="1:9" x14ac:dyDescent="0.2">
      <c r="C47" s="310" t="s">
        <v>894</v>
      </c>
      <c r="D47" s="352">
        <v>0</v>
      </c>
    </row>
    <row r="55" spans="1:3" x14ac:dyDescent="0.2">
      <c r="A55" s="1" t="s">
        <v>660</v>
      </c>
    </row>
    <row r="56" spans="1:3" x14ac:dyDescent="0.2">
      <c r="A56" s="311" t="s">
        <v>688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11" t="s">
        <v>694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11" t="s">
        <v>892</v>
      </c>
      <c r="B58" s="31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10"/>
    </row>
    <row r="59" spans="1:3" x14ac:dyDescent="0.2">
      <c r="A59" s="311" t="s">
        <v>627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11" t="s">
        <v>673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11"/>
    </row>
    <row r="69" spans="1:1" x14ac:dyDescent="0.2">
      <c r="A69" s="311"/>
    </row>
    <row r="70" spans="1:1" x14ac:dyDescent="0.2">
      <c r="A70" s="310"/>
    </row>
    <row r="71" spans="1:1" x14ac:dyDescent="0.2">
      <c r="A71" s="311"/>
    </row>
    <row r="72" spans="1:1" x14ac:dyDescent="0.2">
      <c r="A72" s="311"/>
    </row>
    <row r="73" spans="1:1" x14ac:dyDescent="0.2">
      <c r="A73" s="311"/>
    </row>
    <row r="74" spans="1:1" x14ac:dyDescent="0.2">
      <c r="A74" s="311"/>
    </row>
    <row r="75" spans="1:1" x14ac:dyDescent="0.2">
      <c r="A75" s="311"/>
    </row>
    <row r="76" spans="1:1" x14ac:dyDescent="0.2">
      <c r="A76" s="311"/>
    </row>
    <row r="77" spans="1:1" x14ac:dyDescent="0.2">
      <c r="A77" s="311"/>
    </row>
    <row r="78" spans="1:1" x14ac:dyDescent="0.2">
      <c r="A78" s="311"/>
    </row>
    <row r="79" spans="1:1" x14ac:dyDescent="0.2">
      <c r="A79" s="311"/>
    </row>
    <row r="80" spans="1:1" x14ac:dyDescent="0.2">
      <c r="A80" s="311"/>
    </row>
    <row r="81" spans="1:1" x14ac:dyDescent="0.2">
      <c r="A81" s="311"/>
    </row>
    <row r="82" spans="1:1" x14ac:dyDescent="0.2">
      <c r="A82" s="311"/>
    </row>
    <row r="83" spans="1:1" x14ac:dyDescent="0.2">
      <c r="A83" s="310"/>
    </row>
    <row r="84" spans="1:1" x14ac:dyDescent="0.2">
      <c r="A84" s="311"/>
    </row>
    <row r="85" spans="1:1" x14ac:dyDescent="0.2">
      <c r="A85" s="311"/>
    </row>
    <row r="86" spans="1:1" x14ac:dyDescent="0.2">
      <c r="A86" s="315"/>
    </row>
    <row r="87" spans="1:1" x14ac:dyDescent="0.2">
      <c r="A87" s="311"/>
    </row>
    <row r="88" spans="1:1" x14ac:dyDescent="0.2">
      <c r="A88" s="311"/>
    </row>
    <row r="89" spans="1:1" x14ac:dyDescent="0.2">
      <c r="A89" s="311"/>
    </row>
    <row r="90" spans="1:1" x14ac:dyDescent="0.2">
      <c r="A90" s="311"/>
    </row>
    <row r="91" spans="1:1" x14ac:dyDescent="0.2">
      <c r="A91" s="311"/>
    </row>
    <row r="92" spans="1:1" x14ac:dyDescent="0.2">
      <c r="A92" s="311"/>
    </row>
    <row r="93" spans="1:1" x14ac:dyDescent="0.2">
      <c r="A93" s="311"/>
    </row>
    <row r="94" spans="1:1" x14ac:dyDescent="0.2">
      <c r="A94" s="311"/>
    </row>
    <row r="95" spans="1:1" x14ac:dyDescent="0.2">
      <c r="A95" s="311"/>
    </row>
    <row r="96" spans="1:1" x14ac:dyDescent="0.2">
      <c r="A96" s="311"/>
    </row>
    <row r="97" spans="1:1" x14ac:dyDescent="0.2">
      <c r="A97" s="311"/>
    </row>
    <row r="98" spans="1:1" x14ac:dyDescent="0.2">
      <c r="A98" s="311"/>
    </row>
    <row r="99" spans="1:1" x14ac:dyDescent="0.2">
      <c r="A99" s="311"/>
    </row>
    <row r="100" spans="1:1" x14ac:dyDescent="0.2">
      <c r="A100" s="311"/>
    </row>
    <row r="101" spans="1:1" x14ac:dyDescent="0.2">
      <c r="A101" s="311"/>
    </row>
    <row r="102" spans="1:1" x14ac:dyDescent="0.2">
      <c r="A102" s="311"/>
    </row>
    <row r="103" spans="1:1" x14ac:dyDescent="0.2">
      <c r="A103" s="311"/>
    </row>
    <row r="104" spans="1:1" x14ac:dyDescent="0.2">
      <c r="A104" s="311"/>
    </row>
    <row r="105" spans="1:1" x14ac:dyDescent="0.2">
      <c r="A105" s="311"/>
    </row>
    <row r="106" spans="1:1" x14ac:dyDescent="0.2">
      <c r="A106" s="311"/>
    </row>
    <row r="107" spans="1:1" x14ac:dyDescent="0.2">
      <c r="A107" s="310"/>
    </row>
    <row r="108" spans="1:1" x14ac:dyDescent="0.2">
      <c r="A108" s="310"/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24" customWidth="1"/>
    <col min="2" max="13" width="10.7109375" style="324" customWidth="1"/>
    <col min="14" max="15" width="2.140625" style="324" customWidth="1"/>
    <col min="16" max="21" width="10.7109375" style="324" customWidth="1"/>
    <col min="22" max="16384" width="9.140625" style="324"/>
  </cols>
  <sheetData>
    <row r="1" spans="1:82" s="137" customFormat="1" ht="7.5" customHeight="1" x14ac:dyDescent="0.2">
      <c r="A1" s="358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N1" s="136"/>
      <c r="S1" s="136"/>
      <c r="T1" s="136"/>
      <c r="U1" s="136"/>
      <c r="V1" s="136"/>
      <c r="W1" s="136"/>
      <c r="X1" s="136"/>
      <c r="Y1" s="136"/>
    </row>
    <row r="2" spans="1:82" s="137" customFormat="1" ht="17.25" customHeight="1" x14ac:dyDescent="0.2">
      <c r="A2" s="136"/>
      <c r="B2" s="136"/>
      <c r="C2" s="138" t="s">
        <v>297</v>
      </c>
      <c r="D2" s="139">
        <f ca="1">Var_AfspraakDatum</f>
        <v>42755</v>
      </c>
      <c r="E2" s="140"/>
      <c r="F2" s="138" t="s">
        <v>298</v>
      </c>
      <c r="G2" s="136"/>
      <c r="H2" s="141">
        <f>_Pat_OpnDatum</f>
        <v>1462</v>
      </c>
      <c r="I2" s="138" t="str">
        <f ca="1">"ICU-dag: "&amp;Var_AfspraakDatum-_Pat_OpnDatum+1</f>
        <v>ICU-dag: 41294</v>
      </c>
      <c r="J2" s="144" t="str">
        <f>"Gewicht: "&amp;_Pat_Gewicht/10&amp;" kg"</f>
        <v>Gewicht: 1 kg</v>
      </c>
      <c r="L2" s="136"/>
      <c r="N2" s="136"/>
      <c r="S2" s="136"/>
      <c r="T2" s="136"/>
      <c r="U2" s="136"/>
      <c r="V2" s="136"/>
      <c r="W2" s="136"/>
      <c r="X2" s="136"/>
      <c r="Y2" s="136"/>
    </row>
    <row r="3" spans="1:82" s="137" customFormat="1" ht="17.25" customHeight="1" x14ac:dyDescent="0.2">
      <c r="A3" s="136"/>
      <c r="B3" s="142"/>
      <c r="C3" s="138" t="s">
        <v>28</v>
      </c>
      <c r="D3" s="143" t="str">
        <f>__2_AchterNaam&amp;", "&amp;__3_VoorNaam</f>
        <v xml:space="preserve">, </v>
      </c>
      <c r="E3" s="143"/>
      <c r="F3" s="138" t="s">
        <v>305</v>
      </c>
      <c r="G3" s="136"/>
      <c r="H3" s="141">
        <f>__4_GebDatum</f>
        <v>1462</v>
      </c>
      <c r="J3" s="144" t="str">
        <f>"Lengte: "&amp;_Pat_Lengte&amp;" cm"</f>
        <v>Lengte: 0 cm</v>
      </c>
      <c r="K3" s="138"/>
      <c r="L3" s="136"/>
      <c r="N3" s="309"/>
      <c r="S3" s="136"/>
      <c r="T3" s="136"/>
      <c r="U3" s="136"/>
      <c r="V3" s="136"/>
      <c r="W3" s="136"/>
      <c r="X3" s="136"/>
      <c r="Y3" s="136"/>
    </row>
    <row r="4" spans="1:82" s="137" customFormat="1" ht="17.25" customHeight="1" x14ac:dyDescent="0.2">
      <c r="A4" s="145"/>
      <c r="B4" s="145"/>
      <c r="C4" s="138" t="s">
        <v>338</v>
      </c>
      <c r="D4" s="144">
        <f>__0_PatNum</f>
        <v>0</v>
      </c>
      <c r="E4" s="140"/>
      <c r="F4" s="138" t="s">
        <v>268</v>
      </c>
      <c r="G4" s="145"/>
      <c r="H4" s="146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38"/>
      <c r="J4" s="138" t="str">
        <f>"Lichamelijk oppervlak: "&amp;ROUND(POWER(_Pat_Gewicht/10,0.425)*POWER(((_Pat_Lengte/100)*100),0.725)*0.007184,2)&amp;" m2"</f>
        <v>Lichamelijk oppervlak: 0 m2</v>
      </c>
      <c r="K4" s="138"/>
      <c r="L4" s="145"/>
      <c r="N4" s="145"/>
      <c r="S4" s="145"/>
      <c r="T4" s="145"/>
      <c r="U4" s="145"/>
      <c r="V4" s="145"/>
      <c r="W4" s="145"/>
      <c r="X4" s="145"/>
      <c r="Y4" s="145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</row>
    <row r="5" spans="1:82" s="137" customFormat="1" ht="17.25" customHeight="1" x14ac:dyDescent="0.2">
      <c r="A5" s="145"/>
      <c r="B5" s="145"/>
      <c r="C5" s="152" t="s">
        <v>490</v>
      </c>
      <c r="D5" s="152">
        <f>__1_Bed</f>
        <v>0</v>
      </c>
      <c r="E5" s="140"/>
      <c r="F5" s="138"/>
      <c r="G5" s="145"/>
      <c r="H5" s="146"/>
      <c r="I5" s="138"/>
      <c r="J5" s="138"/>
      <c r="K5" s="138"/>
      <c r="L5" s="145"/>
      <c r="N5" s="145"/>
      <c r="S5" s="145"/>
      <c r="T5" s="145"/>
      <c r="U5" s="145"/>
      <c r="V5" s="145"/>
      <c r="W5" s="145"/>
      <c r="X5" s="145"/>
      <c r="Y5" s="145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</row>
    <row r="6" spans="1:82" s="455" customFormat="1" x14ac:dyDescent="0.2">
      <c r="A6" s="456"/>
      <c r="B6" s="325"/>
    </row>
    <row r="7" spans="1:82" s="455" customFormat="1" x14ac:dyDescent="0.2">
      <c r="A7" s="456"/>
      <c r="B7" s="325"/>
    </row>
    <row r="8" spans="1:82" ht="11.25" customHeight="1" x14ac:dyDescent="0.2">
      <c r="A8" s="362"/>
      <c r="B8" s="320" t="s">
        <v>145</v>
      </c>
      <c r="C8" s="321"/>
      <c r="D8" s="322" t="s">
        <v>678</v>
      </c>
      <c r="E8" s="321"/>
      <c r="F8" s="321"/>
      <c r="G8" s="319"/>
      <c r="H8" s="323"/>
      <c r="I8" s="319"/>
      <c r="J8" s="319"/>
      <c r="K8" s="319"/>
      <c r="L8" s="319"/>
      <c r="M8" s="319"/>
      <c r="N8" s="319"/>
    </row>
    <row r="9" spans="1:82" x14ac:dyDescent="0.2">
      <c r="A9" s="319"/>
      <c r="B9" s="325"/>
    </row>
    <row r="10" spans="1:82" ht="18.75" customHeight="1" x14ac:dyDescent="0.2">
      <c r="A10" s="319"/>
      <c r="B10" s="264" t="s">
        <v>676</v>
      </c>
      <c r="C10" s="326"/>
      <c r="D10" s="264" t="s">
        <v>679</v>
      </c>
      <c r="E10" s="326"/>
      <c r="F10" s="264" t="s">
        <v>680</v>
      </c>
      <c r="G10" s="326"/>
      <c r="H10" s="264" t="s">
        <v>681</v>
      </c>
      <c r="I10" s="326"/>
      <c r="J10" s="264" t="s">
        <v>146</v>
      </c>
      <c r="K10" s="326"/>
      <c r="L10" s="264" t="s">
        <v>682</v>
      </c>
      <c r="M10" s="326"/>
      <c r="N10" s="264"/>
      <c r="O10" s="326"/>
      <c r="P10" s="264" t="s">
        <v>987</v>
      </c>
      <c r="Q10" s="264" t="s">
        <v>686</v>
      </c>
      <c r="R10" s="264" t="s">
        <v>986</v>
      </c>
      <c r="S10" s="264" t="s">
        <v>686</v>
      </c>
      <c r="T10" s="264" t="s">
        <v>988</v>
      </c>
      <c r="U10" s="264" t="s">
        <v>686</v>
      </c>
    </row>
    <row r="11" spans="1:82" ht="26.25" customHeight="1" x14ac:dyDescent="0.2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  <c r="R11" s="327"/>
      <c r="S11" s="327"/>
      <c r="T11" s="327"/>
      <c r="U11" s="327"/>
    </row>
    <row r="12" spans="1:82" ht="26.25" customHeight="1" x14ac:dyDescent="0.2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  <c r="R12" s="327"/>
      <c r="S12" s="327"/>
      <c r="T12" s="327"/>
      <c r="U12" s="327"/>
    </row>
    <row r="13" spans="1:82" ht="26.25" customHeight="1" x14ac:dyDescent="0.2">
      <c r="A13" s="368"/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  <c r="R13" s="327"/>
      <c r="S13" s="327"/>
      <c r="T13" s="327"/>
      <c r="U13" s="327"/>
    </row>
    <row r="14" spans="1:82" ht="26.25" customHeight="1" x14ac:dyDescent="0.2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  <c r="R14" s="327"/>
      <c r="S14" s="327"/>
      <c r="T14" s="327"/>
      <c r="U14" s="327"/>
    </row>
    <row r="15" spans="1:82" ht="26.25" customHeight="1" x14ac:dyDescent="0.2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  <c r="R15" s="327"/>
      <c r="S15" s="327"/>
      <c r="T15" s="327"/>
      <c r="U15" s="327"/>
    </row>
    <row r="16" spans="1:82" ht="26.25" customHeight="1" x14ac:dyDescent="0.2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  <c r="R16" s="327"/>
      <c r="S16" s="327"/>
      <c r="T16" s="327"/>
      <c r="U16" s="327"/>
    </row>
    <row r="17" spans="2:21" ht="26.25" customHeight="1" x14ac:dyDescent="0.2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  <c r="R17" s="327"/>
      <c r="S17" s="327"/>
      <c r="T17" s="327"/>
      <c r="U17" s="327"/>
    </row>
    <row r="18" spans="2:21" ht="26.25" customHeight="1" x14ac:dyDescent="0.2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  <c r="R18" s="327"/>
      <c r="S18" s="327"/>
      <c r="T18" s="327"/>
      <c r="U18" s="327"/>
    </row>
    <row r="19" spans="2:21" ht="26.25" customHeight="1" x14ac:dyDescent="0.2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  <c r="R19" s="327"/>
      <c r="S19" s="327"/>
      <c r="T19" s="327"/>
      <c r="U19" s="327"/>
    </row>
    <row r="20" spans="2:21" ht="26.25" customHeight="1" x14ac:dyDescent="0.2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  <c r="R20" s="327"/>
      <c r="S20" s="327"/>
      <c r="T20" s="327"/>
      <c r="U20" s="327"/>
    </row>
    <row r="21" spans="2:21" ht="26.25" customHeight="1" x14ac:dyDescent="0.2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</row>
    <row r="22" spans="2:21" ht="26.25" customHeight="1" x14ac:dyDescent="0.2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  <c r="R22" s="327"/>
      <c r="S22" s="327"/>
      <c r="T22" s="327"/>
      <c r="U22" s="327"/>
    </row>
    <row r="23" spans="2:21" ht="26.25" customHeight="1" x14ac:dyDescent="0.2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  <c r="R23" s="327"/>
      <c r="S23" s="327"/>
      <c r="T23" s="327"/>
      <c r="U23" s="327"/>
    </row>
    <row r="24" spans="2:21" ht="26.25" customHeight="1" x14ac:dyDescent="0.2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  <c r="R24" s="327"/>
      <c r="S24" s="327"/>
      <c r="T24" s="327"/>
      <c r="U24" s="327"/>
    </row>
    <row r="25" spans="2:21" ht="26.25" customHeight="1" x14ac:dyDescent="0.2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  <c r="R25" s="327"/>
      <c r="S25" s="327"/>
      <c r="T25" s="327"/>
      <c r="U25" s="327"/>
    </row>
    <row r="26" spans="2:21" ht="26.25" customHeight="1" x14ac:dyDescent="0.2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</row>
    <row r="27" spans="2:21" ht="26.25" customHeight="1" x14ac:dyDescent="0.2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  <c r="R27" s="327"/>
      <c r="S27" s="327"/>
      <c r="T27" s="327"/>
      <c r="U27" s="327"/>
    </row>
    <row r="28" spans="2:21" ht="26.25" customHeight="1" x14ac:dyDescent="0.2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  <c r="R28" s="327"/>
      <c r="S28" s="327"/>
      <c r="T28" s="327"/>
      <c r="U28" s="327"/>
    </row>
    <row r="29" spans="2:21" ht="26.25" customHeight="1" x14ac:dyDescent="0.2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  <c r="R29" s="327"/>
      <c r="S29" s="327"/>
      <c r="T29" s="327"/>
      <c r="U29" s="327"/>
    </row>
    <row r="30" spans="2:21" ht="26.25" customHeight="1" x14ac:dyDescent="0.2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  <c r="R30" s="327"/>
      <c r="S30" s="327"/>
      <c r="T30" s="327"/>
      <c r="U30" s="327"/>
    </row>
    <row r="31" spans="2:21" ht="26.25" customHeight="1" x14ac:dyDescent="0.2">
      <c r="B31" s="327"/>
      <c r="C31" s="328"/>
      <c r="D31" s="327"/>
      <c r="E31" s="327"/>
      <c r="F31" s="327"/>
      <c r="G31" s="327"/>
      <c r="H31" s="327"/>
      <c r="I31" s="327"/>
      <c r="J31" s="327"/>
      <c r="K31" s="327"/>
      <c r="L31" s="327"/>
      <c r="M31" s="327"/>
      <c r="N31" s="327"/>
      <c r="O31" s="327"/>
      <c r="P31" s="327"/>
      <c r="Q31" s="327"/>
      <c r="R31" s="327"/>
      <c r="S31" s="327"/>
      <c r="T31" s="327"/>
      <c r="U31" s="327"/>
    </row>
    <row r="32" spans="2:21" ht="26.25" customHeight="1" x14ac:dyDescent="0.2">
      <c r="B32" s="327"/>
      <c r="C32" s="328"/>
      <c r="D32" s="327"/>
      <c r="E32" s="327"/>
      <c r="F32" s="327"/>
      <c r="G32" s="327"/>
      <c r="H32" s="327"/>
      <c r="I32" s="327"/>
      <c r="J32" s="327"/>
      <c r="K32" s="327"/>
      <c r="L32" s="327"/>
      <c r="M32" s="327"/>
      <c r="N32" s="327"/>
      <c r="O32" s="327"/>
      <c r="P32" s="327"/>
      <c r="Q32" s="327"/>
      <c r="R32" s="327"/>
      <c r="S32" s="327"/>
      <c r="T32" s="327"/>
      <c r="U32" s="327"/>
    </row>
    <row r="33" spans="2:21" ht="26.25" customHeight="1" x14ac:dyDescent="0.2">
      <c r="B33" s="327"/>
      <c r="C33" s="328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327"/>
      <c r="R33" s="327"/>
      <c r="S33" s="327"/>
      <c r="T33" s="327"/>
      <c r="U33" s="327"/>
    </row>
    <row r="34" spans="2:21" ht="26.25" customHeight="1" x14ac:dyDescent="0.2">
      <c r="B34" s="327"/>
      <c r="C34" s="328"/>
      <c r="D34" s="327"/>
      <c r="E34" s="327"/>
      <c r="F34" s="327"/>
      <c r="G34" s="327"/>
      <c r="H34" s="327"/>
      <c r="I34" s="327"/>
      <c r="J34" s="327"/>
      <c r="K34" s="327"/>
      <c r="L34" s="327"/>
      <c r="M34" s="327"/>
      <c r="N34" s="327"/>
      <c r="O34" s="327"/>
      <c r="P34" s="327"/>
      <c r="Q34" s="327"/>
      <c r="R34" s="327"/>
      <c r="S34" s="327"/>
      <c r="T34" s="327"/>
      <c r="U34" s="327"/>
    </row>
    <row r="35" spans="2:21" ht="26.25" customHeight="1" x14ac:dyDescent="0.2">
      <c r="B35" s="327"/>
      <c r="C35" s="328"/>
      <c r="D35" s="327"/>
      <c r="E35" s="327"/>
      <c r="F35" s="327"/>
      <c r="G35" s="327"/>
      <c r="H35" s="327"/>
      <c r="I35" s="327"/>
      <c r="J35" s="327"/>
      <c r="K35" s="327"/>
      <c r="L35" s="327"/>
      <c r="M35" s="327"/>
      <c r="N35" s="327"/>
      <c r="O35" s="327"/>
      <c r="P35" s="327"/>
      <c r="Q35" s="327"/>
      <c r="R35" s="327"/>
      <c r="S35" s="327"/>
      <c r="T35" s="327"/>
      <c r="U35" s="327"/>
    </row>
    <row r="36" spans="2:21" ht="26.25" customHeight="1" x14ac:dyDescent="0.2">
      <c r="B36" s="327"/>
      <c r="C36" s="328"/>
      <c r="D36" s="327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</row>
    <row r="37" spans="2:21" ht="26.25" customHeight="1" x14ac:dyDescent="0.2">
      <c r="B37" s="327"/>
      <c r="C37" s="328"/>
      <c r="D37" s="327"/>
      <c r="E37" s="327"/>
      <c r="F37" s="327"/>
      <c r="G37" s="327"/>
      <c r="H37" s="327"/>
      <c r="I37" s="327"/>
      <c r="J37" s="327"/>
      <c r="K37" s="327"/>
      <c r="L37" s="327"/>
      <c r="M37" s="327"/>
      <c r="N37" s="327"/>
      <c r="O37" s="327"/>
      <c r="P37" s="327"/>
      <c r="Q37" s="327"/>
      <c r="R37" s="327"/>
      <c r="S37" s="327"/>
      <c r="T37" s="327"/>
      <c r="U37" s="327"/>
    </row>
    <row r="38" spans="2:21" ht="26.25" customHeight="1" x14ac:dyDescent="0.2">
      <c r="B38" s="327"/>
      <c r="C38" s="328"/>
      <c r="D38" s="327"/>
      <c r="E38" s="327"/>
      <c r="F38" s="327"/>
      <c r="G38" s="327"/>
      <c r="H38" s="327"/>
      <c r="I38" s="327"/>
      <c r="J38" s="327"/>
      <c r="K38" s="327"/>
      <c r="L38" s="327"/>
      <c r="M38" s="327"/>
      <c r="N38" s="327"/>
      <c r="O38" s="327"/>
      <c r="P38" s="327"/>
      <c r="Q38" s="327"/>
      <c r="R38" s="327"/>
      <c r="S38" s="327"/>
      <c r="T38" s="327"/>
      <c r="U38" s="327"/>
    </row>
    <row r="39" spans="2:21" ht="26.25" customHeight="1" x14ac:dyDescent="0.2">
      <c r="B39" s="327"/>
      <c r="C39" s="328"/>
      <c r="D39" s="327"/>
      <c r="E39" s="327"/>
      <c r="F39" s="327"/>
      <c r="G39" s="327"/>
      <c r="H39" s="327"/>
      <c r="I39" s="327"/>
      <c r="J39" s="327"/>
      <c r="K39" s="327"/>
      <c r="L39" s="327"/>
      <c r="M39" s="327"/>
      <c r="N39" s="327"/>
      <c r="O39" s="327"/>
      <c r="P39" s="327"/>
      <c r="Q39" s="327"/>
      <c r="R39" s="327"/>
      <c r="S39" s="327"/>
      <c r="T39" s="327"/>
      <c r="U39" s="327"/>
    </row>
    <row r="40" spans="2:21" ht="26.25" customHeight="1" x14ac:dyDescent="0.2">
      <c r="B40" s="327"/>
      <c r="C40" s="328"/>
      <c r="D40" s="327"/>
      <c r="E40" s="327"/>
      <c r="F40" s="327"/>
      <c r="G40" s="327"/>
      <c r="H40" s="327"/>
      <c r="I40" s="327"/>
      <c r="J40" s="327"/>
      <c r="K40" s="327"/>
      <c r="L40" s="327"/>
      <c r="M40" s="327"/>
      <c r="N40" s="327"/>
      <c r="O40" s="327"/>
      <c r="P40" s="327"/>
      <c r="Q40" s="327"/>
      <c r="R40" s="327"/>
      <c r="S40" s="327"/>
      <c r="T40" s="327"/>
      <c r="U40" s="327"/>
    </row>
    <row r="41" spans="2:21" ht="26.25" customHeight="1" x14ac:dyDescent="0.2">
      <c r="B41" s="327"/>
      <c r="C41" s="328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327"/>
      <c r="R41" s="327"/>
      <c r="S41" s="327"/>
      <c r="T41" s="327"/>
      <c r="U41" s="327"/>
    </row>
    <row r="42" spans="2:21" ht="26.25" customHeight="1" x14ac:dyDescent="0.2">
      <c r="B42" s="327"/>
      <c r="C42" s="328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327"/>
      <c r="R42" s="327"/>
      <c r="S42" s="327"/>
      <c r="T42" s="327"/>
      <c r="U42" s="327"/>
    </row>
    <row r="43" spans="2:21" x14ac:dyDescent="0.2">
      <c r="B43" s="329" t="s">
        <v>285</v>
      </c>
      <c r="C43" s="324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4"/>
  </cols>
  <sheetData>
    <row r="1" spans="1:21" x14ac:dyDescent="0.2">
      <c r="A1" s="363"/>
      <c r="D1" s="170"/>
      <c r="F1" s="170"/>
      <c r="H1" s="170"/>
      <c r="J1" s="170"/>
      <c r="L1" s="170"/>
      <c r="N1" s="170"/>
      <c r="P1" s="170"/>
      <c r="R1" s="170"/>
    </row>
    <row r="2" spans="1:21" x14ac:dyDescent="0.2">
      <c r="A2" s="170"/>
      <c r="D2" s="170"/>
      <c r="F2" s="170"/>
      <c r="H2" s="170"/>
      <c r="L2" s="170"/>
    </row>
    <row r="3" spans="1:21" x14ac:dyDescent="0.2">
      <c r="A3" s="170" t="s">
        <v>675</v>
      </c>
      <c r="B3" s="154" t="s">
        <v>676</v>
      </c>
      <c r="D3" s="154" t="s">
        <v>679</v>
      </c>
      <c r="F3" s="154" t="s">
        <v>680</v>
      </c>
      <c r="H3" s="154" t="s">
        <v>681</v>
      </c>
      <c r="J3" s="154" t="s">
        <v>146</v>
      </c>
      <c r="L3" s="170" t="s">
        <v>682</v>
      </c>
      <c r="N3" s="154" t="s">
        <v>683</v>
      </c>
      <c r="P3" s="154" t="s">
        <v>684</v>
      </c>
      <c r="R3" s="154" t="s">
        <v>685</v>
      </c>
    </row>
    <row r="4" spans="1:21" x14ac:dyDescent="0.2">
      <c r="B4" s="154" t="str">
        <f>IF(C4,"A","")</f>
        <v/>
      </c>
      <c r="C4" s="478" t="b">
        <v>0</v>
      </c>
      <c r="D4" s="154" t="str">
        <f>IF(E4,"A","")</f>
        <v/>
      </c>
      <c r="E4" s="478" t="b">
        <v>0</v>
      </c>
      <c r="F4" s="154" t="str">
        <f>IF(G4,"A","")</f>
        <v/>
      </c>
      <c r="G4" s="478" t="b">
        <v>0</v>
      </c>
      <c r="H4" s="154" t="str">
        <f>IF(I4,"A","")</f>
        <v/>
      </c>
      <c r="I4" s="478" t="b">
        <v>0</v>
      </c>
      <c r="J4" s="154" t="str">
        <f>IF(K4,"A","")</f>
        <v/>
      </c>
      <c r="K4" s="478" t="b">
        <v>0</v>
      </c>
      <c r="L4" s="154" t="str">
        <f>IF(M4,"A","")</f>
        <v/>
      </c>
      <c r="M4" s="478" t="b">
        <v>0</v>
      </c>
      <c r="N4" s="154" t="str">
        <f>IF(O4,"A","")</f>
        <v/>
      </c>
      <c r="O4" s="478" t="b">
        <v>0</v>
      </c>
      <c r="P4" s="154" t="str">
        <f>IF(Q4,"A","")</f>
        <v/>
      </c>
      <c r="Q4" s="478" t="b">
        <v>0</v>
      </c>
      <c r="R4" s="154" t="str">
        <f>IF(S4,"A","")</f>
        <v/>
      </c>
      <c r="S4" s="478" t="b">
        <v>0</v>
      </c>
      <c r="U4" s="204"/>
    </row>
    <row r="5" spans="1:21" x14ac:dyDescent="0.2">
      <c r="B5" s="154" t="str">
        <f>IF(C5,"Na K","")</f>
        <v/>
      </c>
      <c r="C5" s="478" t="b">
        <v>0</v>
      </c>
      <c r="D5" s="154" t="str">
        <f>IF(E5,"Na K","")</f>
        <v/>
      </c>
      <c r="E5" s="478" t="b">
        <v>0</v>
      </c>
      <c r="F5" s="154" t="str">
        <f>IF(G5,"Na K","")</f>
        <v/>
      </c>
      <c r="G5" s="478" t="b">
        <v>0</v>
      </c>
      <c r="H5" s="154" t="str">
        <f>IF(I5,"Na K","")</f>
        <v/>
      </c>
      <c r="I5" s="478" t="b">
        <v>0</v>
      </c>
      <c r="J5" s="154" t="str">
        <f>IF(K5,"Na K","")</f>
        <v/>
      </c>
      <c r="K5" s="478" t="b">
        <v>0</v>
      </c>
      <c r="L5" s="154" t="str">
        <f>IF(M5,"Na K","")</f>
        <v/>
      </c>
      <c r="M5" s="478" t="b">
        <v>0</v>
      </c>
      <c r="N5" s="154" t="str">
        <f>IF(O5,"Na K","")</f>
        <v/>
      </c>
      <c r="O5" s="478" t="b">
        <v>0</v>
      </c>
      <c r="P5" s="154" t="str">
        <f>IF(Q5,"Na K","")</f>
        <v/>
      </c>
      <c r="Q5" s="478" t="b">
        <v>0</v>
      </c>
      <c r="R5" s="154" t="str">
        <f>IF(S5,"Na K","")</f>
        <v/>
      </c>
      <c r="S5" s="478" t="b">
        <v>0</v>
      </c>
      <c r="U5" s="204"/>
    </row>
    <row r="6" spans="1:21" x14ac:dyDescent="0.2">
      <c r="A6" s="350"/>
      <c r="B6" s="154" t="str">
        <f>IF(C6,"Cl","")</f>
        <v/>
      </c>
      <c r="C6" s="478" t="b">
        <v>0</v>
      </c>
      <c r="D6" s="154" t="str">
        <f>IF(E6,"Cl","")</f>
        <v/>
      </c>
      <c r="E6" s="478" t="b">
        <v>0</v>
      </c>
      <c r="F6" s="154" t="str">
        <f>IF(G6,"Cl","")</f>
        <v/>
      </c>
      <c r="G6" s="478" t="b">
        <v>0</v>
      </c>
      <c r="H6" s="154" t="str">
        <f>IF(I6,"Cl","")</f>
        <v/>
      </c>
      <c r="I6" s="478" t="b">
        <v>0</v>
      </c>
      <c r="J6" s="154" t="str">
        <f>IF(K6,"Cl","")</f>
        <v/>
      </c>
      <c r="K6" s="478" t="b">
        <v>0</v>
      </c>
      <c r="L6" s="154" t="str">
        <f>IF(M6,"Cl","")</f>
        <v/>
      </c>
      <c r="M6" s="478" t="b">
        <v>0</v>
      </c>
      <c r="N6" s="154" t="str">
        <f>IF(O6,"Cl","")</f>
        <v/>
      </c>
      <c r="O6" s="478" t="b">
        <v>0</v>
      </c>
      <c r="P6" s="154" t="str">
        <f>IF(Q6,"Cl","")</f>
        <v/>
      </c>
      <c r="Q6" s="478" t="b">
        <v>0</v>
      </c>
      <c r="R6" s="154" t="str">
        <f>IF(S6,"Cl","")</f>
        <v/>
      </c>
      <c r="S6" s="478" t="b">
        <v>0</v>
      </c>
      <c r="U6" s="204"/>
    </row>
    <row r="7" spans="1:21" x14ac:dyDescent="0.2">
      <c r="B7" s="154" t="str">
        <f>IF(C7,"Gluc","")</f>
        <v/>
      </c>
      <c r="C7" s="478" t="b">
        <v>0</v>
      </c>
      <c r="D7" s="154" t="str">
        <f>IF(E7,"Gluc","")</f>
        <v/>
      </c>
      <c r="E7" s="478" t="b">
        <v>0</v>
      </c>
      <c r="F7" s="154" t="str">
        <f>IF(G7,"Gluc","")</f>
        <v/>
      </c>
      <c r="G7" s="478" t="b">
        <v>0</v>
      </c>
      <c r="H7" s="154" t="str">
        <f>IF(I7,"Gluc","")</f>
        <v/>
      </c>
      <c r="I7" s="478" t="b">
        <v>0</v>
      </c>
      <c r="J7" s="154" t="str">
        <f>IF(K7,"Gluc","")</f>
        <v/>
      </c>
      <c r="K7" s="478" t="b">
        <v>0</v>
      </c>
      <c r="L7" s="154" t="str">
        <f>IF(M7,"Gluc","")</f>
        <v/>
      </c>
      <c r="M7" s="478" t="b">
        <v>0</v>
      </c>
      <c r="N7" s="154" t="str">
        <f>IF(O7,"Gluc","")</f>
        <v/>
      </c>
      <c r="O7" s="478" t="b">
        <v>0</v>
      </c>
      <c r="P7" s="154" t="str">
        <f>IF(Q7,"Gluc","")</f>
        <v/>
      </c>
      <c r="Q7" s="478" t="b">
        <v>0</v>
      </c>
      <c r="R7" s="154" t="str">
        <f>IF(S7,"Gluc","")</f>
        <v/>
      </c>
      <c r="S7" s="478" t="b">
        <v>0</v>
      </c>
      <c r="U7" s="204"/>
    </row>
    <row r="8" spans="1:21" x14ac:dyDescent="0.2">
      <c r="B8" s="154" t="str">
        <f>IF(C8,"Hb Ht","")</f>
        <v/>
      </c>
      <c r="C8" s="478" t="b">
        <v>0</v>
      </c>
      <c r="D8" s="154" t="str">
        <f>IF(E8,"Hb Ht","")</f>
        <v/>
      </c>
      <c r="E8" s="478" t="b">
        <v>0</v>
      </c>
      <c r="F8" s="154" t="str">
        <f>IF(G8,"Hb Ht","")</f>
        <v/>
      </c>
      <c r="G8" s="478" t="b">
        <v>0</v>
      </c>
      <c r="H8" s="154" t="str">
        <f>IF(I8,"Hb Ht","")</f>
        <v/>
      </c>
      <c r="I8" s="478" t="b">
        <v>0</v>
      </c>
      <c r="J8" s="154" t="str">
        <f>IF(K8,"Hb Ht","")</f>
        <v/>
      </c>
      <c r="K8" s="478" t="b">
        <v>0</v>
      </c>
      <c r="L8" s="154" t="str">
        <f>IF(M8,"Hb Ht","")</f>
        <v/>
      </c>
      <c r="M8" s="478" t="b">
        <v>0</v>
      </c>
      <c r="N8" s="154" t="str">
        <f>IF(O8,"Hb Ht","")</f>
        <v/>
      </c>
      <c r="O8" s="478" t="b">
        <v>0</v>
      </c>
      <c r="P8" s="154" t="str">
        <f>IF(Q8,"Hb Ht","")</f>
        <v/>
      </c>
      <c r="Q8" s="478" t="b">
        <v>0</v>
      </c>
      <c r="R8" s="154" t="str">
        <f>IF(S8,"Hb Ht","")</f>
        <v/>
      </c>
      <c r="S8" s="478" t="b">
        <v>0</v>
      </c>
      <c r="U8" s="204"/>
    </row>
    <row r="9" spans="1:21" x14ac:dyDescent="0.2">
      <c r="B9" s="154" t="str">
        <f>IF(C9,"L","")</f>
        <v/>
      </c>
      <c r="C9" s="478" t="b">
        <v>0</v>
      </c>
      <c r="D9" s="154" t="str">
        <f>IF(E9,"L","")</f>
        <v/>
      </c>
      <c r="E9" s="478" t="b">
        <v>0</v>
      </c>
      <c r="F9" s="154" t="str">
        <f>IF(G9,"L","")</f>
        <v/>
      </c>
      <c r="G9" s="478" t="b">
        <v>0</v>
      </c>
      <c r="H9" s="154" t="str">
        <f>IF(I9,"L","")</f>
        <v/>
      </c>
      <c r="I9" s="478" t="b">
        <v>0</v>
      </c>
      <c r="J9" s="154" t="str">
        <f>IF(K9,"L","")</f>
        <v/>
      </c>
      <c r="K9" s="478" t="b">
        <v>0</v>
      </c>
      <c r="L9" s="154" t="str">
        <f>IF(M9,"L","")</f>
        <v/>
      </c>
      <c r="M9" s="478" t="b">
        <v>0</v>
      </c>
      <c r="N9" s="154" t="str">
        <f>IF(O9,"L","")</f>
        <v/>
      </c>
      <c r="O9" s="478" t="b">
        <v>0</v>
      </c>
      <c r="P9" s="154" t="str">
        <f>IF(Q9,"L","")</f>
        <v/>
      </c>
      <c r="Q9" s="478" t="b">
        <v>0</v>
      </c>
      <c r="R9" s="154" t="str">
        <f>IF(S9,"L","")</f>
        <v/>
      </c>
      <c r="S9" s="478" t="b">
        <v>0</v>
      </c>
      <c r="U9" s="204"/>
    </row>
    <row r="10" spans="1:21" x14ac:dyDescent="0.2">
      <c r="B10" s="154" t="str">
        <f>IF(C10,"L+diff","")</f>
        <v/>
      </c>
      <c r="C10" s="478" t="b">
        <v>0</v>
      </c>
      <c r="D10" s="154" t="str">
        <f>IF(E10,"L+diff","")</f>
        <v/>
      </c>
      <c r="E10" s="478" t="b">
        <v>0</v>
      </c>
      <c r="F10" s="154" t="str">
        <f>IF(G10,"L+diff","")</f>
        <v/>
      </c>
      <c r="G10" s="478" t="b">
        <v>0</v>
      </c>
      <c r="H10" s="154" t="str">
        <f>IF(I10,"L+diff","")</f>
        <v/>
      </c>
      <c r="I10" s="478" t="b">
        <v>0</v>
      </c>
      <c r="J10" s="154" t="str">
        <f>IF(K10,"L+diff","")</f>
        <v/>
      </c>
      <c r="K10" s="478" t="b">
        <v>0</v>
      </c>
      <c r="L10" s="154" t="str">
        <f>IF(M10,"L+diff","")</f>
        <v/>
      </c>
      <c r="M10" s="478" t="b">
        <v>0</v>
      </c>
      <c r="N10" s="154" t="str">
        <f>IF(O10,"L+diff","")</f>
        <v/>
      </c>
      <c r="O10" s="478" t="b">
        <v>0</v>
      </c>
      <c r="P10" s="154" t="str">
        <f>IF(Q10,"L+diff","")</f>
        <v/>
      </c>
      <c r="Q10" s="478" t="b">
        <v>0</v>
      </c>
      <c r="R10" s="154" t="str">
        <f>IF(S10,"L+diff","")</f>
        <v/>
      </c>
      <c r="S10" s="478" t="b">
        <v>0</v>
      </c>
      <c r="U10" s="204"/>
    </row>
    <row r="11" spans="1:21" x14ac:dyDescent="0.2">
      <c r="B11" s="154" t="str">
        <f>IF(C11,"T","")</f>
        <v/>
      </c>
      <c r="C11" s="478" t="b">
        <v>0</v>
      </c>
      <c r="D11" s="154" t="str">
        <f>IF(E11,"T","")</f>
        <v/>
      </c>
      <c r="E11" s="478" t="b">
        <v>0</v>
      </c>
      <c r="F11" s="154" t="str">
        <f>IF(G11,"T","")</f>
        <v/>
      </c>
      <c r="G11" s="478" t="b">
        <v>0</v>
      </c>
      <c r="H11" s="154" t="str">
        <f>IF(I11,"T","")</f>
        <v/>
      </c>
      <c r="I11" s="478" t="b">
        <v>0</v>
      </c>
      <c r="J11" s="154" t="str">
        <f>IF(K11,"T","")</f>
        <v/>
      </c>
      <c r="K11" s="478" t="b">
        <v>0</v>
      </c>
      <c r="L11" s="154" t="str">
        <f>IF(M11,"T","")</f>
        <v/>
      </c>
      <c r="M11" s="478" t="b">
        <v>0</v>
      </c>
      <c r="N11" s="154" t="str">
        <f>IF(O11,"T","")</f>
        <v/>
      </c>
      <c r="O11" s="478" t="b">
        <v>0</v>
      </c>
      <c r="P11" s="154" t="str">
        <f>IF(Q11,"T","")</f>
        <v/>
      </c>
      <c r="Q11" s="478" t="b">
        <v>0</v>
      </c>
      <c r="R11" s="154" t="str">
        <f>IF(S11,"T","")</f>
        <v/>
      </c>
      <c r="S11" s="478" t="b">
        <v>0</v>
      </c>
      <c r="U11" s="204"/>
    </row>
    <row r="12" spans="1:21" x14ac:dyDescent="0.2">
      <c r="B12" s="154" t="str">
        <f>IF(C12,"CRP","")</f>
        <v/>
      </c>
      <c r="C12" s="478" t="b">
        <v>0</v>
      </c>
      <c r="D12" s="154" t="str">
        <f>IF(E12,"CRP","")</f>
        <v/>
      </c>
      <c r="E12" s="478" t="b">
        <v>0</v>
      </c>
      <c r="F12" s="154" t="str">
        <f>IF(G12,"CRP","")</f>
        <v/>
      </c>
      <c r="G12" s="478" t="b">
        <v>0</v>
      </c>
      <c r="H12" s="154" t="str">
        <f>IF(I12,"CRP","")</f>
        <v/>
      </c>
      <c r="I12" s="478" t="b">
        <v>0</v>
      </c>
      <c r="J12" s="154" t="str">
        <f>IF(K12,"CRP","")</f>
        <v/>
      </c>
      <c r="K12" s="478" t="b">
        <v>0</v>
      </c>
      <c r="L12" s="154" t="str">
        <f>IF(M12,"CRP","")</f>
        <v/>
      </c>
      <c r="M12" s="478" t="b">
        <v>0</v>
      </c>
      <c r="N12" s="154" t="str">
        <f>IF(O12,"CRP","")</f>
        <v/>
      </c>
      <c r="O12" s="478" t="b">
        <v>0</v>
      </c>
      <c r="P12" s="154" t="str">
        <f>IF(Q12,"CRP","")</f>
        <v/>
      </c>
      <c r="Q12" s="478" t="b">
        <v>0</v>
      </c>
      <c r="R12" s="154" t="str">
        <f>IF(S12,"CRP","")</f>
        <v/>
      </c>
      <c r="S12" s="478" t="b">
        <v>0</v>
      </c>
      <c r="U12" s="204"/>
    </row>
    <row r="13" spans="1:21" x14ac:dyDescent="0.2">
      <c r="B13" s="154" t="str">
        <f>IF(C13,"Lac","")</f>
        <v/>
      </c>
      <c r="C13" s="478" t="b">
        <v>0</v>
      </c>
      <c r="D13" s="154" t="str">
        <f>IF(E13,"Lac","")</f>
        <v/>
      </c>
      <c r="E13" s="478" t="b">
        <v>0</v>
      </c>
      <c r="F13" s="154" t="str">
        <f>IF(G13,"Lac","")</f>
        <v/>
      </c>
      <c r="G13" s="478" t="b">
        <v>0</v>
      </c>
      <c r="H13" s="154" t="str">
        <f>IF(I13,"Lac","")</f>
        <v/>
      </c>
      <c r="I13" s="478" t="b">
        <v>0</v>
      </c>
      <c r="J13" s="154" t="str">
        <f>IF(K13,"Lac","")</f>
        <v/>
      </c>
      <c r="K13" s="478" t="b">
        <v>0</v>
      </c>
      <c r="L13" s="154" t="str">
        <f>IF(M13,"Lac","")</f>
        <v/>
      </c>
      <c r="M13" s="478" t="b">
        <v>0</v>
      </c>
      <c r="N13" s="154" t="str">
        <f>IF(O13,"Lac","")</f>
        <v/>
      </c>
      <c r="O13" s="478" t="b">
        <v>0</v>
      </c>
      <c r="P13" s="154" t="str">
        <f>IF(Q13,"Lac","")</f>
        <v/>
      </c>
      <c r="Q13" s="478" t="b">
        <v>0</v>
      </c>
      <c r="R13" s="154" t="str">
        <f>IF(S13,"Lac","")</f>
        <v/>
      </c>
      <c r="S13" s="478" t="b">
        <v>0</v>
      </c>
      <c r="U13" s="204"/>
    </row>
    <row r="14" spans="1:21" x14ac:dyDescent="0.2">
      <c r="B14" s="154" t="str">
        <f>IF(C14,"Ur","")</f>
        <v/>
      </c>
      <c r="C14" s="478" t="b">
        <v>0</v>
      </c>
      <c r="D14" s="154" t="str">
        <f>IF(E14,"Ur","")</f>
        <v/>
      </c>
      <c r="E14" s="478" t="b">
        <v>0</v>
      </c>
      <c r="F14" s="154" t="str">
        <f>IF(G14,"Ur","")</f>
        <v/>
      </c>
      <c r="G14" s="478" t="b">
        <v>0</v>
      </c>
      <c r="H14" s="154" t="str">
        <f>IF(I14,"Ur","")</f>
        <v/>
      </c>
      <c r="I14" s="478" t="b">
        <v>0</v>
      </c>
      <c r="J14" s="154" t="str">
        <f>IF(K14,"Ur","")</f>
        <v/>
      </c>
      <c r="K14" s="478" t="b">
        <v>0</v>
      </c>
      <c r="L14" s="154" t="str">
        <f>IF(M14,"Ur","")</f>
        <v/>
      </c>
      <c r="M14" s="478" t="b">
        <v>0</v>
      </c>
      <c r="N14" s="154" t="str">
        <f>IF(O14,"Ur","")</f>
        <v/>
      </c>
      <c r="O14" s="478" t="b">
        <v>0</v>
      </c>
      <c r="P14" s="154" t="str">
        <f>IF(Q14,"Ur","")</f>
        <v/>
      </c>
      <c r="Q14" s="478" t="b">
        <v>0</v>
      </c>
      <c r="R14" s="154" t="str">
        <f>IF(S14,"Ur","")</f>
        <v/>
      </c>
      <c r="S14" s="478" t="b">
        <v>0</v>
      </c>
      <c r="U14" s="204"/>
    </row>
    <row r="15" spans="1:21" x14ac:dyDescent="0.2">
      <c r="B15" s="154" t="str">
        <f>IF(C15,"Kr","")</f>
        <v/>
      </c>
      <c r="C15" s="478" t="b">
        <v>0</v>
      </c>
      <c r="D15" s="154" t="str">
        <f>IF(E15,"Kr++","")</f>
        <v/>
      </c>
      <c r="E15" s="478" t="b">
        <v>0</v>
      </c>
      <c r="F15" s="154" t="str">
        <f>IF(G15,"Kr","")</f>
        <v/>
      </c>
      <c r="G15" s="478" t="b">
        <v>0</v>
      </c>
      <c r="H15" s="154" t="str">
        <f>IF(I15,"Kr","")</f>
        <v/>
      </c>
      <c r="I15" s="478" t="b">
        <v>0</v>
      </c>
      <c r="J15" s="154" t="str">
        <f>IF(K15,"Kr","")</f>
        <v/>
      </c>
      <c r="K15" s="478" t="b">
        <v>0</v>
      </c>
      <c r="L15" s="154" t="str">
        <f>IF(M15,"Kr","")</f>
        <v/>
      </c>
      <c r="M15" s="478" t="b">
        <v>0</v>
      </c>
      <c r="N15" s="154" t="str">
        <f>IF(O15,"Kr","")</f>
        <v/>
      </c>
      <c r="O15" s="478" t="b">
        <v>0</v>
      </c>
      <c r="P15" s="154" t="str">
        <f>IF(Q15,"Kr","")</f>
        <v/>
      </c>
      <c r="Q15" s="478" t="b">
        <v>0</v>
      </c>
      <c r="R15" s="154" t="str">
        <f>IF(S15,"Kr","")</f>
        <v/>
      </c>
      <c r="S15" s="478" t="b">
        <v>0</v>
      </c>
      <c r="U15" s="204"/>
    </row>
    <row r="16" spans="1:21" x14ac:dyDescent="0.2">
      <c r="B16" s="154" t="str">
        <f>IF(C16,"Ca++","")</f>
        <v/>
      </c>
      <c r="C16" s="478" t="b">
        <v>0</v>
      </c>
      <c r="D16" s="154" t="str">
        <f>IF(E16,"Ca++","")</f>
        <v/>
      </c>
      <c r="E16" s="478" t="b">
        <v>0</v>
      </c>
      <c r="F16" s="154" t="str">
        <f>IF(G16,"Ca++","")</f>
        <v/>
      </c>
      <c r="G16" s="478" t="b">
        <v>0</v>
      </c>
      <c r="H16" s="154" t="str">
        <f>IF(I16,"Ca++","")</f>
        <v/>
      </c>
      <c r="I16" s="478" t="b">
        <v>0</v>
      </c>
      <c r="J16" s="154" t="str">
        <f>IF(K16,"Ca++","")</f>
        <v/>
      </c>
      <c r="K16" s="478" t="b">
        <v>0</v>
      </c>
      <c r="L16" s="154" t="str">
        <f>IF(M16,"Ca++","")</f>
        <v/>
      </c>
      <c r="M16" s="478" t="b">
        <v>0</v>
      </c>
      <c r="N16" s="154" t="str">
        <f>IF(O16,"Ca++","")</f>
        <v/>
      </c>
      <c r="O16" s="478" t="b">
        <v>0</v>
      </c>
      <c r="P16" s="154" t="str">
        <f>IF(Q16,"Ca++","")</f>
        <v/>
      </c>
      <c r="Q16" s="478" t="b">
        <v>0</v>
      </c>
      <c r="R16" s="154" t="str">
        <f>IF(S16,"Ca++","")</f>
        <v/>
      </c>
      <c r="S16" s="478" t="b">
        <v>0</v>
      </c>
      <c r="U16" s="204"/>
    </row>
    <row r="17" spans="2:21" x14ac:dyDescent="0.2">
      <c r="B17" s="154" t="str">
        <f>IF(C17,"Mg++","")</f>
        <v/>
      </c>
      <c r="C17" s="478" t="b">
        <v>0</v>
      </c>
      <c r="D17" s="154" t="str">
        <f>IF(E17,"Mg++","")</f>
        <v/>
      </c>
      <c r="E17" s="478" t="b">
        <v>0</v>
      </c>
      <c r="F17" s="154" t="str">
        <f>IF(G17,"Mg++","")</f>
        <v/>
      </c>
      <c r="G17" s="478" t="b">
        <v>0</v>
      </c>
      <c r="H17" s="154" t="str">
        <f>IF(I17,"Mg++","")</f>
        <v/>
      </c>
      <c r="I17" s="478" t="b">
        <v>0</v>
      </c>
      <c r="J17" s="154" t="str">
        <f>IF(K17,"Mg++","")</f>
        <v/>
      </c>
      <c r="K17" s="478" t="b">
        <v>0</v>
      </c>
      <c r="L17" s="154" t="str">
        <f>IF(M17,"Mg++","")</f>
        <v/>
      </c>
      <c r="M17" s="478" t="b">
        <v>0</v>
      </c>
      <c r="N17" s="154" t="str">
        <f>IF(O17,"Mg++","")</f>
        <v/>
      </c>
      <c r="O17" s="478" t="b">
        <v>0</v>
      </c>
      <c r="P17" s="154" t="str">
        <f>IF(Q17,"Mg++","")</f>
        <v/>
      </c>
      <c r="Q17" s="478" t="b">
        <v>0</v>
      </c>
      <c r="R17" s="154" t="str">
        <f>IF(S17,"Mg++","")</f>
        <v/>
      </c>
      <c r="S17" s="478" t="b">
        <v>0</v>
      </c>
      <c r="U17" s="204"/>
    </row>
    <row r="18" spans="2:21" x14ac:dyDescent="0.2">
      <c r="B18" s="154" t="str">
        <f>IF(C18,"Fosfaat","")</f>
        <v/>
      </c>
      <c r="C18" s="478" t="b">
        <v>0</v>
      </c>
      <c r="D18" s="154" t="str">
        <f>IF(E18,"Fosfaat","")</f>
        <v/>
      </c>
      <c r="E18" s="478" t="b">
        <v>0</v>
      </c>
      <c r="F18" s="154" t="str">
        <f>IF(G18,"Fosfaat","")</f>
        <v/>
      </c>
      <c r="G18" s="478" t="b">
        <v>0</v>
      </c>
      <c r="H18" s="154" t="str">
        <f>IF(I18,"Fosfaat","")</f>
        <v/>
      </c>
      <c r="I18" s="478" t="b">
        <v>0</v>
      </c>
      <c r="J18" s="154" t="str">
        <f>IF(K18,"Fosfaat","")</f>
        <v/>
      </c>
      <c r="K18" s="478" t="b">
        <v>0</v>
      </c>
      <c r="L18" s="154" t="str">
        <f>IF(M18,"Fosfaat","")</f>
        <v/>
      </c>
      <c r="M18" s="478" t="b">
        <v>0</v>
      </c>
      <c r="N18" s="154" t="str">
        <f>IF(O18,"Fosfaat","")</f>
        <v/>
      </c>
      <c r="O18" s="478" t="b">
        <v>0</v>
      </c>
      <c r="P18" s="154" t="str">
        <f>IF(Q18,"Fosfaat","")</f>
        <v/>
      </c>
      <c r="Q18" s="478" t="b">
        <v>0</v>
      </c>
      <c r="R18" s="154" t="str">
        <f>IF(S18,"Fosfaat","")</f>
        <v/>
      </c>
      <c r="S18" s="478" t="b">
        <v>0</v>
      </c>
      <c r="U18" s="204"/>
    </row>
    <row r="19" spans="2:21" x14ac:dyDescent="0.2">
      <c r="B19" s="154" t="str">
        <f>IF(C19,"Alb","")</f>
        <v/>
      </c>
      <c r="C19" s="478" t="b">
        <v>0</v>
      </c>
      <c r="D19" s="154" t="str">
        <f>IF(E19,"Alb","")</f>
        <v/>
      </c>
      <c r="E19" s="478" t="b">
        <v>0</v>
      </c>
      <c r="F19" s="154" t="str">
        <f>IF(G19,"Alb","")</f>
        <v/>
      </c>
      <c r="G19" s="478" t="b">
        <v>0</v>
      </c>
      <c r="H19" s="154" t="str">
        <f>IF(I19,"Alb","")</f>
        <v/>
      </c>
      <c r="I19" s="478" t="b">
        <v>0</v>
      </c>
      <c r="J19" s="154" t="str">
        <f>IF(K19,"Alb","")</f>
        <v/>
      </c>
      <c r="K19" s="478" t="b">
        <v>0</v>
      </c>
      <c r="L19" s="154" t="str">
        <f>IF(M19,"Alb","")</f>
        <v/>
      </c>
      <c r="M19" s="478" t="b">
        <v>0</v>
      </c>
      <c r="N19" s="154" t="str">
        <f>IF(O19,"Alb","")</f>
        <v/>
      </c>
      <c r="O19" s="478" t="b">
        <v>0</v>
      </c>
      <c r="P19" s="154" t="str">
        <f>IF(Q19,"Alb","")</f>
        <v/>
      </c>
      <c r="Q19" s="478" t="b">
        <v>0</v>
      </c>
      <c r="R19" s="154" t="str">
        <f>IF(S19,"Alb","")</f>
        <v/>
      </c>
      <c r="S19" s="478" t="b">
        <v>0</v>
      </c>
      <c r="U19" s="204"/>
    </row>
    <row r="20" spans="2:21" x14ac:dyDescent="0.2">
      <c r="B20" s="154" t="str">
        <f>IF(C20,"Ca","")</f>
        <v/>
      </c>
      <c r="C20" s="478" t="b">
        <v>0</v>
      </c>
      <c r="D20" s="154" t="str">
        <f>IF(E20,"Ca","")</f>
        <v/>
      </c>
      <c r="E20" s="478" t="b">
        <v>0</v>
      </c>
      <c r="F20" s="154" t="str">
        <f>IF(G20,"Ca","")</f>
        <v/>
      </c>
      <c r="G20" s="478" t="b">
        <v>0</v>
      </c>
      <c r="H20" s="154" t="str">
        <f>IF(I20,"Ca","")</f>
        <v/>
      </c>
      <c r="I20" s="478" t="b">
        <v>0</v>
      </c>
      <c r="J20" s="154" t="str">
        <f>IF(K20,"Ca","")</f>
        <v/>
      </c>
      <c r="K20" s="478" t="b">
        <v>0</v>
      </c>
      <c r="L20" s="154" t="str">
        <f>IF(M20,"Ca","")</f>
        <v/>
      </c>
      <c r="M20" s="478" t="b">
        <v>0</v>
      </c>
      <c r="N20" s="154" t="str">
        <f>IF(O20,"Ca","")</f>
        <v/>
      </c>
      <c r="O20" s="478" t="b">
        <v>0</v>
      </c>
      <c r="P20" s="154" t="str">
        <f>IF(Q20,"Ca","")</f>
        <v/>
      </c>
      <c r="Q20" s="478" t="b">
        <v>0</v>
      </c>
      <c r="R20" s="154" t="str">
        <f>IF(S20,"Ca","")</f>
        <v/>
      </c>
      <c r="S20" s="478" t="b">
        <v>0</v>
      </c>
      <c r="U20" s="204"/>
    </row>
    <row r="21" spans="2:21" x14ac:dyDescent="0.2">
      <c r="B21" s="154" t="str">
        <f>IF(C21,"ASAT","")</f>
        <v/>
      </c>
      <c r="C21" s="478" t="b">
        <v>0</v>
      </c>
      <c r="D21" s="154" t="str">
        <f>IF(E21,"ASAT","")</f>
        <v/>
      </c>
      <c r="E21" s="478" t="b">
        <v>0</v>
      </c>
      <c r="F21" s="154" t="str">
        <f>IF(G21,"ASAT","")</f>
        <v/>
      </c>
      <c r="G21" s="478" t="b">
        <v>0</v>
      </c>
      <c r="H21" s="154" t="str">
        <f>IF(I21,"ASAT","")</f>
        <v/>
      </c>
      <c r="I21" s="478" t="b">
        <v>0</v>
      </c>
      <c r="J21" s="154" t="str">
        <f>IF(K21,"ASAT","")</f>
        <v/>
      </c>
      <c r="K21" s="478" t="b">
        <v>0</v>
      </c>
      <c r="L21" s="154" t="str">
        <f>IF(M21,"ASAT","")</f>
        <v/>
      </c>
      <c r="M21" s="478" t="b">
        <v>0</v>
      </c>
      <c r="N21" s="154" t="str">
        <f>IF(O21,"ASAT","")</f>
        <v/>
      </c>
      <c r="O21" s="478" t="b">
        <v>0</v>
      </c>
      <c r="P21" s="154" t="str">
        <f>IF(Q21,"ASAT","")</f>
        <v/>
      </c>
      <c r="Q21" s="478" t="b">
        <v>0</v>
      </c>
      <c r="R21" s="154" t="str">
        <f>IF(S21,"ASAT","")</f>
        <v/>
      </c>
      <c r="S21" s="478" t="b">
        <v>0</v>
      </c>
      <c r="U21" s="204"/>
    </row>
    <row r="22" spans="2:21" x14ac:dyDescent="0.2">
      <c r="B22" s="154" t="str">
        <f>IF(C22,"ALAT","")</f>
        <v/>
      </c>
      <c r="C22" s="478" t="b">
        <v>0</v>
      </c>
      <c r="D22" s="154" t="str">
        <f>IF(E22,"ALAT","")</f>
        <v/>
      </c>
      <c r="E22" s="478" t="b">
        <v>0</v>
      </c>
      <c r="F22" s="154" t="str">
        <f>IF(G22,"ALAT","")</f>
        <v/>
      </c>
      <c r="G22" s="478" t="b">
        <v>0</v>
      </c>
      <c r="H22" s="154" t="str">
        <f>IF(I22,"ALAT","")</f>
        <v/>
      </c>
      <c r="I22" s="478" t="b">
        <v>0</v>
      </c>
      <c r="J22" s="154" t="str">
        <f>IF(K22,"ALAT","")</f>
        <v/>
      </c>
      <c r="K22" s="478" t="b">
        <v>0</v>
      </c>
      <c r="L22" s="154" t="str">
        <f>IF(M22,"ALAT","")</f>
        <v/>
      </c>
      <c r="M22" s="478" t="b">
        <v>0</v>
      </c>
      <c r="N22" s="154" t="str">
        <f>IF(O22,"ALAT","")</f>
        <v/>
      </c>
      <c r="O22" s="478" t="b">
        <v>0</v>
      </c>
      <c r="P22" s="154" t="str">
        <f>IF(Q22,"ALAT","")</f>
        <v/>
      </c>
      <c r="Q22" s="478" t="b">
        <v>0</v>
      </c>
      <c r="R22" s="154" t="str">
        <f>IF(S22,"ALAT","")</f>
        <v/>
      </c>
      <c r="S22" s="478" t="b">
        <v>0</v>
      </c>
      <c r="U22" s="204"/>
    </row>
    <row r="23" spans="2:21" x14ac:dyDescent="0.2">
      <c r="B23" s="154" t="str">
        <f>IF(C23,"GGT","")</f>
        <v/>
      </c>
      <c r="C23" s="478" t="b">
        <v>0</v>
      </c>
      <c r="D23" s="154" t="str">
        <f>IF(E23,"GGT","")</f>
        <v/>
      </c>
      <c r="E23" s="478" t="b">
        <v>0</v>
      </c>
      <c r="F23" s="154" t="str">
        <f>IF(G23,"GGT","")</f>
        <v/>
      </c>
      <c r="G23" s="478" t="b">
        <v>0</v>
      </c>
      <c r="H23" s="154" t="str">
        <f>IF(I23,"GGT","")</f>
        <v/>
      </c>
      <c r="I23" s="478" t="b">
        <v>0</v>
      </c>
      <c r="J23" s="154" t="str">
        <f>IF(K23,"GGT","")</f>
        <v/>
      </c>
      <c r="K23" s="478" t="b">
        <v>0</v>
      </c>
      <c r="L23" s="154" t="str">
        <f>IF(M23,"GGT","")</f>
        <v/>
      </c>
      <c r="M23" s="478" t="b">
        <v>0</v>
      </c>
      <c r="N23" s="154" t="str">
        <f>IF(O23,"GGT","")</f>
        <v/>
      </c>
      <c r="O23" s="478" t="b">
        <v>0</v>
      </c>
      <c r="P23" s="154" t="str">
        <f>IF(Q23,"GGT","")</f>
        <v/>
      </c>
      <c r="Q23" s="478" t="b">
        <v>0</v>
      </c>
      <c r="R23" s="154" t="str">
        <f>IF(S23,"GGT","")</f>
        <v/>
      </c>
      <c r="S23" s="478" t="b">
        <v>0</v>
      </c>
      <c r="U23" s="204"/>
    </row>
    <row r="24" spans="2:21" x14ac:dyDescent="0.2">
      <c r="B24" s="154" t="str">
        <f>IF(C24,"AF","")</f>
        <v/>
      </c>
      <c r="C24" s="478" t="b">
        <v>0</v>
      </c>
      <c r="D24" s="154" t="str">
        <f>IF(E24,"AF","")</f>
        <v/>
      </c>
      <c r="E24" s="478" t="b">
        <v>0</v>
      </c>
      <c r="F24" s="154" t="str">
        <f>IF(G24,"AF","")</f>
        <v/>
      </c>
      <c r="G24" s="478" t="b">
        <v>0</v>
      </c>
      <c r="H24" s="154" t="str">
        <f>IF(I24,"AF","")</f>
        <v/>
      </c>
      <c r="I24" s="478" t="b">
        <v>0</v>
      </c>
      <c r="J24" s="154" t="str">
        <f>IF(K24,"AF","")</f>
        <v/>
      </c>
      <c r="K24" s="478" t="b">
        <v>0</v>
      </c>
      <c r="L24" s="154" t="str">
        <f>IF(M24,"AF","")</f>
        <v/>
      </c>
      <c r="M24" s="478" t="b">
        <v>0</v>
      </c>
      <c r="N24" s="154" t="str">
        <f>IF(O24,"AF","")</f>
        <v/>
      </c>
      <c r="O24" s="478" t="b">
        <v>0</v>
      </c>
      <c r="P24" s="154" t="str">
        <f>IF(Q24,"AF","")</f>
        <v/>
      </c>
      <c r="Q24" s="478" t="b">
        <v>0</v>
      </c>
      <c r="R24" s="154" t="str">
        <f>IF(S24,"AF","")</f>
        <v/>
      </c>
      <c r="S24" s="478" t="b">
        <v>0</v>
      </c>
      <c r="U24" s="204"/>
    </row>
    <row r="25" spans="2:21" x14ac:dyDescent="0.2">
      <c r="B25" s="154" t="str">
        <f>IF(C25,"LDH","")</f>
        <v/>
      </c>
      <c r="C25" s="478" t="b">
        <v>0</v>
      </c>
      <c r="D25" s="154" t="str">
        <f>IF(E25,"LDH","")</f>
        <v/>
      </c>
      <c r="E25" s="478" t="b">
        <v>0</v>
      </c>
      <c r="F25" s="154" t="str">
        <f>IF(G25,"LDH","")</f>
        <v/>
      </c>
      <c r="G25" s="478" t="b">
        <v>0</v>
      </c>
      <c r="H25" s="154" t="str">
        <f>IF(I25,"LDH","")</f>
        <v/>
      </c>
      <c r="I25" s="478" t="b">
        <v>0</v>
      </c>
      <c r="J25" s="154" t="str">
        <f>IF(K25,"LDH","")</f>
        <v/>
      </c>
      <c r="K25" s="478" t="b">
        <v>0</v>
      </c>
      <c r="L25" s="154" t="str">
        <f>IF(M25,"LDH","")</f>
        <v/>
      </c>
      <c r="M25" s="478" t="b">
        <v>0</v>
      </c>
      <c r="N25" s="154" t="str">
        <f>IF(O25,"LDH","")</f>
        <v/>
      </c>
      <c r="O25" s="478" t="b">
        <v>0</v>
      </c>
      <c r="P25" s="154" t="str">
        <f>IF(Q25,"LDH","")</f>
        <v/>
      </c>
      <c r="Q25" s="478" t="b">
        <v>0</v>
      </c>
      <c r="R25" s="154" t="str">
        <f>IF(S25,"LDH","")</f>
        <v/>
      </c>
      <c r="S25" s="478" t="b">
        <v>0</v>
      </c>
      <c r="U25" s="204"/>
    </row>
    <row r="26" spans="2:21" x14ac:dyDescent="0.2">
      <c r="B26" s="154" t="str">
        <f>IF(C26,"Bili","")</f>
        <v/>
      </c>
      <c r="C26" s="478" t="b">
        <v>0</v>
      </c>
      <c r="D26" s="154" t="str">
        <f>IF(E26,"Bili","")</f>
        <v/>
      </c>
      <c r="E26" s="478" t="b">
        <v>0</v>
      </c>
      <c r="F26" s="154" t="str">
        <f>IF(G26,"Bili","")</f>
        <v/>
      </c>
      <c r="G26" s="478" t="b">
        <v>0</v>
      </c>
      <c r="H26" s="154" t="str">
        <f>IF(I26,"Bili","")</f>
        <v/>
      </c>
      <c r="I26" s="478" t="b">
        <v>0</v>
      </c>
      <c r="J26" s="154" t="str">
        <f>IF(K26,"Bili","")</f>
        <v/>
      </c>
      <c r="K26" s="478" t="b">
        <v>0</v>
      </c>
      <c r="L26" s="154" t="str">
        <f>IF(M26,"Bili","")</f>
        <v/>
      </c>
      <c r="M26" s="478" t="b">
        <v>0</v>
      </c>
      <c r="N26" s="154" t="str">
        <f>IF(O26,"Bili","")</f>
        <v/>
      </c>
      <c r="O26" s="478" t="b">
        <v>0</v>
      </c>
      <c r="P26" s="154" t="str">
        <f>IF(Q26,"Bili","")</f>
        <v/>
      </c>
      <c r="Q26" s="478" t="b">
        <v>0</v>
      </c>
      <c r="R26" s="154" t="str">
        <f>IF(S26,"Bili","")</f>
        <v/>
      </c>
      <c r="S26" s="478" t="b">
        <v>0</v>
      </c>
      <c r="U26" s="204"/>
    </row>
    <row r="27" spans="2:21" x14ac:dyDescent="0.2">
      <c r="B27" s="154" t="str">
        <f>IF(C27,"TG","")</f>
        <v/>
      </c>
      <c r="C27" s="478" t="b">
        <v>0</v>
      </c>
      <c r="D27" s="154" t="str">
        <f>IF(E27,"TG","")</f>
        <v/>
      </c>
      <c r="E27" s="478" t="b">
        <v>0</v>
      </c>
      <c r="F27" s="154" t="str">
        <f>IF(G27,"TG","")</f>
        <v/>
      </c>
      <c r="G27" s="478" t="b">
        <v>0</v>
      </c>
      <c r="H27" s="154" t="str">
        <f>IF(I27,"TG","")</f>
        <v/>
      </c>
      <c r="I27" s="478" t="b">
        <v>0</v>
      </c>
      <c r="J27" s="154" t="str">
        <f>IF(K27,"TG","")</f>
        <v/>
      </c>
      <c r="K27" s="478" t="b">
        <v>0</v>
      </c>
      <c r="L27" s="154" t="str">
        <f>IF(M27,"TG","")</f>
        <v/>
      </c>
      <c r="M27" s="478" t="b">
        <v>0</v>
      </c>
      <c r="N27" s="154" t="str">
        <f>IF(O27,"TG","")</f>
        <v/>
      </c>
      <c r="O27" s="478" t="b">
        <v>0</v>
      </c>
      <c r="P27" s="154" t="str">
        <f>IF(Q27,"TG","")</f>
        <v/>
      </c>
      <c r="Q27" s="478" t="b">
        <v>0</v>
      </c>
      <c r="R27" s="154" t="str">
        <f>IF(S27,"TG","")</f>
        <v/>
      </c>
      <c r="S27" s="478" t="b">
        <v>0</v>
      </c>
      <c r="U27" s="204"/>
    </row>
    <row r="28" spans="2:21" x14ac:dyDescent="0.2">
      <c r="B28" s="154" t="str">
        <f>IF(C28,"PT","")</f>
        <v/>
      </c>
      <c r="C28" s="478" t="b">
        <v>0</v>
      </c>
      <c r="D28" s="154" t="str">
        <f>IF(E28,"PT","")</f>
        <v/>
      </c>
      <c r="E28" s="478" t="b">
        <v>0</v>
      </c>
      <c r="F28" s="154" t="str">
        <f>IF(G28,"PT","")</f>
        <v/>
      </c>
      <c r="G28" s="478" t="b">
        <v>0</v>
      </c>
      <c r="H28" s="154" t="str">
        <f>IF(I28,"PT","")</f>
        <v/>
      </c>
      <c r="I28" s="478" t="b">
        <v>0</v>
      </c>
      <c r="J28" s="154" t="str">
        <f>IF(K28,"PT","")</f>
        <v/>
      </c>
      <c r="K28" s="478" t="b">
        <v>0</v>
      </c>
      <c r="L28" s="154" t="str">
        <f>IF(M28,"PT","")</f>
        <v/>
      </c>
      <c r="M28" s="478" t="b">
        <v>0</v>
      </c>
      <c r="N28" s="154" t="str">
        <f>IF(O28,"PT","")</f>
        <v/>
      </c>
      <c r="O28" s="478" t="b">
        <v>0</v>
      </c>
      <c r="P28" s="154" t="str">
        <f>IF(Q28,"PT","")</f>
        <v/>
      </c>
      <c r="Q28" s="478" t="b">
        <v>0</v>
      </c>
      <c r="R28" s="154" t="str">
        <f>IF(S28,"PT","")</f>
        <v/>
      </c>
      <c r="S28" s="478" t="b">
        <v>0</v>
      </c>
      <c r="U28" s="204"/>
    </row>
    <row r="29" spans="2:21" x14ac:dyDescent="0.2">
      <c r="B29" s="154" t="str">
        <f>IF(C29,"APPT","")</f>
        <v/>
      </c>
      <c r="C29" s="478" t="b">
        <v>0</v>
      </c>
      <c r="D29" s="154" t="str">
        <f>IF(E29,"APPT","")</f>
        <v/>
      </c>
      <c r="E29" s="478" t="b">
        <v>0</v>
      </c>
      <c r="F29" s="154" t="str">
        <f>IF(G29,"APPT","")</f>
        <v/>
      </c>
      <c r="G29" s="478" t="b">
        <v>0</v>
      </c>
      <c r="H29" s="154" t="str">
        <f>IF(I29,"APPT","")</f>
        <v/>
      </c>
      <c r="I29" s="478" t="b">
        <v>0</v>
      </c>
      <c r="J29" s="154" t="str">
        <f>IF(K29,"APPT","")</f>
        <v/>
      </c>
      <c r="K29" s="478" t="b">
        <v>0</v>
      </c>
      <c r="L29" s="154" t="str">
        <f>IF(M29,"APPT","")</f>
        <v/>
      </c>
      <c r="M29" s="478" t="b">
        <v>0</v>
      </c>
      <c r="N29" s="154" t="str">
        <f>IF(O29,"APPT","")</f>
        <v/>
      </c>
      <c r="O29" s="478" t="b">
        <v>0</v>
      </c>
      <c r="P29" s="154" t="str">
        <f>IF(Q29,"APPT","")</f>
        <v/>
      </c>
      <c r="Q29" s="478" t="b">
        <v>0</v>
      </c>
      <c r="R29" s="154" t="str">
        <f>IF(S29,"APPT","")</f>
        <v/>
      </c>
      <c r="S29" s="478" t="b">
        <v>0</v>
      </c>
      <c r="U29" s="204"/>
    </row>
    <row r="30" spans="2:21" x14ac:dyDescent="0.2">
      <c r="B30" s="154" t="str">
        <f>IF(C30,"NICU APPT","")</f>
        <v/>
      </c>
      <c r="C30" s="478" t="b">
        <v>0</v>
      </c>
      <c r="D30" s="154" t="str">
        <f>IF(E30,"NICU APPT","")</f>
        <v/>
      </c>
      <c r="E30" s="478" t="b">
        <v>0</v>
      </c>
      <c r="F30" s="154" t="str">
        <f>IF(G30,"NICU APPT","")</f>
        <v/>
      </c>
      <c r="G30" s="478" t="b">
        <v>0</v>
      </c>
      <c r="H30" s="154" t="str">
        <f>IF(I30,"NICU APPT","")</f>
        <v/>
      </c>
      <c r="I30" s="478" t="b">
        <v>0</v>
      </c>
      <c r="J30" s="154" t="str">
        <f>IF(K30,"NICU APPT","")</f>
        <v/>
      </c>
      <c r="K30" s="478" t="b">
        <v>0</v>
      </c>
      <c r="L30" s="154" t="str">
        <f>IF(M30,"NICU APPT","")</f>
        <v/>
      </c>
      <c r="M30" s="478" t="b">
        <v>0</v>
      </c>
      <c r="N30" s="154" t="str">
        <f>IF(O30,"NICU APPT","")</f>
        <v/>
      </c>
      <c r="O30" s="478" t="b">
        <v>0</v>
      </c>
      <c r="P30" s="154" t="str">
        <f>IF(Q30,"NICU APPT","")</f>
        <v/>
      </c>
      <c r="Q30" s="478" t="b">
        <v>0</v>
      </c>
      <c r="R30" s="154" t="str">
        <f>IF(S30,"NICU APPT","")</f>
        <v/>
      </c>
      <c r="S30" s="478" t="b">
        <v>0</v>
      </c>
      <c r="U30" s="204"/>
    </row>
    <row r="31" spans="2:21" x14ac:dyDescent="0.2">
      <c r="B31" s="154" t="str">
        <f>IF(C31,"BG","")</f>
        <v/>
      </c>
      <c r="C31" s="478" t="b">
        <v>0</v>
      </c>
      <c r="D31" s="154" t="str">
        <f>IF(E31,"BG","")</f>
        <v/>
      </c>
      <c r="E31" s="478" t="b">
        <v>0</v>
      </c>
      <c r="F31" s="154" t="str">
        <f>IF(G31,"BG","")</f>
        <v/>
      </c>
      <c r="G31" s="478" t="b">
        <v>0</v>
      </c>
      <c r="H31" s="154" t="str">
        <f>IF(I31,"BG","")</f>
        <v/>
      </c>
      <c r="I31" s="478" t="b">
        <v>0</v>
      </c>
      <c r="J31" s="154" t="str">
        <f>IF(K31,"BG","")</f>
        <v/>
      </c>
      <c r="K31" s="478" t="b">
        <v>0</v>
      </c>
      <c r="L31" s="154" t="str">
        <f>IF(M31,"BG","")</f>
        <v/>
      </c>
      <c r="M31" s="478" t="b">
        <v>0</v>
      </c>
      <c r="N31" s="154" t="str">
        <f>IF(O31,"BG","")</f>
        <v/>
      </c>
      <c r="O31" s="478" t="b">
        <v>0</v>
      </c>
      <c r="P31" s="154" t="str">
        <f>IF(Q31,"BG","")</f>
        <v/>
      </c>
      <c r="Q31" s="478" t="b">
        <v>0</v>
      </c>
      <c r="R31" s="154" t="str">
        <f>IF(S31,"BG","")</f>
        <v/>
      </c>
      <c r="S31" s="478" t="b">
        <v>0</v>
      </c>
      <c r="U31" s="204"/>
    </row>
    <row r="32" spans="2:21" x14ac:dyDescent="0.2">
      <c r="B32" s="154" t="str">
        <f>IF(C32,"antiAx","")</f>
        <v/>
      </c>
      <c r="C32" s="478" t="b">
        <v>0</v>
      </c>
      <c r="D32" s="154" t="str">
        <f>IF(E32,"antiAx","")</f>
        <v/>
      </c>
      <c r="E32" s="478" t="b">
        <v>0</v>
      </c>
      <c r="F32" s="154" t="str">
        <f>IF(G32,"antiAx","")</f>
        <v/>
      </c>
      <c r="G32" s="478" t="b">
        <v>0</v>
      </c>
      <c r="H32" s="154" t="str">
        <f>IF(I32,"antiAx","")</f>
        <v/>
      </c>
      <c r="I32" s="478" t="b">
        <v>0</v>
      </c>
      <c r="J32" s="154" t="str">
        <f>IF(K32,"antiAx","")</f>
        <v/>
      </c>
      <c r="K32" s="478" t="b">
        <v>0</v>
      </c>
      <c r="L32" s="154" t="str">
        <f>IF(M32,"antiAx","")</f>
        <v/>
      </c>
      <c r="M32" s="478" t="b">
        <v>0</v>
      </c>
      <c r="N32" s="154" t="str">
        <f>IF(O32,"antiAx","")</f>
        <v/>
      </c>
      <c r="O32" s="478" t="b">
        <v>0</v>
      </c>
      <c r="P32" s="154" t="str">
        <f>IF(Q32,"antiAx","")</f>
        <v/>
      </c>
      <c r="Q32" s="478" t="b">
        <v>0</v>
      </c>
      <c r="R32" s="154" t="str">
        <f>IF(S32,"antiAx","")</f>
        <v/>
      </c>
      <c r="S32" s="478" t="b">
        <v>0</v>
      </c>
      <c r="U32" s="204"/>
    </row>
    <row r="33" spans="2:21" x14ac:dyDescent="0.2">
      <c r="B33" s="154" t="str">
        <f>IF(C33,"BNP","")</f>
        <v/>
      </c>
      <c r="C33" s="478" t="b">
        <v>0</v>
      </c>
      <c r="D33" s="154" t="str">
        <f>IF(E33,"BNP","")</f>
        <v/>
      </c>
      <c r="E33" s="478" t="b">
        <v>0</v>
      </c>
      <c r="F33" s="154" t="str">
        <f>IF(G33,"BNP","")</f>
        <v/>
      </c>
      <c r="G33" s="478" t="b">
        <v>0</v>
      </c>
      <c r="H33" s="154" t="str">
        <f>IF(I33,"BNP","")</f>
        <v/>
      </c>
      <c r="I33" s="478" t="b">
        <v>0</v>
      </c>
      <c r="J33" s="154" t="str">
        <f>IF(K33,"BNP","")</f>
        <v/>
      </c>
      <c r="K33" s="478" t="b">
        <v>0</v>
      </c>
      <c r="L33" s="154" t="str">
        <f>IF(M33,"BNP","")</f>
        <v/>
      </c>
      <c r="M33" s="478" t="b">
        <v>0</v>
      </c>
      <c r="N33" s="154" t="str">
        <f>IF(O33,"BNP","")</f>
        <v/>
      </c>
      <c r="O33" s="478" t="b">
        <v>0</v>
      </c>
      <c r="P33" s="154" t="str">
        <f>IF(Q33,"BNP","")</f>
        <v/>
      </c>
      <c r="Q33" s="478" t="b">
        <v>0</v>
      </c>
      <c r="R33" s="154" t="str">
        <f>IF(S33,"BNP","")</f>
        <v/>
      </c>
      <c r="S33" s="478" t="b">
        <v>0</v>
      </c>
      <c r="U33" s="204"/>
    </row>
    <row r="34" spans="2:21" x14ac:dyDescent="0.2">
      <c r="B34" s="154" t="str">
        <f>IF(C34,"Troponine","")</f>
        <v/>
      </c>
      <c r="C34" s="478" t="b">
        <v>0</v>
      </c>
      <c r="D34" s="154" t="str">
        <f>IF(E34,"Troponine","")</f>
        <v/>
      </c>
      <c r="E34" s="478" t="b">
        <v>0</v>
      </c>
      <c r="F34" s="154" t="str">
        <f>IF(G34,"Troponine","")</f>
        <v/>
      </c>
      <c r="G34" s="478" t="b">
        <v>0</v>
      </c>
      <c r="H34" s="154" t="str">
        <f>IF(I34,"Troponine","")</f>
        <v/>
      </c>
      <c r="I34" s="478" t="b">
        <v>0</v>
      </c>
      <c r="J34" s="154" t="str">
        <f>IF(K34,"Troponine","")</f>
        <v/>
      </c>
      <c r="K34" s="478" t="b">
        <v>0</v>
      </c>
      <c r="L34" s="154" t="str">
        <f>IF(M34,"Troponine","")</f>
        <v/>
      </c>
      <c r="M34" s="478" t="b">
        <v>0</v>
      </c>
      <c r="N34" s="154" t="str">
        <f>IF(O34,"Troponine","")</f>
        <v/>
      </c>
      <c r="O34" s="478" t="b">
        <v>0</v>
      </c>
      <c r="P34" s="154" t="str">
        <f>IF(Q34,"Troponine","")</f>
        <v/>
      </c>
      <c r="Q34" s="478" t="b">
        <v>0</v>
      </c>
      <c r="R34" s="154" t="str">
        <f>IF(S34,"Troponine","")</f>
        <v/>
      </c>
      <c r="S34" s="478" t="b">
        <v>0</v>
      </c>
      <c r="U34" s="204"/>
    </row>
    <row r="35" spans="2:21" x14ac:dyDescent="0.2">
      <c r="B35" s="154" t="str">
        <f>IF(C35,"Coombs-test","")</f>
        <v/>
      </c>
      <c r="C35" s="478" t="b">
        <v>0</v>
      </c>
    </row>
    <row r="38" spans="2:21" x14ac:dyDescent="0.2">
      <c r="B38" s="154" t="s">
        <v>831</v>
      </c>
      <c r="D38" s="350"/>
    </row>
  </sheetData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57"/>
      <c r="J1" s="330"/>
      <c r="K1" s="330"/>
      <c r="L1" s="330" t="s">
        <v>711</v>
      </c>
      <c r="M1" s="330" t="s">
        <v>719</v>
      </c>
      <c r="N1" s="330" t="s">
        <v>712</v>
      </c>
      <c r="O1" s="330"/>
      <c r="P1" s="330"/>
      <c r="Q1" s="330"/>
      <c r="R1" s="330"/>
      <c r="S1" s="330" t="s">
        <v>720</v>
      </c>
      <c r="T1" s="330" t="s">
        <v>721</v>
      </c>
      <c r="U1" s="330"/>
      <c r="V1" s="330"/>
      <c r="W1" s="330"/>
      <c r="X1" s="330"/>
      <c r="Y1" s="121"/>
    </row>
    <row r="2" spans="1:25 4305:4305" ht="15" customHeight="1" x14ac:dyDescent="0.2">
      <c r="B2" s="113" t="str">
        <f>"Patient: "&amp;__2_AchterNaam&amp;", "&amp;__3_VoorNaam</f>
        <v xml:space="preserve">Patient: , </v>
      </c>
      <c r="C2" s="111"/>
      <c r="D2" s="95"/>
      <c r="E2" s="114"/>
      <c r="F2" s="95"/>
      <c r="G2" s="103"/>
      <c r="H2" s="38"/>
      <c r="I2" s="38"/>
      <c r="J2" s="330"/>
      <c r="K2" s="330"/>
      <c r="L2" s="330">
        <v>0</v>
      </c>
      <c r="M2" s="330">
        <v>40</v>
      </c>
      <c r="N2" s="330">
        <v>3.5</v>
      </c>
      <c r="O2" s="330">
        <v>0</v>
      </c>
      <c r="P2" s="330">
        <v>3.5</v>
      </c>
      <c r="Q2" s="330">
        <v>51</v>
      </c>
      <c r="R2" s="330"/>
      <c r="S2" s="330">
        <v>1</v>
      </c>
      <c r="T2" s="330">
        <v>1</v>
      </c>
      <c r="U2" s="330">
        <v>1</v>
      </c>
      <c r="V2" s="330"/>
      <c r="W2" s="330"/>
      <c r="X2" s="330"/>
      <c r="Y2" s="121"/>
      <c r="FIO2" s="37">
        <v>30</v>
      </c>
    </row>
    <row r="3" spans="1:25 4305:4305" ht="15" customHeight="1" x14ac:dyDescent="0.2">
      <c r="B3" s="113" t="str">
        <f>"Geb datum.: "</f>
        <v xml:space="preserve">Geb datum.: </v>
      </c>
      <c r="C3" s="124">
        <f>__4_GebDatum</f>
        <v>1462</v>
      </c>
      <c r="D3" s="95"/>
      <c r="E3" s="114"/>
      <c r="F3" s="108"/>
      <c r="G3" s="103"/>
      <c r="H3" s="38"/>
      <c r="I3" s="38"/>
      <c r="J3" s="330"/>
      <c r="K3" s="330"/>
      <c r="L3" s="330">
        <v>1</v>
      </c>
      <c r="M3" s="330">
        <v>30</v>
      </c>
      <c r="N3" s="330">
        <v>4.5</v>
      </c>
      <c r="O3" s="330">
        <v>1</v>
      </c>
      <c r="P3" s="330">
        <v>4.2</v>
      </c>
      <c r="Q3" s="330">
        <v>54</v>
      </c>
      <c r="R3" s="330"/>
      <c r="S3" s="330">
        <v>2</v>
      </c>
      <c r="T3" s="330">
        <v>2</v>
      </c>
      <c r="U3" s="330">
        <v>2</v>
      </c>
      <c r="V3" s="330"/>
      <c r="W3" s="330"/>
      <c r="X3" s="330"/>
      <c r="Y3" s="121"/>
    </row>
    <row r="4" spans="1:25 4305:4305" ht="15.75" customHeight="1" x14ac:dyDescent="0.2">
      <c r="B4" s="107"/>
      <c r="C4" s="110" t="s">
        <v>608</v>
      </c>
      <c r="D4" s="110" t="s">
        <v>609</v>
      </c>
      <c r="E4" s="110" t="s">
        <v>610</v>
      </c>
      <c r="F4" s="110"/>
      <c r="G4" s="110"/>
      <c r="H4" s="38"/>
      <c r="J4" s="331"/>
      <c r="K4" s="331"/>
      <c r="L4" s="330">
        <v>2</v>
      </c>
      <c r="M4" s="330">
        <v>25</v>
      </c>
      <c r="N4" s="330">
        <v>4.5</v>
      </c>
      <c r="O4" s="330">
        <v>2</v>
      </c>
      <c r="P4" s="330">
        <v>5</v>
      </c>
      <c r="Q4" s="330">
        <v>57</v>
      </c>
      <c r="R4" s="330"/>
      <c r="S4" s="330">
        <v>3</v>
      </c>
      <c r="T4" s="330">
        <v>3</v>
      </c>
      <c r="U4" s="330">
        <v>3</v>
      </c>
      <c r="V4" s="330"/>
      <c r="W4" s="330"/>
      <c r="X4" s="330"/>
      <c r="Y4" s="121"/>
    </row>
    <row r="5" spans="1:25 4305:4305" ht="15" customHeight="1" x14ac:dyDescent="0.2">
      <c r="B5" s="107"/>
      <c r="C5" s="110">
        <f>_Pat_GestWeken</f>
        <v>0</v>
      </c>
      <c r="D5" s="110">
        <f>_Pat_GestDagen</f>
        <v>0</v>
      </c>
      <c r="E5" s="110">
        <f>(_Pat_Gewicht/10)</f>
        <v>1</v>
      </c>
      <c r="F5" s="110"/>
      <c r="G5" s="110"/>
      <c r="H5" s="38"/>
      <c r="J5" s="331"/>
      <c r="K5" s="331"/>
      <c r="L5" s="330">
        <v>3</v>
      </c>
      <c r="M5" s="330">
        <v>25</v>
      </c>
      <c r="N5" s="330">
        <v>5</v>
      </c>
      <c r="O5" s="330">
        <v>3</v>
      </c>
      <c r="P5" s="330">
        <v>5.7</v>
      </c>
      <c r="Q5" s="330">
        <v>60</v>
      </c>
      <c r="R5" s="330"/>
      <c r="S5" s="330">
        <v>4</v>
      </c>
      <c r="T5" s="330">
        <v>3</v>
      </c>
      <c r="U5" s="330"/>
      <c r="V5" s="330"/>
      <c r="W5" s="330"/>
      <c r="X5" s="330"/>
      <c r="Y5" s="121"/>
    </row>
    <row r="6" spans="1:25 4305:4305" ht="15" customHeight="1" thickBot="1" x14ac:dyDescent="0.25">
      <c r="A6" s="357"/>
      <c r="B6" s="18"/>
      <c r="C6" s="112"/>
      <c r="D6" s="112"/>
      <c r="E6" s="112"/>
      <c r="F6" s="112"/>
      <c r="G6" s="112"/>
      <c r="H6" s="38"/>
      <c r="J6" s="331"/>
      <c r="K6" s="331"/>
      <c r="L6" s="330">
        <v>4</v>
      </c>
      <c r="M6" s="330">
        <v>25</v>
      </c>
      <c r="N6" s="330">
        <v>5</v>
      </c>
      <c r="O6" s="330">
        <v>4</v>
      </c>
      <c r="P6" s="330">
        <v>6.5</v>
      </c>
      <c r="Q6" s="330">
        <v>63</v>
      </c>
      <c r="R6" s="330"/>
      <c r="S6" s="330">
        <v>5</v>
      </c>
      <c r="T6" s="330">
        <v>5</v>
      </c>
      <c r="U6" s="330">
        <v>5</v>
      </c>
      <c r="V6" s="330"/>
      <c r="W6" s="330"/>
      <c r="X6" s="330"/>
      <c r="Y6" s="121"/>
    </row>
    <row r="7" spans="1:25 4305:4305" ht="20.100000000000001" customHeight="1" x14ac:dyDescent="0.2">
      <c r="B7" s="107" t="s">
        <v>307</v>
      </c>
      <c r="C7" s="115" t="s">
        <v>53</v>
      </c>
      <c r="D7" s="116" t="str">
        <f>"Maat: "&amp;IF((_Pat_Gewicht/10)&lt;1,2.5,IF(AND((_Pat_Gewicht/10)&gt;=1,(_Pat_Gewicht/10)&lt;2),3,3.5))</f>
        <v>Maat: 3</v>
      </c>
      <c r="E7" s="117"/>
      <c r="F7" s="117"/>
      <c r="G7" s="131"/>
      <c r="H7" s="38"/>
      <c r="I7" s="38"/>
      <c r="J7" s="330"/>
      <c r="K7" s="330"/>
      <c r="L7" s="330">
        <v>5</v>
      </c>
      <c r="M7" s="330">
        <v>25</v>
      </c>
      <c r="N7" s="330">
        <v>5.5</v>
      </c>
      <c r="O7" s="330">
        <v>5</v>
      </c>
      <c r="P7" s="330">
        <v>7</v>
      </c>
      <c r="Q7" s="330">
        <v>65</v>
      </c>
      <c r="R7" s="330"/>
      <c r="S7" s="330">
        <v>6</v>
      </c>
      <c r="T7" s="330">
        <v>5</v>
      </c>
      <c r="U7" s="330"/>
      <c r="V7" s="330"/>
      <c r="W7" s="330"/>
      <c r="X7" s="330"/>
      <c r="Y7" s="121"/>
    </row>
    <row r="8" spans="1:25 4305:4305" ht="20.100000000000001" customHeight="1" x14ac:dyDescent="0.2">
      <c r="B8" s="107"/>
      <c r="C8" s="106"/>
      <c r="D8" s="39" t="str">
        <f>"Nasaal: "&amp;((_Pat_Gewicht/10)+6)*1.2</f>
        <v>Nasaal: 8,4</v>
      </c>
      <c r="E8" s="38"/>
      <c r="F8" s="38"/>
      <c r="G8" s="132"/>
      <c r="H8" s="38"/>
      <c r="I8" s="38"/>
      <c r="J8" s="330"/>
      <c r="K8" s="330"/>
      <c r="L8" s="330">
        <v>6</v>
      </c>
      <c r="M8" s="330">
        <v>20</v>
      </c>
      <c r="N8" s="330">
        <v>5.5</v>
      </c>
      <c r="O8" s="330">
        <v>6</v>
      </c>
      <c r="P8" s="330">
        <v>7.7</v>
      </c>
      <c r="Q8" s="330">
        <v>67</v>
      </c>
      <c r="R8" s="330"/>
      <c r="S8" s="330">
        <v>7</v>
      </c>
      <c r="T8" s="330">
        <v>7</v>
      </c>
      <c r="U8" s="330">
        <v>7</v>
      </c>
      <c r="V8" s="330"/>
      <c r="W8" s="330"/>
      <c r="X8" s="330"/>
      <c r="Y8" s="121"/>
    </row>
    <row r="9" spans="1:25 4305:4305" ht="20.100000000000001" customHeight="1" x14ac:dyDescent="0.2">
      <c r="B9" s="107"/>
      <c r="C9" s="106"/>
      <c r="D9" s="39" t="str">
        <f>"Oraal: "&amp;((_Pat_Gewicht/10)+6)</f>
        <v>Oraal: 7</v>
      </c>
      <c r="E9" s="38"/>
      <c r="F9" s="38"/>
      <c r="G9" s="132"/>
      <c r="H9" s="38"/>
      <c r="I9" s="38"/>
      <c r="J9" s="330"/>
      <c r="K9" s="330"/>
      <c r="L9" s="330">
        <v>7</v>
      </c>
      <c r="M9" s="330">
        <v>20</v>
      </c>
      <c r="N9" s="330">
        <v>6</v>
      </c>
      <c r="O9" s="330">
        <v>7</v>
      </c>
      <c r="P9" s="330">
        <v>8.1999999999999993</v>
      </c>
      <c r="Q9" s="330">
        <v>69</v>
      </c>
      <c r="R9" s="330"/>
      <c r="S9" s="330">
        <v>8</v>
      </c>
      <c r="T9" s="330">
        <v>7</v>
      </c>
      <c r="U9" s="330"/>
      <c r="V9" s="330"/>
      <c r="W9" s="330"/>
      <c r="X9" s="330"/>
      <c r="Y9" s="121"/>
    </row>
    <row r="10" spans="1:25 4305:4305" ht="20.100000000000001" customHeight="1" x14ac:dyDescent="0.2">
      <c r="B10" s="107"/>
      <c r="C10" s="106" t="s">
        <v>994</v>
      </c>
      <c r="D10" s="441">
        <f>(1.5*(_Pat_Gewicht/10))+5.5</f>
        <v>7</v>
      </c>
      <c r="E10" s="38"/>
      <c r="F10" s="38"/>
      <c r="G10" s="132"/>
      <c r="H10" s="38"/>
      <c r="I10" s="38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0"/>
      <c r="U10" s="330"/>
      <c r="V10" s="330"/>
      <c r="W10" s="330"/>
      <c r="X10" s="330"/>
      <c r="Y10" s="121"/>
    </row>
    <row r="11" spans="1:25 4305:4305" ht="20.100000000000001" customHeight="1" x14ac:dyDescent="0.2">
      <c r="B11" s="107"/>
      <c r="C11" s="106" t="s">
        <v>995</v>
      </c>
      <c r="D11" s="441">
        <f>(4*(_Pat_Gewicht/10))+7</f>
        <v>11</v>
      </c>
      <c r="E11" s="38"/>
      <c r="F11" s="38"/>
      <c r="G11" s="132"/>
      <c r="H11" s="38"/>
      <c r="I11" s="38"/>
      <c r="J11" s="330"/>
      <c r="K11" s="330"/>
      <c r="L11" s="330"/>
      <c r="M11" s="330"/>
      <c r="N11" s="330"/>
      <c r="O11" s="330"/>
      <c r="P11" s="330"/>
      <c r="Q11" s="330"/>
      <c r="R11" s="330"/>
      <c r="S11" s="330"/>
      <c r="T11" s="330"/>
      <c r="U11" s="330"/>
      <c r="V11" s="330"/>
      <c r="W11" s="330"/>
      <c r="X11" s="330"/>
      <c r="Y11" s="121"/>
    </row>
    <row r="12" spans="1:25 4305:4305" ht="20.100000000000001" customHeight="1" x14ac:dyDescent="0.2">
      <c r="B12" s="107"/>
      <c r="C12" s="106" t="s">
        <v>54</v>
      </c>
      <c r="D12" s="39" t="str">
        <f>IF(ROUND((E5)*4,0)&gt;150,150,VLOOKUP(ROUND(E5*4,0),S2:T347,2))&amp;" Joules Asynchroon"</f>
        <v>3 Joules Asynchroon</v>
      </c>
      <c r="E12" s="38"/>
      <c r="F12" s="38"/>
      <c r="G12" s="132" t="s">
        <v>0</v>
      </c>
      <c r="H12" s="38"/>
      <c r="I12" s="38"/>
      <c r="J12" s="330"/>
      <c r="K12" s="330"/>
      <c r="L12" s="330">
        <v>9</v>
      </c>
      <c r="M12" s="330">
        <v>20</v>
      </c>
      <c r="N12" s="330">
        <v>6.5</v>
      </c>
      <c r="O12" s="330">
        <v>9</v>
      </c>
      <c r="P12" s="330">
        <v>9</v>
      </c>
      <c r="Q12" s="330">
        <v>72</v>
      </c>
      <c r="R12" s="330"/>
      <c r="S12" s="330">
        <v>10</v>
      </c>
      <c r="T12" s="330">
        <v>10</v>
      </c>
      <c r="U12" s="330">
        <v>10</v>
      </c>
      <c r="V12" s="330"/>
      <c r="W12" s="330"/>
      <c r="X12" s="330"/>
      <c r="Y12" s="121"/>
    </row>
    <row r="13" spans="1:25 4305:4305" ht="20.100000000000001" customHeight="1" x14ac:dyDescent="0.2">
      <c r="B13" s="107"/>
      <c r="C13" s="106" t="s">
        <v>118</v>
      </c>
      <c r="D13" s="39" t="str">
        <f>IF(OR(ROUND(0.01*(E5),2)&gt;1,C5&gt;=18),"1 mg iv",ROUND(0.01*(E5),2)&amp;" mg iv")</f>
        <v>0,01 mg iv</v>
      </c>
      <c r="E13" s="38" t="str">
        <f>"= "&amp;IF(ROUND(0.01*(E5),2)&gt;1,"1 ml van 1mg = 10 ml (1:10.000)",ROUND(0.1*(E5),2)&amp;" ml van 1mg = 10 ml (1:10.000)")</f>
        <v>= 0,1 ml van 1mg = 10 ml (1:10.000)</v>
      </c>
      <c r="F13" s="38"/>
      <c r="G13" s="132" t="s">
        <v>1</v>
      </c>
      <c r="H13" s="38"/>
      <c r="I13" s="38"/>
      <c r="J13" s="330"/>
      <c r="K13" s="330"/>
      <c r="L13" s="330">
        <v>10</v>
      </c>
      <c r="M13" s="330">
        <v>20</v>
      </c>
      <c r="N13" s="330">
        <v>6.5</v>
      </c>
      <c r="O13" s="330">
        <v>10</v>
      </c>
      <c r="P13" s="330">
        <v>9.3000000000000007</v>
      </c>
      <c r="Q13" s="330">
        <v>73</v>
      </c>
      <c r="R13" s="330"/>
      <c r="S13" s="330">
        <v>11</v>
      </c>
      <c r="T13" s="330">
        <v>10</v>
      </c>
      <c r="U13" s="330"/>
      <c r="V13" s="330"/>
      <c r="W13" s="330"/>
      <c r="X13" s="330"/>
      <c r="Y13" s="121"/>
    </row>
    <row r="14" spans="1:25 4305:4305" ht="20.100000000000001" customHeight="1" x14ac:dyDescent="0.2">
      <c r="B14" s="107"/>
      <c r="C14" s="106" t="s">
        <v>530</v>
      </c>
      <c r="D14" s="39" t="str">
        <f>IF(0.2*E5&lt;=25,0.2*E5&amp;" gram iv","25 gram iv")</f>
        <v>0,2 gram iv</v>
      </c>
      <c r="E14" s="38" t="str">
        <f>"="&amp;" "&amp;IF(2*E5&lt;=250,ROUND(2*E5,2)&amp;" ml Glucose 10%","250 ml Glucose 10%")</f>
        <v>= 2 ml Glucose 10%</v>
      </c>
      <c r="F14" s="38"/>
      <c r="G14" s="132" t="s">
        <v>3</v>
      </c>
      <c r="H14" s="38"/>
      <c r="I14" s="38"/>
      <c r="J14" s="330"/>
      <c r="K14" s="330"/>
      <c r="L14" s="330">
        <v>11</v>
      </c>
      <c r="M14" s="330">
        <v>20</v>
      </c>
      <c r="N14" s="330">
        <v>7</v>
      </c>
      <c r="O14" s="330">
        <v>11</v>
      </c>
      <c r="P14" s="330">
        <v>9.5</v>
      </c>
      <c r="Q14" s="330">
        <v>74</v>
      </c>
      <c r="R14" s="330"/>
      <c r="S14" s="330">
        <v>12</v>
      </c>
      <c r="T14" s="330">
        <v>10</v>
      </c>
      <c r="U14" s="330"/>
      <c r="V14" s="330"/>
      <c r="W14" s="330"/>
      <c r="X14" s="330"/>
      <c r="Y14" s="121"/>
    </row>
    <row r="15" spans="1:25 4305:4305" ht="20.100000000000001" customHeight="1" thickBot="1" x14ac:dyDescent="0.25">
      <c r="B15" s="107"/>
      <c r="C15" s="118" t="s">
        <v>713</v>
      </c>
      <c r="D15" s="119" t="str">
        <f>IF(ROUND(20*E5/10,0)*10&gt;500,500,ROUND(20*E5/10,0)*10)&amp;" ml NaCl 0,9% iv per bolus"</f>
        <v>20 ml NaCl 0,9% iv per bolus</v>
      </c>
      <c r="E15" s="120"/>
      <c r="F15" s="120"/>
      <c r="G15" s="133" t="s">
        <v>4</v>
      </c>
      <c r="H15" s="38"/>
      <c r="I15" s="38"/>
      <c r="J15" s="330"/>
      <c r="K15" s="330"/>
      <c r="L15" s="330">
        <v>12</v>
      </c>
      <c r="M15" s="330">
        <v>15</v>
      </c>
      <c r="N15" s="330">
        <v>7</v>
      </c>
      <c r="O15" s="330">
        <v>12</v>
      </c>
      <c r="P15" s="330">
        <v>10</v>
      </c>
      <c r="Q15" s="330">
        <v>76</v>
      </c>
      <c r="R15" s="330"/>
      <c r="S15" s="330">
        <v>13</v>
      </c>
      <c r="T15" s="330">
        <v>10</v>
      </c>
      <c r="U15" s="330"/>
      <c r="V15" s="330"/>
      <c r="W15" s="330"/>
      <c r="X15" s="330"/>
      <c r="Y15" s="121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32"/>
      <c r="H16" s="38"/>
      <c r="I16" s="38"/>
      <c r="J16" s="330"/>
      <c r="K16" s="330"/>
      <c r="L16" s="330">
        <v>16</v>
      </c>
      <c r="M16" s="330">
        <v>15</v>
      </c>
      <c r="N16" s="330">
        <v>7</v>
      </c>
      <c r="O16" s="330"/>
      <c r="P16" s="330"/>
      <c r="Q16" s="330"/>
      <c r="R16" s="330"/>
      <c r="S16" s="330">
        <v>17</v>
      </c>
      <c r="T16" s="330">
        <v>20</v>
      </c>
      <c r="U16" s="330"/>
      <c r="V16" s="330"/>
      <c r="W16" s="330"/>
      <c r="X16" s="330"/>
      <c r="Y16" s="121"/>
    </row>
    <row r="17" spans="2:26" ht="20.100000000000001" customHeight="1" x14ac:dyDescent="0.2">
      <c r="B17" s="107" t="s">
        <v>373</v>
      </c>
      <c r="C17" s="115" t="s">
        <v>714</v>
      </c>
      <c r="D17" s="116" t="str">
        <f>IF(0.1*E5&gt;2,"2 mg iv",0.1*E5&amp;" mg iv")</f>
        <v>0,1 mg iv</v>
      </c>
      <c r="E17" s="117" t="str">
        <f>"= "&amp;IF(0.1*E5&gt;2,"0,1 ml van een 10 mg/ml oplossing",ROUND(0.1*E5,2)&amp;" ml van een 10 mg/ml oplossing")</f>
        <v>= 0,1 ml van een 10 mg/ml oplossing</v>
      </c>
      <c r="F17" s="117"/>
      <c r="G17" s="131" t="s">
        <v>611</v>
      </c>
      <c r="H17" s="38"/>
      <c r="I17" s="38"/>
      <c r="J17" s="330"/>
      <c r="K17" s="330"/>
      <c r="L17" s="330">
        <v>17</v>
      </c>
      <c r="M17" s="330">
        <v>15</v>
      </c>
      <c r="N17" s="330">
        <v>7</v>
      </c>
      <c r="O17" s="330"/>
      <c r="P17" s="330"/>
      <c r="Q17" s="330"/>
      <c r="R17" s="330"/>
      <c r="S17" s="330">
        <v>18</v>
      </c>
      <c r="T17" s="330">
        <v>20</v>
      </c>
      <c r="U17" s="330"/>
      <c r="V17" s="330"/>
      <c r="W17" s="330"/>
      <c r="X17" s="330"/>
      <c r="Y17" s="121"/>
    </row>
    <row r="18" spans="2:26" ht="15.75" customHeight="1" thickBot="1" x14ac:dyDescent="0.25">
      <c r="B18" s="18"/>
      <c r="C18" s="105"/>
      <c r="D18" s="39"/>
      <c r="E18" s="442"/>
      <c r="F18" s="442"/>
      <c r="G18" s="132"/>
      <c r="H18" s="109"/>
      <c r="I18" s="109"/>
      <c r="J18" s="332"/>
      <c r="K18" s="330"/>
      <c r="L18" s="330">
        <v>18</v>
      </c>
      <c r="M18" s="330">
        <v>15</v>
      </c>
      <c r="N18" s="330">
        <v>7</v>
      </c>
      <c r="O18" s="330"/>
      <c r="P18" s="330"/>
      <c r="Q18" s="330"/>
      <c r="R18" s="330"/>
      <c r="S18" s="330">
        <v>19</v>
      </c>
      <c r="T18" s="330">
        <v>20</v>
      </c>
      <c r="U18" s="330"/>
      <c r="V18" s="330"/>
      <c r="W18" s="330"/>
      <c r="X18" s="330"/>
      <c r="Y18" s="121"/>
    </row>
    <row r="19" spans="2:26" ht="20.100000000000001" customHeight="1" x14ac:dyDescent="0.2">
      <c r="B19" s="107" t="s">
        <v>261</v>
      </c>
      <c r="C19" s="115" t="s">
        <v>715</v>
      </c>
      <c r="D19" s="116" t="str">
        <f>0.1*E5&amp;" mg iv"</f>
        <v>0,1 mg iv</v>
      </c>
      <c r="E19" s="117" t="str">
        <f>"= "&amp;ROUND((0.1*E5),2)&amp;" ml van Anexate 0,1 mg/ml"</f>
        <v>= 0,1 ml van Anexate 0,1 mg/ml</v>
      </c>
      <c r="F19" s="117"/>
      <c r="G19" s="131"/>
      <c r="H19" s="109"/>
      <c r="I19" s="109"/>
      <c r="J19" s="332"/>
      <c r="K19" s="330"/>
      <c r="L19" s="330"/>
      <c r="M19" s="330"/>
      <c r="N19" s="330"/>
      <c r="O19" s="330"/>
      <c r="P19" s="330"/>
      <c r="Q19" s="330"/>
      <c r="R19" s="330"/>
      <c r="S19" s="330">
        <v>20</v>
      </c>
      <c r="T19" s="330">
        <v>20</v>
      </c>
      <c r="U19" s="330">
        <v>20</v>
      </c>
      <c r="V19" s="330"/>
      <c r="W19" s="330"/>
      <c r="X19" s="330"/>
      <c r="Y19" s="121"/>
    </row>
    <row r="20" spans="2:26" ht="20.100000000000001" customHeight="1" x14ac:dyDescent="0.2">
      <c r="B20" s="107"/>
      <c r="C20" s="106" t="s">
        <v>716</v>
      </c>
      <c r="D20" s="39" t="str">
        <f>IF(0.01*E5&gt;0.4,"0,4 mg iv",0.01*E5&amp;" mg iv")</f>
        <v>0,01 mg iv</v>
      </c>
      <c r="E20" s="913" t="str">
        <f>"= "&amp;IF(0.01*E5&gt;0.4,"20 ml van Naloxon 20 mcg/ml of "&amp;"1 ml van 0,4 mg/ml",ROUND((0.01*E5)/0.02,1)&amp;" ml van Naloxon 20 mcg/ml of "&amp;ROUND((0.01*E5)/0.4,1)&amp;" ml van 0,4 mg/ml")</f>
        <v>= 0,5 ml van Naloxon 20 mcg/ml of 0 ml van 0,4 mg/ml</v>
      </c>
      <c r="F20" s="913"/>
      <c r="G20" s="132" t="s">
        <v>9</v>
      </c>
      <c r="H20" s="38"/>
      <c r="I20" s="38"/>
      <c r="J20" s="330"/>
      <c r="K20" s="330"/>
      <c r="L20" s="330"/>
      <c r="M20" s="330"/>
      <c r="N20" s="330"/>
      <c r="O20" s="330"/>
      <c r="P20" s="330"/>
      <c r="Q20" s="330"/>
      <c r="R20" s="330"/>
      <c r="S20" s="330">
        <v>21</v>
      </c>
      <c r="T20" s="330">
        <v>30</v>
      </c>
      <c r="U20" s="330"/>
      <c r="V20" s="330"/>
      <c r="W20" s="330"/>
      <c r="X20" s="330"/>
      <c r="Y20" s="121"/>
    </row>
    <row r="21" spans="2:26" ht="20.100000000000001" customHeight="1" thickBot="1" x14ac:dyDescent="0.25">
      <c r="B21" s="107"/>
      <c r="C21" s="118"/>
      <c r="D21" s="119"/>
      <c r="E21" s="914"/>
      <c r="F21" s="914"/>
      <c r="G21" s="133"/>
      <c r="H21" s="38"/>
      <c r="I21" s="38"/>
      <c r="J21" s="330"/>
      <c r="K21" s="330"/>
      <c r="L21" s="330" t="s">
        <v>992</v>
      </c>
      <c r="M21" s="330" t="s">
        <v>993</v>
      </c>
      <c r="N21" s="330" t="s">
        <v>712</v>
      </c>
      <c r="O21" s="330"/>
      <c r="P21" s="330"/>
      <c r="Q21" s="330"/>
      <c r="R21" s="330"/>
      <c r="S21" s="330">
        <v>22</v>
      </c>
      <c r="T21" s="330">
        <v>30</v>
      </c>
      <c r="U21" s="330"/>
      <c r="V21" s="330"/>
      <c r="W21" s="330"/>
      <c r="X21" s="330"/>
      <c r="Y21" s="121"/>
    </row>
    <row r="22" spans="2:26" ht="20.100000000000001" customHeight="1" thickBot="1" x14ac:dyDescent="0.25">
      <c r="B22" s="18"/>
      <c r="C22" s="105"/>
      <c r="D22" s="39"/>
      <c r="E22" s="442"/>
      <c r="F22" s="442"/>
      <c r="G22" s="132"/>
      <c r="H22" s="38"/>
      <c r="I22" s="38"/>
      <c r="J22" s="330"/>
      <c r="K22" s="330"/>
      <c r="L22" s="330">
        <v>0</v>
      </c>
      <c r="M22" s="330">
        <v>1</v>
      </c>
      <c r="N22" s="330">
        <v>2.5</v>
      </c>
      <c r="O22" s="330"/>
      <c r="P22" s="330"/>
      <c r="Q22" s="330"/>
      <c r="R22" s="330"/>
      <c r="S22" s="330">
        <v>23</v>
      </c>
      <c r="T22" s="330">
        <v>30</v>
      </c>
      <c r="U22" s="330"/>
      <c r="V22" s="330"/>
      <c r="W22" s="330"/>
      <c r="X22" s="330"/>
      <c r="Y22" s="121"/>
    </row>
    <row r="23" spans="2:26" ht="20.100000000000001" customHeight="1" x14ac:dyDescent="0.2">
      <c r="B23" s="107" t="s">
        <v>262</v>
      </c>
      <c r="C23" s="115" t="s">
        <v>705</v>
      </c>
      <c r="D23" s="443" t="str">
        <f>CONCATENATE(0.0144*(_Pat_Gewicht/10), " mg in 12 ml glucose 10%")</f>
        <v>0,0144 mg in 12 ml glucose 10%</v>
      </c>
      <c r="E23" s="117" t="s">
        <v>996</v>
      </c>
      <c r="F23" s="117"/>
      <c r="G23" s="131" t="s">
        <v>612</v>
      </c>
      <c r="H23" s="38"/>
      <c r="I23" s="38"/>
      <c r="J23" s="330"/>
      <c r="K23" s="330"/>
      <c r="L23" s="330">
        <v>1</v>
      </c>
      <c r="M23" s="330">
        <v>2</v>
      </c>
      <c r="N23" s="330">
        <v>3</v>
      </c>
      <c r="O23" s="330"/>
      <c r="P23" s="330"/>
      <c r="Q23" s="330"/>
      <c r="R23" s="330"/>
      <c r="S23" s="330">
        <v>24</v>
      </c>
      <c r="T23" s="330">
        <v>30</v>
      </c>
      <c r="U23" s="330"/>
      <c r="V23" s="330"/>
      <c r="W23" s="330"/>
      <c r="X23" s="330"/>
      <c r="Y23" s="121"/>
    </row>
    <row r="24" spans="2:26" ht="20.100000000000001" customHeight="1" x14ac:dyDescent="0.25">
      <c r="B24" s="107"/>
      <c r="C24" s="106" t="s">
        <v>717</v>
      </c>
      <c r="D24" s="39" t="str">
        <f>CONCATENATE(7.2*(_Pat_Gewicht/10), " mg in 12 ml glucose 10%")</f>
        <v>7,2 mg in 12 ml glucose 10%</v>
      </c>
      <c r="E24" s="38" t="s">
        <v>997</v>
      </c>
      <c r="F24" s="38"/>
      <c r="G24" s="132" t="s">
        <v>322</v>
      </c>
      <c r="H24" s="38"/>
      <c r="I24" s="38"/>
      <c r="J24" s="335"/>
      <c r="K24" s="330"/>
      <c r="L24" s="330">
        <v>2</v>
      </c>
      <c r="M24" s="330">
        <v>150</v>
      </c>
      <c r="N24" s="330">
        <v>3.5</v>
      </c>
      <c r="O24" s="330"/>
      <c r="P24" s="330"/>
      <c r="Q24" s="330"/>
      <c r="R24" s="330"/>
      <c r="S24" s="330">
        <v>25</v>
      </c>
      <c r="T24" s="330">
        <v>30</v>
      </c>
      <c r="U24" s="330"/>
      <c r="V24" s="330"/>
      <c r="W24" s="330"/>
      <c r="X24" s="330"/>
      <c r="Y24" s="121"/>
    </row>
    <row r="25" spans="2:26" ht="20.100000000000001" customHeight="1" thickBot="1" x14ac:dyDescent="0.25">
      <c r="B25" s="107"/>
      <c r="C25" s="118" t="s">
        <v>718</v>
      </c>
      <c r="D25" s="119" t="str">
        <f>CONCATENATE(0.072*(_Pat_Gewicht/10), " mg in 12 ml glucose 10%")</f>
        <v>0,072 mg in 12 ml glucose 10%</v>
      </c>
      <c r="E25" s="444" t="s">
        <v>998</v>
      </c>
      <c r="F25" s="120"/>
      <c r="G25" s="133" t="s">
        <v>382</v>
      </c>
      <c r="H25" s="38"/>
      <c r="I25" s="38"/>
      <c r="J25" s="330"/>
      <c r="K25" s="330"/>
      <c r="L25" s="330"/>
      <c r="M25" s="330"/>
      <c r="N25" s="330"/>
      <c r="O25" s="330"/>
      <c r="P25" s="330"/>
      <c r="Q25" s="330"/>
      <c r="R25" s="330"/>
      <c r="S25" s="330">
        <v>29</v>
      </c>
      <c r="T25" s="330">
        <v>30</v>
      </c>
      <c r="U25" s="330"/>
      <c r="V25" s="330"/>
      <c r="W25" s="330"/>
      <c r="X25" s="330"/>
      <c r="Y25" s="121"/>
    </row>
    <row r="26" spans="2:26" ht="20.100000000000001" customHeight="1" thickBot="1" x14ac:dyDescent="0.25">
      <c r="B26" s="18"/>
      <c r="C26" s="38"/>
      <c r="D26" s="39"/>
      <c r="E26" s="38"/>
      <c r="F26" s="38"/>
      <c r="G26" s="132"/>
      <c r="H26" s="38"/>
      <c r="I26" s="38"/>
      <c r="J26" s="330"/>
      <c r="K26" s="330"/>
      <c r="L26" s="330"/>
      <c r="M26" s="330"/>
      <c r="N26" s="330"/>
      <c r="O26" s="330"/>
      <c r="P26" s="330"/>
      <c r="Q26" s="330"/>
      <c r="R26" s="330"/>
      <c r="S26" s="330">
        <v>32</v>
      </c>
      <c r="T26" s="330">
        <v>50</v>
      </c>
      <c r="U26" s="330"/>
      <c r="V26" s="330"/>
      <c r="W26" s="330"/>
      <c r="X26" s="330"/>
      <c r="Y26" s="121"/>
    </row>
    <row r="27" spans="2:26" ht="26.25" thickBot="1" x14ac:dyDescent="0.25">
      <c r="B27" s="452" t="s">
        <v>85</v>
      </c>
      <c r="C27" s="448" t="s">
        <v>264</v>
      </c>
      <c r="D27" s="446" t="str">
        <f>CONCATENATE(0.1*(_Pat_Gewicht/10), " mg")</f>
        <v>0,1 mg</v>
      </c>
      <c r="E27" s="447" t="str">
        <f>"= "&amp;0.02*(_Pat_Gewicht/10)&amp;" ml van Midazolam 5mg/ml oplossing"</f>
        <v>= 0,02 ml van Midazolam 5mg/ml oplossing</v>
      </c>
      <c r="F27" s="447"/>
      <c r="G27" s="453"/>
      <c r="H27" s="38"/>
      <c r="I27" s="38"/>
      <c r="J27" s="330"/>
      <c r="K27" s="330"/>
      <c r="L27" s="330"/>
      <c r="M27" s="330"/>
      <c r="N27" s="330"/>
      <c r="O27" s="330"/>
      <c r="P27" s="330"/>
      <c r="Q27" s="330"/>
      <c r="R27" s="330"/>
      <c r="S27" s="330">
        <v>33</v>
      </c>
      <c r="T27" s="330">
        <v>50</v>
      </c>
      <c r="U27" s="330"/>
      <c r="V27" s="330"/>
      <c r="W27" s="330"/>
      <c r="X27" s="330"/>
      <c r="Y27" s="121"/>
    </row>
    <row r="28" spans="2:26" ht="20.100000000000001" customHeight="1" thickBot="1" x14ac:dyDescent="0.25">
      <c r="B28" s="445"/>
      <c r="C28" s="448" t="s">
        <v>999</v>
      </c>
      <c r="D28" s="449" t="str">
        <f>CONCATENATE(20*(_Pat_Gewicht/10), " mg")</f>
        <v>20 mg</v>
      </c>
      <c r="E28" s="450" t="str">
        <f>"= "&amp;0.4*(_Pat_Gewicht/10)&amp;" ml van Fenobarbital 50mg/ml oplossing"</f>
        <v>= 0,4 ml van Fenobarbital 50mg/ml oplossing</v>
      </c>
      <c r="F28" s="450"/>
      <c r="G28" s="451"/>
      <c r="H28" s="38"/>
      <c r="I28" s="38"/>
      <c r="J28" s="330"/>
      <c r="K28" s="330"/>
      <c r="L28" s="330"/>
      <c r="M28" s="330"/>
      <c r="N28" s="330"/>
      <c r="O28" s="330"/>
      <c r="P28" s="330"/>
      <c r="Q28" s="330"/>
      <c r="R28" s="330"/>
      <c r="S28" s="330">
        <v>41</v>
      </c>
      <c r="T28" s="330">
        <v>50</v>
      </c>
      <c r="U28" s="330"/>
      <c r="V28" s="330"/>
      <c r="W28" s="330"/>
      <c r="X28" s="330"/>
      <c r="Y28" s="121"/>
    </row>
    <row r="29" spans="2:26" ht="13.5" customHeight="1" thickBot="1" x14ac:dyDescent="0.25">
      <c r="B29" s="18"/>
      <c r="C29" s="38"/>
      <c r="D29" s="39"/>
      <c r="E29" s="38"/>
      <c r="F29" s="38"/>
      <c r="G29" s="134"/>
      <c r="H29" s="38"/>
      <c r="I29" s="38"/>
      <c r="J29" s="330"/>
      <c r="K29" s="330"/>
      <c r="L29" s="330"/>
      <c r="M29" s="330"/>
      <c r="N29" s="330"/>
      <c r="O29" s="330"/>
      <c r="P29" s="330"/>
      <c r="Q29" s="330"/>
      <c r="R29" s="330"/>
      <c r="S29" s="330">
        <v>42</v>
      </c>
      <c r="T29" s="330">
        <v>50</v>
      </c>
      <c r="U29" s="330"/>
      <c r="V29" s="330"/>
      <c r="W29" s="330"/>
      <c r="X29" s="330"/>
      <c r="Y29" s="121"/>
    </row>
    <row r="30" spans="2:26" ht="19.5" customHeight="1" x14ac:dyDescent="0.2">
      <c r="B30" s="462" t="s">
        <v>673</v>
      </c>
      <c r="C30" s="463" t="s">
        <v>1000</v>
      </c>
      <c r="D30" s="475" t="str">
        <f>CONCATENATE(0.225*(_Pat_Gewicht/10)," (mmol IV)")</f>
        <v>0,225 (mmol IV)</v>
      </c>
      <c r="E30" s="464" t="str">
        <f>"= "&amp;1*(_Pat_Gewicht/10)&amp;" ml IV van Calcium gluconaat 10%"</f>
        <v>= 1 ml IV van Calcium gluconaat 10%</v>
      </c>
      <c r="F30" s="464"/>
      <c r="G30" s="469"/>
      <c r="H30" s="457"/>
      <c r="I30" s="457"/>
      <c r="J30" s="473"/>
      <c r="K30" s="473"/>
      <c r="L30" s="473"/>
      <c r="M30" s="473"/>
      <c r="N30" s="473"/>
      <c r="O30" s="473"/>
      <c r="P30" s="473"/>
      <c r="Q30" s="473"/>
      <c r="R30" s="473"/>
      <c r="S30" s="473">
        <v>45</v>
      </c>
      <c r="T30" s="473">
        <v>50</v>
      </c>
      <c r="U30" s="473"/>
      <c r="V30" s="473"/>
      <c r="W30" s="473"/>
      <c r="X30" s="473"/>
      <c r="Y30" s="468"/>
      <c r="Z30" s="121"/>
    </row>
    <row r="31" spans="2:26" ht="19.5" customHeight="1" x14ac:dyDescent="0.25">
      <c r="B31" s="462"/>
      <c r="C31" s="461" t="s">
        <v>123</v>
      </c>
      <c r="D31" s="458" t="str">
        <f>CONCATENATE(0.1*(_Pat_Gewicht/10)," mg")</f>
        <v>0,1 mg</v>
      </c>
      <c r="E31" s="457" t="str">
        <f>"= "&amp;0.1*(_Pat_Gewicht/10)&amp;" ml van Morfine 1mg/1ml oplossing"</f>
        <v>= 0,1 ml van Morfine 1mg/1ml oplossing</v>
      </c>
      <c r="F31" s="457"/>
      <c r="G31" s="470"/>
      <c r="H31" s="457"/>
      <c r="I31" s="457"/>
      <c r="J31" s="474"/>
      <c r="K31" s="473"/>
      <c r="L31" s="473"/>
      <c r="M31" s="473"/>
      <c r="N31" s="473"/>
      <c r="O31" s="473"/>
      <c r="P31" s="473"/>
      <c r="Q31" s="473"/>
      <c r="R31" s="473"/>
      <c r="S31" s="473">
        <v>46</v>
      </c>
      <c r="T31" s="473">
        <v>50</v>
      </c>
      <c r="U31" s="473"/>
      <c r="V31" s="473"/>
      <c r="W31" s="473"/>
      <c r="X31" s="473"/>
      <c r="Y31" s="468"/>
    </row>
    <row r="32" spans="2:26" ht="19.5" customHeight="1" thickBot="1" x14ac:dyDescent="0.25">
      <c r="B32" s="462"/>
      <c r="C32" s="465" t="s">
        <v>709</v>
      </c>
      <c r="D32" s="466" t="str">
        <f>CONCATENATE(0.6*(_Pat_Gewicht/10)," mg")</f>
        <v>0,6 mg</v>
      </c>
      <c r="E32" s="467" t="str">
        <f>"= "&amp;0.06*(_Pat_Gewicht/10)&amp;" ml van Rocorium 10mg/1ml oplossing"</f>
        <v>= 0,06 ml van Rocorium 10mg/1ml oplossing</v>
      </c>
      <c r="F32" s="467"/>
      <c r="G32" s="471"/>
      <c r="H32" s="457"/>
      <c r="I32" s="457"/>
      <c r="J32" s="473"/>
      <c r="K32" s="473"/>
      <c r="L32" s="473"/>
      <c r="M32" s="473"/>
      <c r="N32" s="473"/>
      <c r="O32" s="473"/>
      <c r="P32" s="473"/>
      <c r="Q32" s="473"/>
      <c r="R32" s="473"/>
      <c r="S32" s="473">
        <v>47</v>
      </c>
      <c r="T32" s="473">
        <v>50</v>
      </c>
      <c r="U32" s="473"/>
      <c r="V32" s="473"/>
      <c r="W32" s="473"/>
      <c r="X32" s="473"/>
      <c r="Y32" s="468"/>
    </row>
    <row r="33" spans="2:25" ht="19.5" customHeight="1" x14ac:dyDescent="0.2">
      <c r="B33" s="456"/>
      <c r="C33" s="454"/>
      <c r="D33" s="454"/>
      <c r="E33" s="454"/>
      <c r="F33" s="454"/>
      <c r="G33" s="454"/>
      <c r="H33" s="457"/>
      <c r="I33" s="457"/>
      <c r="J33" s="473"/>
      <c r="K33" s="473"/>
      <c r="L33" s="473"/>
      <c r="M33" s="473"/>
      <c r="N33" s="473"/>
      <c r="O33" s="473"/>
      <c r="P33" s="473"/>
      <c r="Q33" s="473"/>
      <c r="R33" s="473"/>
      <c r="S33" s="473">
        <v>48</v>
      </c>
      <c r="T33" s="473">
        <v>50</v>
      </c>
      <c r="U33" s="473"/>
      <c r="V33" s="473"/>
      <c r="W33" s="473"/>
      <c r="X33" s="473"/>
      <c r="Y33" s="468"/>
    </row>
    <row r="34" spans="2:25" x14ac:dyDescent="0.2">
      <c r="B34" s="456"/>
      <c r="C34" s="457"/>
      <c r="D34" s="458"/>
      <c r="E34" s="457"/>
      <c r="F34" s="457"/>
      <c r="G34" s="472"/>
      <c r="H34" s="457"/>
      <c r="I34" s="457"/>
      <c r="J34" s="473"/>
      <c r="K34" s="473"/>
      <c r="L34" s="473"/>
      <c r="M34" s="473"/>
      <c r="N34" s="473"/>
      <c r="O34" s="473"/>
      <c r="P34" s="473"/>
      <c r="Q34" s="473"/>
      <c r="R34" s="473"/>
      <c r="S34" s="473">
        <v>49</v>
      </c>
      <c r="T34" s="473">
        <v>50</v>
      </c>
      <c r="U34" s="473"/>
      <c r="V34" s="473"/>
      <c r="W34" s="473"/>
      <c r="X34" s="473"/>
      <c r="Y34" s="468"/>
    </row>
    <row r="35" spans="2:25" x14ac:dyDescent="0.2">
      <c r="B35" s="455"/>
      <c r="C35" s="457"/>
      <c r="D35" s="457"/>
      <c r="E35" s="457"/>
      <c r="F35" s="457"/>
      <c r="G35" s="457"/>
      <c r="H35" s="457"/>
      <c r="I35" s="457"/>
      <c r="J35" s="473"/>
      <c r="K35" s="473"/>
      <c r="L35" s="473"/>
      <c r="M35" s="473"/>
      <c r="N35" s="473"/>
      <c r="O35" s="473"/>
      <c r="P35" s="473"/>
      <c r="Q35" s="473"/>
      <c r="R35" s="473"/>
      <c r="S35" s="473">
        <v>50</v>
      </c>
      <c r="T35" s="473">
        <v>50</v>
      </c>
      <c r="U35" s="473">
        <v>50</v>
      </c>
      <c r="V35" s="473"/>
      <c r="W35" s="473"/>
      <c r="X35" s="473"/>
      <c r="Y35" s="468"/>
    </row>
    <row r="36" spans="2:25" x14ac:dyDescent="0.2">
      <c r="B36" s="460" t="s">
        <v>79</v>
      </c>
      <c r="C36" s="459"/>
      <c r="D36" s="457"/>
      <c r="E36" s="457"/>
      <c r="F36" s="457"/>
      <c r="G36" s="457"/>
      <c r="H36" s="457"/>
      <c r="I36" s="457"/>
      <c r="J36" s="473"/>
      <c r="K36" s="473"/>
      <c r="L36" s="473"/>
      <c r="M36" s="473"/>
      <c r="N36" s="473"/>
      <c r="O36" s="473"/>
      <c r="P36" s="473"/>
      <c r="Q36" s="473"/>
      <c r="R36" s="473"/>
      <c r="S36" s="473">
        <v>51</v>
      </c>
      <c r="T36" s="473">
        <v>70</v>
      </c>
      <c r="U36" s="473"/>
      <c r="V36" s="473"/>
      <c r="W36" s="473"/>
      <c r="X36" s="473"/>
      <c r="Y36" s="468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330"/>
      <c r="K37" s="330"/>
      <c r="L37" s="330"/>
      <c r="M37" s="330"/>
      <c r="N37" s="330"/>
      <c r="O37" s="330"/>
      <c r="P37" s="330"/>
      <c r="Q37" s="330"/>
      <c r="R37" s="330"/>
      <c r="S37" s="330">
        <v>50</v>
      </c>
      <c r="T37" s="330">
        <v>50</v>
      </c>
      <c r="U37" s="330">
        <v>50</v>
      </c>
      <c r="V37" s="330"/>
      <c r="W37" s="330"/>
      <c r="X37" s="330"/>
      <c r="Y37" s="121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330"/>
      <c r="K38" s="330"/>
      <c r="L38" s="330"/>
      <c r="M38" s="330"/>
      <c r="N38" s="330"/>
      <c r="O38" s="330"/>
      <c r="P38" s="330"/>
      <c r="Q38" s="330"/>
      <c r="R38" s="330"/>
      <c r="S38" s="330">
        <v>51</v>
      </c>
      <c r="T38" s="330">
        <v>70</v>
      </c>
      <c r="U38" s="330"/>
      <c r="V38" s="330"/>
      <c r="W38" s="330"/>
      <c r="X38" s="330"/>
      <c r="Y38" s="121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330"/>
      <c r="K39" s="330"/>
      <c r="L39" s="330"/>
      <c r="M39" s="330"/>
      <c r="N39" s="330"/>
      <c r="O39" s="330"/>
      <c r="P39" s="330"/>
      <c r="Q39" s="330"/>
      <c r="R39" s="330"/>
      <c r="S39" s="330">
        <v>52</v>
      </c>
      <c r="T39" s="330">
        <v>70</v>
      </c>
      <c r="U39" s="330"/>
      <c r="V39" s="330"/>
      <c r="W39" s="330"/>
      <c r="X39" s="330"/>
      <c r="Y39" s="121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330"/>
      <c r="K40" s="330"/>
      <c r="L40" s="330"/>
      <c r="M40" s="330"/>
      <c r="N40" s="330"/>
      <c r="O40" s="330"/>
      <c r="P40" s="330"/>
      <c r="Q40" s="330"/>
      <c r="R40" s="330"/>
      <c r="S40" s="330">
        <v>53</v>
      </c>
      <c r="T40" s="330">
        <v>70</v>
      </c>
      <c r="U40" s="330"/>
      <c r="V40" s="330"/>
      <c r="W40" s="330"/>
      <c r="X40" s="330"/>
      <c r="Y40" s="121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330"/>
      <c r="K41" s="330"/>
      <c r="L41" s="330"/>
      <c r="M41" s="330"/>
      <c r="N41" s="330"/>
      <c r="O41" s="330"/>
      <c r="P41" s="330"/>
      <c r="Q41" s="330"/>
      <c r="R41" s="330"/>
      <c r="S41" s="330">
        <v>54</v>
      </c>
      <c r="T41" s="330">
        <v>70</v>
      </c>
      <c r="U41" s="330"/>
      <c r="V41" s="330"/>
      <c r="W41" s="330"/>
      <c r="X41" s="330"/>
      <c r="Y41" s="121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330"/>
      <c r="K42" s="330"/>
      <c r="L42" s="330"/>
      <c r="M42" s="330"/>
      <c r="N42" s="330"/>
      <c r="O42" s="330"/>
      <c r="P42" s="330"/>
      <c r="Q42" s="330"/>
      <c r="R42" s="330"/>
      <c r="S42" s="330">
        <v>55</v>
      </c>
      <c r="T42" s="330">
        <v>70</v>
      </c>
      <c r="U42" s="330"/>
      <c r="V42" s="330"/>
      <c r="W42" s="330"/>
      <c r="X42" s="330"/>
      <c r="Y42" s="121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330"/>
      <c r="K43" s="330"/>
      <c r="L43" s="330"/>
      <c r="M43" s="330"/>
      <c r="N43" s="330"/>
      <c r="O43" s="330"/>
      <c r="P43" s="330"/>
      <c r="Q43" s="330"/>
      <c r="R43" s="330"/>
      <c r="S43" s="330">
        <v>56</v>
      </c>
      <c r="T43" s="330">
        <v>70</v>
      </c>
      <c r="U43" s="330"/>
      <c r="V43" s="330"/>
      <c r="W43" s="330"/>
      <c r="X43" s="330"/>
      <c r="Y43" s="121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330"/>
      <c r="K44" s="330"/>
      <c r="L44" s="330"/>
      <c r="M44" s="330"/>
      <c r="N44" s="330"/>
      <c r="O44" s="330"/>
      <c r="P44" s="330"/>
      <c r="Q44" s="330"/>
      <c r="R44" s="330"/>
      <c r="S44" s="330">
        <v>57</v>
      </c>
      <c r="T44" s="330">
        <v>70</v>
      </c>
      <c r="U44" s="330"/>
      <c r="V44" s="330"/>
      <c r="W44" s="330"/>
      <c r="X44" s="330"/>
      <c r="Y44" s="121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330"/>
      <c r="K45" s="330"/>
      <c r="L45" s="330"/>
      <c r="M45" s="330"/>
      <c r="N45" s="330"/>
      <c r="O45" s="330"/>
      <c r="P45" s="330"/>
      <c r="Q45" s="330"/>
      <c r="R45" s="330"/>
      <c r="S45" s="330">
        <v>58</v>
      </c>
      <c r="T45" s="330">
        <v>70</v>
      </c>
      <c r="U45" s="330"/>
      <c r="V45" s="330"/>
      <c r="W45" s="330"/>
      <c r="X45" s="330"/>
      <c r="Y45" s="121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330"/>
      <c r="K46" s="330"/>
      <c r="L46" s="330"/>
      <c r="M46" s="330"/>
      <c r="N46" s="330"/>
      <c r="O46" s="330"/>
      <c r="P46" s="330"/>
      <c r="Q46" s="330"/>
      <c r="R46" s="330"/>
      <c r="S46" s="330">
        <v>59</v>
      </c>
      <c r="T46" s="330">
        <v>70</v>
      </c>
      <c r="U46" s="330"/>
      <c r="V46" s="330"/>
      <c r="W46" s="330"/>
      <c r="X46" s="330"/>
      <c r="Y46" s="121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330"/>
      <c r="K47" s="330"/>
      <c r="L47" s="330"/>
      <c r="M47" s="330"/>
      <c r="N47" s="330"/>
      <c r="O47" s="330"/>
      <c r="P47" s="330"/>
      <c r="Q47" s="330"/>
      <c r="R47" s="330"/>
      <c r="S47" s="330">
        <v>60</v>
      </c>
      <c r="T47" s="330">
        <v>70</v>
      </c>
      <c r="U47" s="330"/>
      <c r="V47" s="330"/>
      <c r="W47" s="330"/>
      <c r="X47" s="330"/>
      <c r="Y47" s="121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330"/>
      <c r="K48" s="330"/>
      <c r="L48" s="330"/>
      <c r="M48" s="330"/>
      <c r="N48" s="330"/>
      <c r="O48" s="330"/>
      <c r="P48" s="330"/>
      <c r="Q48" s="330"/>
      <c r="R48" s="330"/>
      <c r="S48" s="330">
        <v>61</v>
      </c>
      <c r="T48" s="330">
        <v>70</v>
      </c>
      <c r="U48" s="330"/>
      <c r="V48" s="330"/>
      <c r="W48" s="330"/>
      <c r="X48" s="330"/>
      <c r="Y48" s="121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330"/>
      <c r="K49" s="330"/>
      <c r="L49" s="330"/>
      <c r="M49" s="330"/>
      <c r="N49" s="330"/>
      <c r="O49" s="330"/>
      <c r="P49" s="330"/>
      <c r="Q49" s="330"/>
      <c r="R49" s="330"/>
      <c r="S49" s="330">
        <v>62</v>
      </c>
      <c r="T49" s="330">
        <v>70</v>
      </c>
      <c r="U49" s="330"/>
      <c r="V49" s="330"/>
      <c r="W49" s="330"/>
      <c r="X49" s="330"/>
      <c r="Y49" s="121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330"/>
      <c r="K50" s="330"/>
      <c r="L50" s="330"/>
      <c r="M50" s="330"/>
      <c r="N50" s="330"/>
      <c r="O50" s="330"/>
      <c r="P50" s="330"/>
      <c r="Q50" s="330"/>
      <c r="R50" s="330"/>
      <c r="S50" s="330">
        <v>63</v>
      </c>
      <c r="T50" s="330">
        <v>70</v>
      </c>
      <c r="U50" s="330"/>
      <c r="V50" s="330"/>
      <c r="W50" s="330"/>
      <c r="X50" s="330"/>
      <c r="Y50" s="121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330"/>
      <c r="K51" s="330"/>
      <c r="L51" s="330"/>
      <c r="M51" s="330"/>
      <c r="N51" s="330"/>
      <c r="O51" s="330"/>
      <c r="P51" s="330"/>
      <c r="Q51" s="330"/>
      <c r="R51" s="330"/>
      <c r="S51" s="330">
        <v>64</v>
      </c>
      <c r="T51" s="330">
        <v>70</v>
      </c>
      <c r="U51" s="330"/>
      <c r="V51" s="330"/>
      <c r="W51" s="330"/>
      <c r="X51" s="330"/>
      <c r="Y51" s="121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330"/>
      <c r="K52" s="330"/>
      <c r="L52" s="330"/>
      <c r="M52" s="330"/>
      <c r="N52" s="330"/>
      <c r="O52" s="330"/>
      <c r="P52" s="330"/>
      <c r="Q52" s="330"/>
      <c r="R52" s="330"/>
      <c r="S52" s="330">
        <v>65</v>
      </c>
      <c r="T52" s="330">
        <v>70</v>
      </c>
      <c r="U52" s="330"/>
      <c r="V52" s="330"/>
      <c r="W52" s="330"/>
      <c r="X52" s="330"/>
      <c r="Y52" s="121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330"/>
      <c r="K53" s="330"/>
      <c r="L53" s="330"/>
      <c r="M53" s="330"/>
      <c r="N53" s="330"/>
      <c r="O53" s="330"/>
      <c r="P53" s="330"/>
      <c r="Q53" s="330"/>
      <c r="R53" s="330"/>
      <c r="S53" s="330">
        <v>66</v>
      </c>
      <c r="T53" s="330">
        <v>70</v>
      </c>
      <c r="U53" s="330"/>
      <c r="V53" s="330"/>
      <c r="W53" s="330"/>
      <c r="X53" s="330"/>
      <c r="Y53" s="121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330"/>
      <c r="K54" s="330"/>
      <c r="L54" s="330"/>
      <c r="M54" s="330"/>
      <c r="N54" s="330"/>
      <c r="O54" s="330"/>
      <c r="P54" s="330"/>
      <c r="Q54" s="330"/>
      <c r="R54" s="330"/>
      <c r="S54" s="330">
        <v>67</v>
      </c>
      <c r="T54" s="330">
        <v>70</v>
      </c>
      <c r="U54" s="330"/>
      <c r="V54" s="330"/>
      <c r="W54" s="330"/>
      <c r="X54" s="330"/>
      <c r="Y54" s="121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330"/>
      <c r="K55" s="330"/>
      <c r="L55" s="330"/>
      <c r="M55" s="330"/>
      <c r="N55" s="330"/>
      <c r="O55" s="330"/>
      <c r="P55" s="330"/>
      <c r="Q55" s="330"/>
      <c r="R55" s="330"/>
      <c r="S55" s="330">
        <v>68</v>
      </c>
      <c r="T55" s="330">
        <v>70</v>
      </c>
      <c r="U55" s="330"/>
      <c r="V55" s="330"/>
      <c r="W55" s="330"/>
      <c r="X55" s="330"/>
      <c r="Y55" s="121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330"/>
      <c r="K56" s="330"/>
      <c r="L56" s="330"/>
      <c r="M56" s="330"/>
      <c r="N56" s="330"/>
      <c r="O56" s="330"/>
      <c r="P56" s="330"/>
      <c r="Q56" s="330"/>
      <c r="R56" s="330"/>
      <c r="S56" s="330">
        <v>69</v>
      </c>
      <c r="T56" s="330">
        <v>70</v>
      </c>
      <c r="U56" s="330"/>
      <c r="V56" s="330"/>
      <c r="W56" s="330"/>
      <c r="X56" s="330"/>
      <c r="Y56" s="121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330"/>
      <c r="K57" s="330"/>
      <c r="L57" s="330"/>
      <c r="M57" s="330"/>
      <c r="N57" s="330"/>
      <c r="O57" s="330"/>
      <c r="P57" s="330"/>
      <c r="Q57" s="330"/>
      <c r="R57" s="330"/>
      <c r="S57" s="330">
        <v>70</v>
      </c>
      <c r="T57" s="330">
        <v>70</v>
      </c>
      <c r="U57" s="330">
        <v>70</v>
      </c>
      <c r="V57" s="330"/>
      <c r="W57" s="330"/>
      <c r="X57" s="330"/>
      <c r="Y57" s="121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330"/>
      <c r="K58" s="330"/>
      <c r="L58" s="330"/>
      <c r="M58" s="330"/>
      <c r="N58" s="330"/>
      <c r="O58" s="330"/>
      <c r="P58" s="330"/>
      <c r="Q58" s="330"/>
      <c r="R58" s="330"/>
      <c r="S58" s="330">
        <v>71</v>
      </c>
      <c r="T58" s="330">
        <v>100</v>
      </c>
      <c r="U58" s="330"/>
      <c r="V58" s="330"/>
      <c r="W58" s="330"/>
      <c r="X58" s="330"/>
      <c r="Y58" s="121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330"/>
      <c r="K59" s="330"/>
      <c r="L59" s="330"/>
      <c r="M59" s="330"/>
      <c r="N59" s="330"/>
      <c r="O59" s="330"/>
      <c r="P59" s="330"/>
      <c r="Q59" s="330"/>
      <c r="R59" s="330"/>
      <c r="S59" s="330">
        <v>72</v>
      </c>
      <c r="T59" s="330">
        <v>100</v>
      </c>
      <c r="U59" s="330"/>
      <c r="V59" s="330"/>
      <c r="W59" s="330"/>
      <c r="X59" s="330"/>
      <c r="Y59" s="121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330"/>
      <c r="K60" s="330"/>
      <c r="L60" s="330"/>
      <c r="M60" s="330"/>
      <c r="N60" s="330"/>
      <c r="O60" s="330"/>
      <c r="P60" s="330"/>
      <c r="Q60" s="330"/>
      <c r="R60" s="330"/>
      <c r="S60" s="330">
        <v>73</v>
      </c>
      <c r="T60" s="330">
        <v>100</v>
      </c>
      <c r="U60" s="330"/>
      <c r="V60" s="330"/>
      <c r="W60" s="330"/>
      <c r="X60" s="330"/>
      <c r="Y60" s="121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330"/>
      <c r="K61" s="330"/>
      <c r="L61" s="330"/>
      <c r="M61" s="330"/>
      <c r="N61" s="330"/>
      <c r="O61" s="330"/>
      <c r="P61" s="330"/>
      <c r="Q61" s="330"/>
      <c r="R61" s="330"/>
      <c r="S61" s="330">
        <v>74</v>
      </c>
      <c r="T61" s="330">
        <v>100</v>
      </c>
      <c r="U61" s="330"/>
      <c r="V61" s="330"/>
      <c r="W61" s="330"/>
      <c r="X61" s="330"/>
      <c r="Y61" s="121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330"/>
      <c r="K62" s="330"/>
      <c r="L62" s="330"/>
      <c r="M62" s="330"/>
      <c r="N62" s="330"/>
      <c r="O62" s="330"/>
      <c r="P62" s="330"/>
      <c r="Q62" s="330"/>
      <c r="R62" s="330"/>
      <c r="S62" s="330">
        <v>75</v>
      </c>
      <c r="T62" s="330">
        <v>100</v>
      </c>
      <c r="U62" s="330"/>
      <c r="V62" s="330"/>
      <c r="W62" s="330"/>
      <c r="X62" s="330"/>
      <c r="Y62" s="121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330"/>
      <c r="K63" s="330"/>
      <c r="L63" s="330"/>
      <c r="M63" s="330"/>
      <c r="N63" s="330"/>
      <c r="O63" s="330"/>
      <c r="P63" s="330"/>
      <c r="Q63" s="330"/>
      <c r="R63" s="330"/>
      <c r="S63" s="330">
        <v>76</v>
      </c>
      <c r="T63" s="330">
        <v>100</v>
      </c>
      <c r="U63" s="330"/>
      <c r="V63" s="330"/>
      <c r="W63" s="330"/>
      <c r="X63" s="330"/>
      <c r="Y63" s="121"/>
    </row>
    <row r="64" spans="2:25" x14ac:dyDescent="0.2">
      <c r="H64" s="38"/>
      <c r="I64" s="38"/>
      <c r="J64" s="330"/>
      <c r="K64" s="330"/>
      <c r="L64" s="330"/>
      <c r="M64" s="330"/>
      <c r="N64" s="330"/>
      <c r="O64" s="330"/>
      <c r="P64" s="330"/>
      <c r="Q64" s="330"/>
      <c r="R64" s="330"/>
      <c r="S64" s="330">
        <v>77</v>
      </c>
      <c r="T64" s="330">
        <v>100</v>
      </c>
      <c r="U64" s="330"/>
      <c r="V64" s="330"/>
      <c r="W64" s="330"/>
      <c r="X64" s="330"/>
      <c r="Y64" s="121"/>
    </row>
    <row r="65" spans="10:25" x14ac:dyDescent="0.2">
      <c r="J65" s="330"/>
      <c r="K65" s="330"/>
      <c r="L65" s="330"/>
      <c r="M65" s="330"/>
      <c r="N65" s="330"/>
      <c r="O65" s="330"/>
      <c r="P65" s="330"/>
      <c r="Q65" s="330"/>
      <c r="R65" s="330"/>
      <c r="S65" s="330">
        <v>78</v>
      </c>
      <c r="T65" s="330">
        <v>100</v>
      </c>
      <c r="U65" s="330"/>
      <c r="V65" s="330"/>
      <c r="W65" s="330"/>
      <c r="X65" s="330"/>
      <c r="Y65" s="121"/>
    </row>
    <row r="66" spans="10:25" x14ac:dyDescent="0.2">
      <c r="J66" s="330"/>
      <c r="K66" s="330"/>
      <c r="L66" s="330"/>
      <c r="M66" s="330"/>
      <c r="N66" s="330"/>
      <c r="O66" s="330"/>
      <c r="P66" s="330"/>
      <c r="Q66" s="330"/>
      <c r="R66" s="330"/>
      <c r="S66" s="330">
        <v>79</v>
      </c>
      <c r="T66" s="330">
        <v>100</v>
      </c>
      <c r="U66" s="330"/>
      <c r="V66" s="330"/>
      <c r="W66" s="330"/>
      <c r="X66" s="330"/>
      <c r="Y66" s="121"/>
    </row>
    <row r="67" spans="10:25" x14ac:dyDescent="0.2">
      <c r="J67" s="330"/>
      <c r="K67" s="330"/>
      <c r="L67" s="330"/>
      <c r="M67" s="330"/>
      <c r="N67" s="330"/>
      <c r="O67" s="330"/>
      <c r="P67" s="330"/>
      <c r="Q67" s="330"/>
      <c r="R67" s="330"/>
      <c r="S67" s="330">
        <v>80</v>
      </c>
      <c r="T67" s="330">
        <v>100</v>
      </c>
      <c r="U67" s="330"/>
      <c r="V67" s="330"/>
      <c r="W67" s="330"/>
      <c r="X67" s="330"/>
      <c r="Y67" s="121"/>
    </row>
    <row r="68" spans="10:25" x14ac:dyDescent="0.2">
      <c r="J68" s="330"/>
      <c r="K68" s="330"/>
      <c r="L68" s="330"/>
      <c r="M68" s="330"/>
      <c r="N68" s="330"/>
      <c r="O68" s="330"/>
      <c r="P68" s="330"/>
      <c r="Q68" s="330"/>
      <c r="R68" s="330"/>
      <c r="S68" s="330">
        <v>81</v>
      </c>
      <c r="T68" s="330">
        <v>100</v>
      </c>
      <c r="U68" s="330"/>
      <c r="V68" s="330"/>
      <c r="W68" s="330"/>
      <c r="X68" s="330"/>
      <c r="Y68" s="121"/>
    </row>
    <row r="69" spans="10:25" x14ac:dyDescent="0.2">
      <c r="J69" s="330"/>
      <c r="K69" s="330"/>
      <c r="L69" s="330"/>
      <c r="M69" s="330"/>
      <c r="N69" s="330"/>
      <c r="O69" s="330"/>
      <c r="P69" s="330"/>
      <c r="Q69" s="330"/>
      <c r="R69" s="330"/>
      <c r="S69" s="330">
        <v>82</v>
      </c>
      <c r="T69" s="330">
        <v>100</v>
      </c>
      <c r="U69" s="330"/>
      <c r="V69" s="330"/>
      <c r="W69" s="330"/>
      <c r="X69" s="330"/>
      <c r="Y69" s="121"/>
    </row>
    <row r="70" spans="10:25" x14ac:dyDescent="0.2">
      <c r="J70" s="330"/>
      <c r="K70" s="330"/>
      <c r="L70" s="330"/>
      <c r="M70" s="330"/>
      <c r="N70" s="330"/>
      <c r="O70" s="330"/>
      <c r="P70" s="330"/>
      <c r="Q70" s="330"/>
      <c r="R70" s="330"/>
      <c r="S70" s="330">
        <v>83</v>
      </c>
      <c r="T70" s="330">
        <v>100</v>
      </c>
      <c r="U70" s="330"/>
      <c r="V70" s="330"/>
      <c r="W70" s="330"/>
      <c r="X70" s="330"/>
      <c r="Y70" s="121"/>
    </row>
    <row r="71" spans="10:25" x14ac:dyDescent="0.2">
      <c r="J71" s="330"/>
      <c r="K71" s="330"/>
      <c r="L71" s="330"/>
      <c r="M71" s="330"/>
      <c r="N71" s="330"/>
      <c r="O71" s="330"/>
      <c r="P71" s="330"/>
      <c r="Q71" s="330"/>
      <c r="R71" s="330"/>
      <c r="S71" s="330">
        <v>84</v>
      </c>
      <c r="T71" s="330">
        <v>100</v>
      </c>
      <c r="U71" s="330"/>
      <c r="V71" s="330"/>
      <c r="W71" s="330"/>
      <c r="X71" s="330"/>
      <c r="Y71" s="121"/>
    </row>
    <row r="72" spans="10:25" x14ac:dyDescent="0.2">
      <c r="J72" s="330"/>
      <c r="K72" s="330"/>
      <c r="L72" s="330"/>
      <c r="M72" s="330"/>
      <c r="N72" s="330"/>
      <c r="O72" s="330"/>
      <c r="P72" s="330"/>
      <c r="Q72" s="330"/>
      <c r="R72" s="330"/>
      <c r="S72" s="330">
        <v>85</v>
      </c>
      <c r="T72" s="330">
        <v>100</v>
      </c>
      <c r="U72" s="330"/>
      <c r="V72" s="330"/>
      <c r="W72" s="330"/>
      <c r="X72" s="330"/>
      <c r="Y72" s="121"/>
    </row>
    <row r="73" spans="10:25" x14ac:dyDescent="0.2">
      <c r="J73" s="330"/>
      <c r="K73" s="330"/>
      <c r="L73" s="330"/>
      <c r="M73" s="330"/>
      <c r="N73" s="330"/>
      <c r="O73" s="330"/>
      <c r="P73" s="330"/>
      <c r="Q73" s="330"/>
      <c r="R73" s="330"/>
      <c r="S73" s="330">
        <v>86</v>
      </c>
      <c r="T73" s="330">
        <v>100</v>
      </c>
      <c r="U73" s="330"/>
      <c r="V73" s="330"/>
      <c r="W73" s="330"/>
      <c r="X73" s="330"/>
      <c r="Y73" s="121"/>
    </row>
    <row r="74" spans="10:25" x14ac:dyDescent="0.2">
      <c r="J74" s="330"/>
      <c r="K74" s="330"/>
      <c r="L74" s="330"/>
      <c r="M74" s="330"/>
      <c r="N74" s="330"/>
      <c r="O74" s="330"/>
      <c r="P74" s="330"/>
      <c r="Q74" s="330"/>
      <c r="R74" s="330"/>
      <c r="S74" s="330">
        <v>87</v>
      </c>
      <c r="T74" s="330">
        <v>100</v>
      </c>
      <c r="U74" s="330"/>
      <c r="V74" s="330"/>
      <c r="W74" s="330"/>
      <c r="X74" s="330"/>
      <c r="Y74" s="121"/>
    </row>
    <row r="75" spans="10:25" x14ac:dyDescent="0.2">
      <c r="J75" s="330"/>
      <c r="K75" s="330"/>
      <c r="L75" s="330"/>
      <c r="M75" s="330"/>
      <c r="N75" s="330"/>
      <c r="O75" s="330"/>
      <c r="P75" s="330"/>
      <c r="Q75" s="330"/>
      <c r="R75" s="330"/>
      <c r="S75" s="330">
        <v>88</v>
      </c>
      <c r="T75" s="330">
        <v>100</v>
      </c>
      <c r="U75" s="330"/>
      <c r="V75" s="330"/>
      <c r="W75" s="330"/>
      <c r="X75" s="330"/>
      <c r="Y75" s="121"/>
    </row>
    <row r="76" spans="10:25" x14ac:dyDescent="0.2">
      <c r="J76" s="330"/>
      <c r="K76" s="330"/>
      <c r="L76" s="330"/>
      <c r="M76" s="330"/>
      <c r="N76" s="330"/>
      <c r="O76" s="330"/>
      <c r="P76" s="330"/>
      <c r="Q76" s="330"/>
      <c r="R76" s="330"/>
      <c r="S76" s="330">
        <v>89</v>
      </c>
      <c r="T76" s="330">
        <v>100</v>
      </c>
      <c r="U76" s="330"/>
      <c r="V76" s="330"/>
      <c r="W76" s="330"/>
      <c r="X76" s="330"/>
      <c r="Y76" s="121"/>
    </row>
    <row r="77" spans="10:25" x14ac:dyDescent="0.2">
      <c r="J77" s="330"/>
      <c r="K77" s="330"/>
      <c r="L77" s="330"/>
      <c r="M77" s="330"/>
      <c r="N77" s="330"/>
      <c r="O77" s="330"/>
      <c r="P77" s="330"/>
      <c r="Q77" s="330"/>
      <c r="R77" s="330"/>
      <c r="S77" s="330">
        <v>90</v>
      </c>
      <c r="T77" s="330">
        <v>100</v>
      </c>
      <c r="U77" s="330"/>
      <c r="V77" s="330"/>
      <c r="W77" s="330"/>
      <c r="X77" s="330"/>
      <c r="Y77" s="121"/>
    </row>
    <row r="78" spans="10:25" x14ac:dyDescent="0.2">
      <c r="J78" s="330"/>
      <c r="K78" s="330"/>
      <c r="L78" s="330"/>
      <c r="M78" s="330"/>
      <c r="N78" s="330"/>
      <c r="O78" s="330"/>
      <c r="P78" s="330"/>
      <c r="Q78" s="330"/>
      <c r="R78" s="330"/>
      <c r="S78" s="330">
        <v>91</v>
      </c>
      <c r="T78" s="330">
        <v>100</v>
      </c>
      <c r="U78" s="330"/>
      <c r="V78" s="330"/>
      <c r="W78" s="330"/>
      <c r="X78" s="330"/>
      <c r="Y78" s="121"/>
    </row>
    <row r="79" spans="10:25" x14ac:dyDescent="0.2">
      <c r="J79" s="330"/>
      <c r="K79" s="330"/>
      <c r="L79" s="330"/>
      <c r="M79" s="330"/>
      <c r="N79" s="330"/>
      <c r="O79" s="330"/>
      <c r="P79" s="330"/>
      <c r="Q79" s="330"/>
      <c r="R79" s="330"/>
      <c r="S79" s="330">
        <v>92</v>
      </c>
      <c r="T79" s="330">
        <v>100</v>
      </c>
      <c r="U79" s="330"/>
      <c r="V79" s="330"/>
      <c r="W79" s="330"/>
      <c r="X79" s="330"/>
      <c r="Y79" s="121"/>
    </row>
    <row r="80" spans="10:25" x14ac:dyDescent="0.2">
      <c r="J80" s="330"/>
      <c r="K80" s="330"/>
      <c r="L80" s="330"/>
      <c r="M80" s="330"/>
      <c r="N80" s="330"/>
      <c r="O80" s="330"/>
      <c r="P80" s="330"/>
      <c r="Q80" s="330"/>
      <c r="R80" s="330"/>
      <c r="S80" s="330">
        <v>93</v>
      </c>
      <c r="T80" s="330">
        <v>100</v>
      </c>
      <c r="U80" s="330"/>
      <c r="V80" s="330"/>
      <c r="W80" s="330"/>
      <c r="X80" s="330"/>
      <c r="Y80" s="121"/>
    </row>
    <row r="81" spans="10:25" x14ac:dyDescent="0.2">
      <c r="J81" s="330"/>
      <c r="K81" s="330"/>
      <c r="L81" s="330"/>
      <c r="M81" s="330"/>
      <c r="N81" s="330"/>
      <c r="O81" s="330"/>
      <c r="P81" s="330"/>
      <c r="Q81" s="330"/>
      <c r="R81" s="330"/>
      <c r="S81" s="330">
        <v>94</v>
      </c>
      <c r="T81" s="330">
        <v>100</v>
      </c>
      <c r="U81" s="330"/>
      <c r="V81" s="330"/>
      <c r="W81" s="330"/>
      <c r="X81" s="330"/>
      <c r="Y81" s="121"/>
    </row>
    <row r="82" spans="10:25" x14ac:dyDescent="0.2">
      <c r="J82" s="330"/>
      <c r="K82" s="330"/>
      <c r="L82" s="330"/>
      <c r="M82" s="330"/>
      <c r="N82" s="330"/>
      <c r="O82" s="330"/>
      <c r="P82" s="330"/>
      <c r="Q82" s="330"/>
      <c r="R82" s="330"/>
      <c r="S82" s="330">
        <v>95</v>
      </c>
      <c r="T82" s="330">
        <v>100</v>
      </c>
      <c r="U82" s="330"/>
      <c r="V82" s="330"/>
      <c r="W82" s="330"/>
      <c r="X82" s="330"/>
      <c r="Y82" s="121"/>
    </row>
    <row r="83" spans="10:25" x14ac:dyDescent="0.2">
      <c r="J83" s="330"/>
      <c r="K83" s="330"/>
      <c r="L83" s="330"/>
      <c r="M83" s="330"/>
      <c r="N83" s="330"/>
      <c r="O83" s="330"/>
      <c r="P83" s="330"/>
      <c r="Q83" s="330"/>
      <c r="R83" s="330"/>
      <c r="S83" s="330">
        <v>96</v>
      </c>
      <c r="T83" s="330">
        <v>100</v>
      </c>
      <c r="U83" s="330"/>
      <c r="V83" s="330"/>
      <c r="W83" s="330"/>
      <c r="X83" s="330"/>
      <c r="Y83" s="121"/>
    </row>
    <row r="84" spans="10:25" x14ac:dyDescent="0.2">
      <c r="J84" s="330"/>
      <c r="K84" s="330"/>
      <c r="L84" s="330"/>
      <c r="M84" s="330"/>
      <c r="N84" s="330"/>
      <c r="O84" s="330"/>
      <c r="P84" s="330"/>
      <c r="Q84" s="330"/>
      <c r="R84" s="330"/>
      <c r="S84" s="330">
        <v>97</v>
      </c>
      <c r="T84" s="330">
        <v>100</v>
      </c>
      <c r="U84" s="330"/>
      <c r="V84" s="330"/>
      <c r="W84" s="330"/>
      <c r="X84" s="330"/>
      <c r="Y84" s="121"/>
    </row>
    <row r="85" spans="10:25" x14ac:dyDescent="0.2">
      <c r="J85" s="330"/>
      <c r="K85" s="330"/>
      <c r="L85" s="330"/>
      <c r="M85" s="330"/>
      <c r="N85" s="330"/>
      <c r="O85" s="330"/>
      <c r="P85" s="330"/>
      <c r="Q85" s="330"/>
      <c r="R85" s="330"/>
      <c r="S85" s="330">
        <v>98</v>
      </c>
      <c r="T85" s="330">
        <v>100</v>
      </c>
      <c r="U85" s="330"/>
      <c r="V85" s="330"/>
      <c r="W85" s="330"/>
      <c r="X85" s="330"/>
      <c r="Y85" s="121"/>
    </row>
    <row r="86" spans="10:25" x14ac:dyDescent="0.2">
      <c r="J86" s="330"/>
      <c r="K86" s="330"/>
      <c r="L86" s="330"/>
      <c r="M86" s="330"/>
      <c r="N86" s="330"/>
      <c r="O86" s="330"/>
      <c r="P86" s="330"/>
      <c r="Q86" s="330"/>
      <c r="R86" s="330"/>
      <c r="S86" s="330">
        <v>99</v>
      </c>
      <c r="T86" s="330">
        <v>100</v>
      </c>
      <c r="U86" s="330"/>
      <c r="V86" s="330"/>
      <c r="W86" s="330"/>
      <c r="X86" s="330"/>
      <c r="Y86" s="121"/>
    </row>
    <row r="87" spans="10:25" x14ac:dyDescent="0.2">
      <c r="J87" s="330"/>
      <c r="K87" s="330"/>
      <c r="L87" s="330"/>
      <c r="M87" s="330"/>
      <c r="N87" s="330"/>
      <c r="O87" s="330"/>
      <c r="P87" s="330"/>
      <c r="Q87" s="330"/>
      <c r="R87" s="330"/>
      <c r="S87" s="330">
        <v>100</v>
      </c>
      <c r="T87" s="330">
        <v>100</v>
      </c>
      <c r="U87" s="330">
        <v>100</v>
      </c>
      <c r="V87" s="330"/>
      <c r="W87" s="330"/>
      <c r="X87" s="330"/>
      <c r="Y87" s="121"/>
    </row>
    <row r="88" spans="10:25" x14ac:dyDescent="0.2">
      <c r="J88" s="330"/>
      <c r="K88" s="330"/>
      <c r="L88" s="330"/>
      <c r="M88" s="330"/>
      <c r="N88" s="330"/>
      <c r="O88" s="330"/>
      <c r="P88" s="330"/>
      <c r="Q88" s="330"/>
      <c r="R88" s="330"/>
      <c r="S88" s="330">
        <v>101</v>
      </c>
      <c r="T88" s="330">
        <v>150</v>
      </c>
      <c r="U88" s="330"/>
      <c r="V88" s="330"/>
      <c r="W88" s="330"/>
      <c r="X88" s="330"/>
      <c r="Y88" s="121"/>
    </row>
    <row r="89" spans="10:25" x14ac:dyDescent="0.2">
      <c r="J89" s="330"/>
      <c r="K89" s="330"/>
      <c r="L89" s="330"/>
      <c r="M89" s="330"/>
      <c r="N89" s="330"/>
      <c r="O89" s="330"/>
      <c r="P89" s="330"/>
      <c r="Q89" s="330"/>
      <c r="R89" s="330"/>
      <c r="S89" s="330">
        <v>102</v>
      </c>
      <c r="T89" s="330">
        <v>150</v>
      </c>
      <c r="U89" s="330"/>
      <c r="V89" s="330"/>
      <c r="W89" s="330"/>
      <c r="X89" s="330"/>
      <c r="Y89" s="121"/>
    </row>
    <row r="90" spans="10:25" x14ac:dyDescent="0.2">
      <c r="J90" s="330"/>
      <c r="K90" s="330"/>
      <c r="L90" s="330"/>
      <c r="M90" s="330"/>
      <c r="N90" s="330"/>
      <c r="O90" s="330"/>
      <c r="P90" s="330"/>
      <c r="Q90" s="330"/>
      <c r="R90" s="330"/>
      <c r="S90" s="330">
        <v>103</v>
      </c>
      <c r="T90" s="330">
        <v>150</v>
      </c>
      <c r="U90" s="330"/>
      <c r="V90" s="330"/>
      <c r="W90" s="330"/>
      <c r="X90" s="330"/>
      <c r="Y90" s="121"/>
    </row>
    <row r="91" spans="10:25" x14ac:dyDescent="0.2">
      <c r="J91" s="330"/>
      <c r="K91" s="330"/>
      <c r="L91" s="330"/>
      <c r="M91" s="330"/>
      <c r="N91" s="330"/>
      <c r="O91" s="330"/>
      <c r="P91" s="330"/>
      <c r="Q91" s="330"/>
      <c r="R91" s="330"/>
      <c r="S91" s="330">
        <v>104</v>
      </c>
      <c r="T91" s="330">
        <v>150</v>
      </c>
      <c r="U91" s="330"/>
      <c r="V91" s="330"/>
      <c r="W91" s="330"/>
      <c r="X91" s="330"/>
      <c r="Y91" s="121"/>
    </row>
    <row r="92" spans="10:25" x14ac:dyDescent="0.2">
      <c r="J92" s="330"/>
      <c r="K92" s="330"/>
      <c r="L92" s="330"/>
      <c r="M92" s="330"/>
      <c r="N92" s="330"/>
      <c r="O92" s="330"/>
      <c r="P92" s="330"/>
      <c r="Q92" s="330"/>
      <c r="R92" s="330"/>
      <c r="S92" s="330">
        <v>105</v>
      </c>
      <c r="T92" s="330">
        <v>150</v>
      </c>
      <c r="U92" s="330"/>
      <c r="V92" s="330"/>
      <c r="W92" s="330"/>
      <c r="X92" s="330"/>
      <c r="Y92" s="121"/>
    </row>
    <row r="93" spans="10:25" x14ac:dyDescent="0.2">
      <c r="J93" s="330"/>
      <c r="K93" s="330"/>
      <c r="L93" s="330"/>
      <c r="M93" s="330"/>
      <c r="N93" s="330"/>
      <c r="O93" s="330"/>
      <c r="P93" s="330"/>
      <c r="Q93" s="330"/>
      <c r="R93" s="330"/>
      <c r="S93" s="330">
        <v>106</v>
      </c>
      <c r="T93" s="330">
        <v>150</v>
      </c>
      <c r="U93" s="330"/>
      <c r="V93" s="330"/>
      <c r="W93" s="330"/>
      <c r="X93" s="330"/>
      <c r="Y93" s="121"/>
    </row>
    <row r="94" spans="10:25" x14ac:dyDescent="0.2">
      <c r="J94" s="330"/>
      <c r="K94" s="330"/>
      <c r="L94" s="330"/>
      <c r="M94" s="330"/>
      <c r="N94" s="330"/>
      <c r="O94" s="330"/>
      <c r="P94" s="330"/>
      <c r="Q94" s="330"/>
      <c r="R94" s="330"/>
      <c r="S94" s="330">
        <v>107</v>
      </c>
      <c r="T94" s="330">
        <v>150</v>
      </c>
      <c r="U94" s="330"/>
      <c r="V94" s="330"/>
      <c r="W94" s="330"/>
      <c r="X94" s="330"/>
      <c r="Y94" s="121"/>
    </row>
    <row r="95" spans="10:25" x14ac:dyDescent="0.2">
      <c r="J95" s="330"/>
      <c r="K95" s="330"/>
      <c r="L95" s="330"/>
      <c r="M95" s="330"/>
      <c r="N95" s="330"/>
      <c r="O95" s="330"/>
      <c r="P95" s="330"/>
      <c r="Q95" s="330"/>
      <c r="R95" s="330"/>
      <c r="S95" s="330">
        <v>108</v>
      </c>
      <c r="T95" s="330">
        <v>150</v>
      </c>
      <c r="U95" s="330"/>
      <c r="V95" s="330"/>
      <c r="W95" s="330"/>
      <c r="X95" s="330"/>
      <c r="Y95" s="121"/>
    </row>
    <row r="96" spans="10:25" x14ac:dyDescent="0.2">
      <c r="J96" s="330"/>
      <c r="K96" s="330"/>
      <c r="L96" s="330"/>
      <c r="M96" s="330"/>
      <c r="N96" s="330"/>
      <c r="O96" s="330"/>
      <c r="P96" s="330"/>
      <c r="Q96" s="330"/>
      <c r="R96" s="330"/>
      <c r="S96" s="330">
        <v>109</v>
      </c>
      <c r="T96" s="330">
        <v>150</v>
      </c>
      <c r="U96" s="330"/>
      <c r="V96" s="330"/>
      <c r="W96" s="330"/>
      <c r="X96" s="330"/>
      <c r="Y96" s="121"/>
    </row>
    <row r="97" spans="10:25" x14ac:dyDescent="0.2">
      <c r="J97" s="330"/>
      <c r="K97" s="330"/>
      <c r="L97" s="330"/>
      <c r="M97" s="330"/>
      <c r="N97" s="330"/>
      <c r="O97" s="330"/>
      <c r="P97" s="330"/>
      <c r="Q97" s="330"/>
      <c r="R97" s="330"/>
      <c r="S97" s="330">
        <v>110</v>
      </c>
      <c r="T97" s="330">
        <v>150</v>
      </c>
      <c r="U97" s="330"/>
      <c r="V97" s="330"/>
      <c r="W97" s="330"/>
      <c r="X97" s="330"/>
      <c r="Y97" s="121"/>
    </row>
    <row r="98" spans="10:25" x14ac:dyDescent="0.2">
      <c r="J98" s="330"/>
      <c r="K98" s="330"/>
      <c r="L98" s="330"/>
      <c r="M98" s="330"/>
      <c r="N98" s="330"/>
      <c r="O98" s="330"/>
      <c r="P98" s="330"/>
      <c r="Q98" s="330"/>
      <c r="R98" s="330"/>
      <c r="S98" s="330">
        <v>111</v>
      </c>
      <c r="T98" s="330">
        <v>150</v>
      </c>
      <c r="U98" s="330"/>
      <c r="V98" s="330"/>
      <c r="W98" s="330"/>
      <c r="X98" s="330"/>
      <c r="Y98" s="121"/>
    </row>
    <row r="99" spans="10:25" x14ac:dyDescent="0.2">
      <c r="J99" s="330"/>
      <c r="K99" s="330"/>
      <c r="L99" s="330"/>
      <c r="M99" s="330"/>
      <c r="N99" s="330"/>
      <c r="O99" s="330"/>
      <c r="P99" s="330"/>
      <c r="Q99" s="330"/>
      <c r="R99" s="330"/>
      <c r="S99" s="330">
        <v>112</v>
      </c>
      <c r="T99" s="330">
        <v>150</v>
      </c>
      <c r="U99" s="330"/>
      <c r="V99" s="330"/>
      <c r="W99" s="330"/>
      <c r="X99" s="330"/>
      <c r="Y99" s="121"/>
    </row>
    <row r="100" spans="10:25" x14ac:dyDescent="0.2">
      <c r="J100" s="330"/>
      <c r="K100" s="330"/>
      <c r="L100" s="330"/>
      <c r="M100" s="330"/>
      <c r="N100" s="330"/>
      <c r="O100" s="330"/>
      <c r="P100" s="330"/>
      <c r="Q100" s="330"/>
      <c r="R100" s="330"/>
      <c r="S100" s="330">
        <v>113</v>
      </c>
      <c r="T100" s="330">
        <v>150</v>
      </c>
      <c r="U100" s="330"/>
      <c r="V100" s="330"/>
      <c r="W100" s="330"/>
      <c r="X100" s="330"/>
      <c r="Y100" s="121"/>
    </row>
    <row r="101" spans="10:25" x14ac:dyDescent="0.2">
      <c r="J101" s="330"/>
      <c r="K101" s="330"/>
      <c r="L101" s="330"/>
      <c r="M101" s="330"/>
      <c r="N101" s="330"/>
      <c r="O101" s="330"/>
      <c r="P101" s="330"/>
      <c r="Q101" s="330"/>
      <c r="R101" s="330"/>
      <c r="S101" s="330">
        <v>114</v>
      </c>
      <c r="T101" s="330">
        <v>150</v>
      </c>
      <c r="U101" s="330"/>
      <c r="V101" s="330"/>
      <c r="W101" s="330"/>
      <c r="X101" s="330"/>
      <c r="Y101" s="121"/>
    </row>
    <row r="102" spans="10:25" x14ac:dyDescent="0.2">
      <c r="J102" s="330"/>
      <c r="K102" s="330"/>
      <c r="L102" s="330"/>
      <c r="M102" s="330"/>
      <c r="N102" s="330"/>
      <c r="O102" s="330"/>
      <c r="P102" s="330"/>
      <c r="Q102" s="330"/>
      <c r="R102" s="330"/>
      <c r="S102" s="330">
        <v>115</v>
      </c>
      <c r="T102" s="330">
        <v>150</v>
      </c>
      <c r="U102" s="330"/>
      <c r="V102" s="330"/>
      <c r="W102" s="330"/>
      <c r="X102" s="330"/>
      <c r="Y102" s="121"/>
    </row>
    <row r="103" spans="10:25" x14ac:dyDescent="0.2">
      <c r="J103" s="330"/>
      <c r="K103" s="330"/>
      <c r="L103" s="330"/>
      <c r="M103" s="330"/>
      <c r="N103" s="330"/>
      <c r="O103" s="330"/>
      <c r="P103" s="330"/>
      <c r="Q103" s="330"/>
      <c r="R103" s="330"/>
      <c r="S103" s="330">
        <v>116</v>
      </c>
      <c r="T103" s="330">
        <v>150</v>
      </c>
      <c r="U103" s="330"/>
      <c r="V103" s="330"/>
      <c r="W103" s="330"/>
      <c r="X103" s="330"/>
      <c r="Y103" s="121"/>
    </row>
    <row r="104" spans="10:25" x14ac:dyDescent="0.2">
      <c r="J104" s="330"/>
      <c r="K104" s="330"/>
      <c r="L104" s="330"/>
      <c r="M104" s="330"/>
      <c r="N104" s="330"/>
      <c r="O104" s="330"/>
      <c r="P104" s="330"/>
      <c r="Q104" s="330"/>
      <c r="R104" s="330"/>
      <c r="S104" s="330">
        <v>117</v>
      </c>
      <c r="T104" s="330">
        <v>150</v>
      </c>
      <c r="U104" s="330"/>
      <c r="V104" s="330"/>
      <c r="W104" s="330"/>
      <c r="X104" s="330"/>
      <c r="Y104" s="121"/>
    </row>
    <row r="105" spans="10:25" x14ac:dyDescent="0.2">
      <c r="J105" s="330"/>
      <c r="K105" s="330"/>
      <c r="L105" s="330"/>
      <c r="M105" s="330"/>
      <c r="N105" s="330"/>
      <c r="O105" s="330"/>
      <c r="P105" s="330"/>
      <c r="Q105" s="330"/>
      <c r="R105" s="330"/>
      <c r="S105" s="330">
        <v>118</v>
      </c>
      <c r="T105" s="330">
        <v>150</v>
      </c>
      <c r="U105" s="330"/>
      <c r="V105" s="330"/>
      <c r="W105" s="330"/>
      <c r="X105" s="330"/>
      <c r="Y105" s="121"/>
    </row>
    <row r="106" spans="10:25" x14ac:dyDescent="0.2">
      <c r="J106" s="330"/>
      <c r="K106" s="330"/>
      <c r="L106" s="330"/>
      <c r="M106" s="330"/>
      <c r="N106" s="330"/>
      <c r="O106" s="330"/>
      <c r="P106" s="330"/>
      <c r="Q106" s="330"/>
      <c r="R106" s="330"/>
      <c r="S106" s="330">
        <v>119</v>
      </c>
      <c r="T106" s="330">
        <v>150</v>
      </c>
      <c r="U106" s="330"/>
      <c r="V106" s="330"/>
      <c r="W106" s="330"/>
      <c r="X106" s="330"/>
      <c r="Y106" s="121"/>
    </row>
    <row r="107" spans="10:25" x14ac:dyDescent="0.2">
      <c r="J107" s="330"/>
      <c r="K107" s="330"/>
      <c r="L107" s="330"/>
      <c r="M107" s="330"/>
      <c r="N107" s="330"/>
      <c r="O107" s="330"/>
      <c r="P107" s="330"/>
      <c r="Q107" s="330"/>
      <c r="R107" s="330"/>
      <c r="S107" s="330">
        <v>120</v>
      </c>
      <c r="T107" s="330">
        <v>150</v>
      </c>
      <c r="U107" s="330"/>
      <c r="V107" s="330"/>
      <c r="W107" s="330"/>
      <c r="X107" s="330"/>
      <c r="Y107" s="121"/>
    </row>
    <row r="108" spans="10:25" x14ac:dyDescent="0.2">
      <c r="J108" s="330"/>
      <c r="K108" s="330"/>
      <c r="L108" s="330"/>
      <c r="M108" s="330"/>
      <c r="N108" s="330"/>
      <c r="O108" s="330"/>
      <c r="P108" s="330"/>
      <c r="Q108" s="330"/>
      <c r="R108" s="330"/>
      <c r="S108" s="330">
        <v>121</v>
      </c>
      <c r="T108" s="330">
        <v>150</v>
      </c>
      <c r="U108" s="330"/>
      <c r="V108" s="330"/>
      <c r="W108" s="330"/>
      <c r="X108" s="330"/>
      <c r="Y108" s="121"/>
    </row>
    <row r="109" spans="10:25" x14ac:dyDescent="0.2">
      <c r="J109" s="330"/>
      <c r="K109" s="330"/>
      <c r="L109" s="330"/>
      <c r="M109" s="330"/>
      <c r="N109" s="330"/>
      <c r="O109" s="330"/>
      <c r="P109" s="330"/>
      <c r="Q109" s="330"/>
      <c r="R109" s="330"/>
      <c r="S109" s="330">
        <v>122</v>
      </c>
      <c r="T109" s="330">
        <v>150</v>
      </c>
      <c r="U109" s="330"/>
      <c r="V109" s="330"/>
      <c r="W109" s="330"/>
      <c r="X109" s="330"/>
      <c r="Y109" s="121"/>
    </row>
    <row r="110" spans="10:25" x14ac:dyDescent="0.2">
      <c r="J110" s="330"/>
      <c r="K110" s="330"/>
      <c r="L110" s="330"/>
      <c r="M110" s="330"/>
      <c r="N110" s="330"/>
      <c r="O110" s="330"/>
      <c r="P110" s="330"/>
      <c r="Q110" s="330"/>
      <c r="R110" s="330"/>
      <c r="S110" s="330">
        <v>123</v>
      </c>
      <c r="T110" s="330">
        <v>150</v>
      </c>
      <c r="U110" s="330"/>
      <c r="V110" s="330"/>
      <c r="W110" s="330"/>
      <c r="X110" s="330"/>
      <c r="Y110" s="121"/>
    </row>
    <row r="111" spans="10:25" x14ac:dyDescent="0.2">
      <c r="J111" s="330"/>
      <c r="K111" s="330"/>
      <c r="L111" s="330"/>
      <c r="M111" s="330"/>
      <c r="N111" s="330"/>
      <c r="O111" s="330"/>
      <c r="P111" s="330"/>
      <c r="Q111" s="330"/>
      <c r="R111" s="330"/>
      <c r="S111" s="330">
        <v>124</v>
      </c>
      <c r="T111" s="330">
        <v>150</v>
      </c>
      <c r="U111" s="330"/>
      <c r="V111" s="330"/>
      <c r="W111" s="330"/>
      <c r="X111" s="330"/>
      <c r="Y111" s="121"/>
    </row>
    <row r="112" spans="10:25" x14ac:dyDescent="0.2">
      <c r="J112" s="330"/>
      <c r="K112" s="330"/>
      <c r="L112" s="330"/>
      <c r="M112" s="330"/>
      <c r="N112" s="330"/>
      <c r="O112" s="330"/>
      <c r="P112" s="330"/>
      <c r="Q112" s="330"/>
      <c r="R112" s="330"/>
      <c r="S112" s="330">
        <v>125</v>
      </c>
      <c r="T112" s="330">
        <v>150</v>
      </c>
      <c r="U112" s="330"/>
      <c r="V112" s="330"/>
      <c r="W112" s="330"/>
      <c r="X112" s="330"/>
      <c r="Y112" s="121"/>
    </row>
    <row r="113" spans="10:25" x14ac:dyDescent="0.2">
      <c r="J113" s="330"/>
      <c r="K113" s="330"/>
      <c r="L113" s="330"/>
      <c r="M113" s="330"/>
      <c r="N113" s="330"/>
      <c r="O113" s="330"/>
      <c r="P113" s="330"/>
      <c r="Q113" s="330"/>
      <c r="R113" s="330"/>
      <c r="S113" s="330">
        <v>126</v>
      </c>
      <c r="T113" s="330">
        <v>150</v>
      </c>
      <c r="U113" s="330"/>
      <c r="V113" s="330"/>
      <c r="W113" s="330"/>
      <c r="X113" s="330"/>
      <c r="Y113" s="121"/>
    </row>
    <row r="114" spans="10:25" x14ac:dyDescent="0.2">
      <c r="J114" s="330"/>
      <c r="K114" s="330"/>
      <c r="L114" s="330"/>
      <c r="M114" s="330"/>
      <c r="N114" s="330"/>
      <c r="O114" s="330"/>
      <c r="P114" s="330"/>
      <c r="Q114" s="330"/>
      <c r="R114" s="330"/>
      <c r="S114" s="330">
        <v>127</v>
      </c>
      <c r="T114" s="330">
        <v>150</v>
      </c>
      <c r="U114" s="330"/>
      <c r="V114" s="330"/>
      <c r="W114" s="330"/>
      <c r="X114" s="330"/>
      <c r="Y114" s="121"/>
    </row>
    <row r="115" spans="10:25" x14ac:dyDescent="0.2">
      <c r="J115" s="330"/>
      <c r="K115" s="330"/>
      <c r="L115" s="330"/>
      <c r="M115" s="330"/>
      <c r="N115" s="330"/>
      <c r="O115" s="330"/>
      <c r="P115" s="330"/>
      <c r="Q115" s="330"/>
      <c r="R115" s="330"/>
      <c r="S115" s="330">
        <v>128</v>
      </c>
      <c r="T115" s="330">
        <v>150</v>
      </c>
      <c r="U115" s="330"/>
      <c r="V115" s="330"/>
      <c r="W115" s="330"/>
      <c r="X115" s="330"/>
      <c r="Y115" s="121"/>
    </row>
    <row r="116" spans="10:25" x14ac:dyDescent="0.2">
      <c r="J116" s="330"/>
      <c r="K116" s="330"/>
      <c r="L116" s="330"/>
      <c r="M116" s="330"/>
      <c r="N116" s="330"/>
      <c r="O116" s="330"/>
      <c r="P116" s="330"/>
      <c r="Q116" s="330"/>
      <c r="R116" s="330"/>
      <c r="S116" s="330">
        <v>129</v>
      </c>
      <c r="T116" s="330">
        <v>150</v>
      </c>
      <c r="U116" s="330"/>
      <c r="V116" s="330"/>
      <c r="W116" s="330"/>
      <c r="X116" s="330"/>
      <c r="Y116" s="121"/>
    </row>
    <row r="117" spans="10:25" x14ac:dyDescent="0.2">
      <c r="J117" s="330"/>
      <c r="K117" s="330"/>
      <c r="L117" s="330"/>
      <c r="M117" s="330"/>
      <c r="N117" s="330"/>
      <c r="O117" s="330"/>
      <c r="P117" s="330"/>
      <c r="Q117" s="330"/>
      <c r="R117" s="330"/>
      <c r="S117" s="330">
        <v>130</v>
      </c>
      <c r="T117" s="330">
        <v>150</v>
      </c>
      <c r="U117" s="330"/>
      <c r="V117" s="330"/>
      <c r="W117" s="330"/>
      <c r="X117" s="330"/>
      <c r="Y117" s="121"/>
    </row>
    <row r="118" spans="10:25" x14ac:dyDescent="0.2">
      <c r="J118" s="330"/>
      <c r="K118" s="330"/>
      <c r="L118" s="330"/>
      <c r="M118" s="330"/>
      <c r="N118" s="330"/>
      <c r="O118" s="330"/>
      <c r="P118" s="330"/>
      <c r="Q118" s="330"/>
      <c r="R118" s="330"/>
      <c r="S118" s="330">
        <v>131</v>
      </c>
      <c r="T118" s="330">
        <v>150</v>
      </c>
      <c r="U118" s="330"/>
      <c r="V118" s="330"/>
      <c r="W118" s="330"/>
      <c r="X118" s="330"/>
      <c r="Y118" s="121"/>
    </row>
    <row r="119" spans="10:25" x14ac:dyDescent="0.2">
      <c r="J119" s="330"/>
      <c r="K119" s="330"/>
      <c r="L119" s="330"/>
      <c r="M119" s="330"/>
      <c r="N119" s="330"/>
      <c r="O119" s="330"/>
      <c r="P119" s="330"/>
      <c r="Q119" s="330"/>
      <c r="R119" s="330"/>
      <c r="S119" s="330">
        <v>132</v>
      </c>
      <c r="T119" s="330">
        <v>150</v>
      </c>
      <c r="U119" s="330"/>
      <c r="V119" s="330"/>
      <c r="W119" s="330"/>
      <c r="X119" s="330"/>
      <c r="Y119" s="121"/>
    </row>
    <row r="120" spans="10:25" x14ac:dyDescent="0.2">
      <c r="J120" s="330"/>
      <c r="K120" s="330"/>
      <c r="L120" s="330"/>
      <c r="M120" s="330"/>
      <c r="N120" s="330"/>
      <c r="O120" s="330"/>
      <c r="P120" s="330"/>
      <c r="Q120" s="330"/>
      <c r="R120" s="330"/>
      <c r="S120" s="330">
        <v>133</v>
      </c>
      <c r="T120" s="330">
        <v>150</v>
      </c>
      <c r="U120" s="330"/>
      <c r="V120" s="330"/>
      <c r="W120" s="330"/>
      <c r="X120" s="330"/>
      <c r="Y120" s="121"/>
    </row>
    <row r="121" spans="10:25" x14ac:dyDescent="0.2">
      <c r="J121" s="330"/>
      <c r="K121" s="330"/>
      <c r="L121" s="330"/>
      <c r="M121" s="330"/>
      <c r="N121" s="330"/>
      <c r="O121" s="330"/>
      <c r="P121" s="330"/>
      <c r="Q121" s="330"/>
      <c r="R121" s="330"/>
      <c r="S121" s="330">
        <v>134</v>
      </c>
      <c r="T121" s="330">
        <v>150</v>
      </c>
      <c r="U121" s="330"/>
      <c r="V121" s="330"/>
      <c r="W121" s="330"/>
      <c r="X121" s="330"/>
      <c r="Y121" s="121"/>
    </row>
    <row r="122" spans="10:25" x14ac:dyDescent="0.2">
      <c r="J122" s="330"/>
      <c r="K122" s="330"/>
      <c r="L122" s="330"/>
      <c r="M122" s="330"/>
      <c r="N122" s="330"/>
      <c r="O122" s="330"/>
      <c r="P122" s="330"/>
      <c r="Q122" s="330"/>
      <c r="R122" s="330"/>
      <c r="S122" s="330">
        <v>135</v>
      </c>
      <c r="T122" s="330">
        <v>150</v>
      </c>
      <c r="U122" s="330"/>
      <c r="V122" s="330"/>
      <c r="W122" s="330"/>
      <c r="X122" s="330"/>
      <c r="Y122" s="121"/>
    </row>
    <row r="123" spans="10:25" x14ac:dyDescent="0.2">
      <c r="J123" s="330"/>
      <c r="K123" s="330"/>
      <c r="L123" s="330"/>
      <c r="M123" s="330"/>
      <c r="N123" s="330"/>
      <c r="O123" s="330"/>
      <c r="P123" s="330"/>
      <c r="Q123" s="330"/>
      <c r="R123" s="330"/>
      <c r="S123" s="330">
        <v>136</v>
      </c>
      <c r="T123" s="330">
        <v>150</v>
      </c>
      <c r="U123" s="330"/>
      <c r="V123" s="330"/>
      <c r="W123" s="330"/>
      <c r="X123" s="330"/>
      <c r="Y123" s="121"/>
    </row>
    <row r="124" spans="10:25" x14ac:dyDescent="0.2">
      <c r="J124" s="330"/>
      <c r="K124" s="330"/>
      <c r="L124" s="330"/>
      <c r="M124" s="330"/>
      <c r="N124" s="330"/>
      <c r="O124" s="330"/>
      <c r="P124" s="330"/>
      <c r="Q124" s="330"/>
      <c r="R124" s="330"/>
      <c r="S124" s="330">
        <v>137</v>
      </c>
      <c r="T124" s="330">
        <v>150</v>
      </c>
      <c r="U124" s="330"/>
      <c r="V124" s="330"/>
      <c r="W124" s="330"/>
      <c r="X124" s="330"/>
      <c r="Y124" s="121"/>
    </row>
    <row r="125" spans="10:25" x14ac:dyDescent="0.2">
      <c r="J125" s="330"/>
      <c r="K125" s="330"/>
      <c r="L125" s="330"/>
      <c r="M125" s="330"/>
      <c r="N125" s="330"/>
      <c r="O125" s="330"/>
      <c r="P125" s="330"/>
      <c r="Q125" s="330"/>
      <c r="R125" s="330"/>
      <c r="S125" s="330">
        <v>138</v>
      </c>
      <c r="T125" s="330">
        <v>150</v>
      </c>
      <c r="U125" s="330"/>
      <c r="V125" s="330"/>
      <c r="W125" s="330"/>
      <c r="X125" s="330"/>
      <c r="Y125" s="121"/>
    </row>
    <row r="126" spans="10:25" x14ac:dyDescent="0.2">
      <c r="J126" s="330"/>
      <c r="K126" s="330"/>
      <c r="L126" s="330"/>
      <c r="M126" s="330"/>
      <c r="N126" s="330"/>
      <c r="O126" s="330"/>
      <c r="P126" s="330"/>
      <c r="Q126" s="330"/>
      <c r="R126" s="330"/>
      <c r="S126" s="330">
        <v>139</v>
      </c>
      <c r="T126" s="330">
        <v>150</v>
      </c>
      <c r="U126" s="330"/>
      <c r="V126" s="330"/>
      <c r="W126" s="330"/>
      <c r="X126" s="330"/>
      <c r="Y126" s="121"/>
    </row>
    <row r="127" spans="10:25" x14ac:dyDescent="0.2">
      <c r="J127" s="330"/>
      <c r="K127" s="330"/>
      <c r="L127" s="330"/>
      <c r="M127" s="330"/>
      <c r="N127" s="330"/>
      <c r="O127" s="330"/>
      <c r="P127" s="330"/>
      <c r="Q127" s="330"/>
      <c r="R127" s="330"/>
      <c r="S127" s="330">
        <v>140</v>
      </c>
      <c r="T127" s="330">
        <v>150</v>
      </c>
      <c r="U127" s="330"/>
      <c r="V127" s="330"/>
      <c r="W127" s="330"/>
      <c r="X127" s="330"/>
      <c r="Y127" s="121"/>
    </row>
    <row r="128" spans="10:25" x14ac:dyDescent="0.2">
      <c r="J128" s="330"/>
      <c r="K128" s="330"/>
      <c r="L128" s="330"/>
      <c r="M128" s="330"/>
      <c r="N128" s="330"/>
      <c r="O128" s="330"/>
      <c r="P128" s="330"/>
      <c r="Q128" s="330"/>
      <c r="R128" s="330"/>
      <c r="S128" s="330">
        <v>141</v>
      </c>
      <c r="T128" s="330">
        <v>150</v>
      </c>
      <c r="U128" s="330"/>
      <c r="V128" s="330"/>
      <c r="W128" s="330"/>
      <c r="X128" s="330"/>
      <c r="Y128" s="121"/>
    </row>
    <row r="129" spans="10:25" x14ac:dyDescent="0.2">
      <c r="J129" s="330"/>
      <c r="K129" s="330"/>
      <c r="L129" s="330"/>
      <c r="M129" s="330"/>
      <c r="N129" s="330"/>
      <c r="O129" s="330"/>
      <c r="P129" s="330"/>
      <c r="Q129" s="330"/>
      <c r="R129" s="330"/>
      <c r="S129" s="330">
        <v>142</v>
      </c>
      <c r="T129" s="330">
        <v>150</v>
      </c>
      <c r="U129" s="330"/>
      <c r="V129" s="330"/>
      <c r="W129" s="330"/>
      <c r="X129" s="330"/>
      <c r="Y129" s="121"/>
    </row>
    <row r="130" spans="10:25" x14ac:dyDescent="0.2">
      <c r="J130" s="330"/>
      <c r="K130" s="330"/>
      <c r="L130" s="330"/>
      <c r="M130" s="330"/>
      <c r="N130" s="330"/>
      <c r="O130" s="330"/>
      <c r="P130" s="330"/>
      <c r="Q130" s="330"/>
      <c r="R130" s="330"/>
      <c r="S130" s="330">
        <v>143</v>
      </c>
      <c r="T130" s="330">
        <v>150</v>
      </c>
      <c r="U130" s="330"/>
      <c r="V130" s="330"/>
      <c r="W130" s="330"/>
      <c r="X130" s="330"/>
      <c r="Y130" s="121"/>
    </row>
    <row r="131" spans="10:25" x14ac:dyDescent="0.2">
      <c r="J131" s="330"/>
      <c r="K131" s="330"/>
      <c r="L131" s="330"/>
      <c r="M131" s="330"/>
      <c r="N131" s="330"/>
      <c r="O131" s="330"/>
      <c r="P131" s="330"/>
      <c r="Q131" s="330"/>
      <c r="R131" s="330"/>
      <c r="S131" s="330">
        <v>144</v>
      </c>
      <c r="T131" s="330">
        <v>150</v>
      </c>
      <c r="U131" s="330"/>
      <c r="V131" s="330"/>
      <c r="W131" s="330"/>
      <c r="X131" s="330"/>
      <c r="Y131" s="121"/>
    </row>
    <row r="132" spans="10:25" x14ac:dyDescent="0.2">
      <c r="J132" s="330"/>
      <c r="K132" s="330"/>
      <c r="L132" s="330"/>
      <c r="M132" s="330"/>
      <c r="N132" s="330"/>
      <c r="O132" s="330"/>
      <c r="P132" s="330"/>
      <c r="Q132" s="330"/>
      <c r="R132" s="330"/>
      <c r="S132" s="330">
        <v>145</v>
      </c>
      <c r="T132" s="330">
        <v>150</v>
      </c>
      <c r="U132" s="330"/>
      <c r="V132" s="330"/>
      <c r="W132" s="330"/>
      <c r="X132" s="330"/>
      <c r="Y132" s="121"/>
    </row>
    <row r="133" spans="10:25" x14ac:dyDescent="0.2">
      <c r="J133" s="330"/>
      <c r="K133" s="330"/>
      <c r="L133" s="330"/>
      <c r="M133" s="330"/>
      <c r="N133" s="330"/>
      <c r="O133" s="330"/>
      <c r="P133" s="330"/>
      <c r="Q133" s="330"/>
      <c r="R133" s="330"/>
      <c r="S133" s="330">
        <v>146</v>
      </c>
      <c r="T133" s="330">
        <v>150</v>
      </c>
      <c r="U133" s="330"/>
      <c r="V133" s="330"/>
      <c r="W133" s="330"/>
      <c r="X133" s="330"/>
      <c r="Y133" s="121"/>
    </row>
    <row r="134" spans="10:25" x14ac:dyDescent="0.2">
      <c r="J134" s="330"/>
      <c r="K134" s="330"/>
      <c r="L134" s="330"/>
      <c r="M134" s="330"/>
      <c r="N134" s="330"/>
      <c r="O134" s="330"/>
      <c r="P134" s="330"/>
      <c r="Q134" s="330"/>
      <c r="R134" s="330"/>
      <c r="S134" s="330">
        <v>147</v>
      </c>
      <c r="T134" s="330">
        <v>150</v>
      </c>
      <c r="U134" s="330"/>
      <c r="V134" s="330"/>
      <c r="W134" s="330"/>
      <c r="X134" s="330"/>
      <c r="Y134" s="121"/>
    </row>
    <row r="135" spans="10:25" x14ac:dyDescent="0.2">
      <c r="J135" s="330"/>
      <c r="K135" s="330"/>
      <c r="L135" s="330"/>
      <c r="M135" s="330"/>
      <c r="N135" s="330"/>
      <c r="O135" s="330"/>
      <c r="P135" s="330"/>
      <c r="Q135" s="330"/>
      <c r="R135" s="330"/>
      <c r="S135" s="330">
        <v>148</v>
      </c>
      <c r="T135" s="330">
        <v>150</v>
      </c>
      <c r="U135" s="330"/>
      <c r="V135" s="330"/>
      <c r="W135" s="330"/>
      <c r="X135" s="330"/>
      <c r="Y135" s="121"/>
    </row>
    <row r="136" spans="10:25" x14ac:dyDescent="0.2">
      <c r="J136" s="330"/>
      <c r="K136" s="330"/>
      <c r="L136" s="330"/>
      <c r="M136" s="330"/>
      <c r="N136" s="330"/>
      <c r="O136" s="330"/>
      <c r="P136" s="330"/>
      <c r="Q136" s="330"/>
      <c r="R136" s="330"/>
      <c r="S136" s="330">
        <v>149</v>
      </c>
      <c r="T136" s="330">
        <v>150</v>
      </c>
      <c r="U136" s="330"/>
      <c r="V136" s="330"/>
      <c r="W136" s="330"/>
      <c r="X136" s="330"/>
      <c r="Y136" s="121"/>
    </row>
    <row r="137" spans="10:25" x14ac:dyDescent="0.2">
      <c r="J137" s="330"/>
      <c r="K137" s="330"/>
      <c r="L137" s="330"/>
      <c r="M137" s="330"/>
      <c r="N137" s="330"/>
      <c r="O137" s="330"/>
      <c r="P137" s="330"/>
      <c r="Q137" s="330"/>
      <c r="R137" s="330"/>
      <c r="S137" s="330">
        <v>150</v>
      </c>
      <c r="T137" s="330">
        <v>150</v>
      </c>
      <c r="U137" s="330">
        <v>150</v>
      </c>
      <c r="V137" s="330"/>
      <c r="W137" s="330"/>
      <c r="X137" s="330"/>
      <c r="Y137" s="121"/>
    </row>
    <row r="138" spans="10:25" x14ac:dyDescent="0.2">
      <c r="J138" s="330"/>
      <c r="K138" s="330"/>
      <c r="L138" s="330"/>
      <c r="M138" s="330"/>
      <c r="N138" s="330"/>
      <c r="O138" s="330"/>
      <c r="P138" s="330"/>
      <c r="Q138" s="330"/>
      <c r="R138" s="330"/>
      <c r="S138" s="330">
        <v>151</v>
      </c>
      <c r="T138" s="330">
        <v>150</v>
      </c>
      <c r="U138" s="330"/>
      <c r="V138" s="330"/>
      <c r="W138" s="330"/>
      <c r="X138" s="330"/>
      <c r="Y138" s="121"/>
    </row>
    <row r="139" spans="10:25" x14ac:dyDescent="0.2">
      <c r="J139" s="330"/>
      <c r="K139" s="330"/>
      <c r="L139" s="330"/>
      <c r="M139" s="330"/>
      <c r="N139" s="330"/>
      <c r="O139" s="330"/>
      <c r="P139" s="330"/>
      <c r="Q139" s="330"/>
      <c r="R139" s="330"/>
      <c r="S139" s="330">
        <v>152</v>
      </c>
      <c r="T139" s="330">
        <v>150</v>
      </c>
      <c r="U139" s="330"/>
      <c r="V139" s="330"/>
      <c r="W139" s="330"/>
      <c r="X139" s="330"/>
      <c r="Y139" s="121"/>
    </row>
    <row r="140" spans="10:25" x14ac:dyDescent="0.2">
      <c r="J140" s="330"/>
      <c r="K140" s="330"/>
      <c r="L140" s="330"/>
      <c r="M140" s="330"/>
      <c r="N140" s="330"/>
      <c r="O140" s="330"/>
      <c r="P140" s="330"/>
      <c r="Q140" s="330"/>
      <c r="R140" s="330"/>
      <c r="S140" s="330">
        <v>153</v>
      </c>
      <c r="T140" s="330">
        <v>150</v>
      </c>
      <c r="U140" s="330"/>
      <c r="V140" s="330"/>
      <c r="W140" s="330"/>
      <c r="X140" s="330"/>
      <c r="Y140" s="121"/>
    </row>
    <row r="141" spans="10:25" x14ac:dyDescent="0.2">
      <c r="J141" s="330"/>
      <c r="K141" s="330"/>
      <c r="L141" s="330"/>
      <c r="M141" s="330"/>
      <c r="N141" s="330"/>
      <c r="O141" s="330"/>
      <c r="P141" s="330"/>
      <c r="Q141" s="330"/>
      <c r="R141" s="330"/>
      <c r="S141" s="330">
        <v>154</v>
      </c>
      <c r="T141" s="330">
        <v>150</v>
      </c>
      <c r="U141" s="330"/>
      <c r="V141" s="330"/>
      <c r="W141" s="330"/>
      <c r="X141" s="330"/>
      <c r="Y141" s="121"/>
    </row>
    <row r="142" spans="10:25" x14ac:dyDescent="0.2">
      <c r="J142" s="330"/>
      <c r="K142" s="330"/>
      <c r="L142" s="330"/>
      <c r="M142" s="330"/>
      <c r="N142" s="330"/>
      <c r="O142" s="330"/>
      <c r="P142" s="330"/>
      <c r="Q142" s="330"/>
      <c r="R142" s="330"/>
      <c r="S142" s="330">
        <v>155</v>
      </c>
      <c r="T142" s="330">
        <v>150</v>
      </c>
      <c r="U142" s="330"/>
      <c r="V142" s="330"/>
      <c r="W142" s="330"/>
      <c r="X142" s="330"/>
      <c r="Y142" s="121"/>
    </row>
    <row r="143" spans="10:25" x14ac:dyDescent="0.2">
      <c r="J143" s="330"/>
      <c r="K143" s="330"/>
      <c r="L143" s="330"/>
      <c r="M143" s="330"/>
      <c r="N143" s="330"/>
      <c r="O143" s="330"/>
      <c r="P143" s="330"/>
      <c r="Q143" s="330"/>
      <c r="R143" s="330"/>
      <c r="S143" s="330">
        <v>156</v>
      </c>
      <c r="T143" s="330">
        <v>150</v>
      </c>
      <c r="U143" s="330"/>
      <c r="V143" s="330"/>
      <c r="W143" s="330"/>
      <c r="X143" s="330"/>
      <c r="Y143" s="121"/>
    </row>
    <row r="144" spans="10:25" x14ac:dyDescent="0.2">
      <c r="J144" s="330"/>
      <c r="K144" s="330"/>
      <c r="L144" s="330"/>
      <c r="M144" s="330"/>
      <c r="N144" s="330"/>
      <c r="O144" s="330"/>
      <c r="P144" s="330"/>
      <c r="Q144" s="330"/>
      <c r="R144" s="330"/>
      <c r="S144" s="330">
        <v>157</v>
      </c>
      <c r="T144" s="330">
        <v>150</v>
      </c>
      <c r="U144" s="330"/>
      <c r="V144" s="330"/>
      <c r="W144" s="330"/>
      <c r="X144" s="330"/>
      <c r="Y144" s="121"/>
    </row>
    <row r="145" spans="10:25" x14ac:dyDescent="0.2">
      <c r="J145" s="330"/>
      <c r="K145" s="330"/>
      <c r="L145" s="330"/>
      <c r="M145" s="330"/>
      <c r="N145" s="330"/>
      <c r="O145" s="330"/>
      <c r="P145" s="330"/>
      <c r="Q145" s="330"/>
      <c r="R145" s="330"/>
      <c r="S145" s="330">
        <v>158</v>
      </c>
      <c r="T145" s="330">
        <v>150</v>
      </c>
      <c r="U145" s="330"/>
      <c r="V145" s="330"/>
      <c r="W145" s="330"/>
      <c r="X145" s="330"/>
      <c r="Y145" s="121"/>
    </row>
    <row r="146" spans="10:25" x14ac:dyDescent="0.2">
      <c r="J146" s="330"/>
      <c r="K146" s="330"/>
      <c r="L146" s="330"/>
      <c r="M146" s="330"/>
      <c r="N146" s="330"/>
      <c r="O146" s="330"/>
      <c r="P146" s="330"/>
      <c r="Q146" s="330"/>
      <c r="R146" s="330"/>
      <c r="S146" s="330">
        <v>159</v>
      </c>
      <c r="T146" s="330">
        <v>150</v>
      </c>
      <c r="U146" s="330"/>
      <c r="V146" s="330"/>
      <c r="W146" s="330"/>
      <c r="X146" s="330"/>
      <c r="Y146" s="121"/>
    </row>
    <row r="147" spans="10:25" x14ac:dyDescent="0.2">
      <c r="J147" s="330"/>
      <c r="K147" s="330"/>
      <c r="L147" s="330"/>
      <c r="M147" s="330"/>
      <c r="N147" s="330"/>
      <c r="O147" s="330"/>
      <c r="P147" s="330"/>
      <c r="Q147" s="330"/>
      <c r="R147" s="330"/>
      <c r="S147" s="330">
        <v>160</v>
      </c>
      <c r="T147" s="330">
        <v>150</v>
      </c>
      <c r="U147" s="330"/>
      <c r="V147" s="330"/>
      <c r="W147" s="330"/>
      <c r="X147" s="330"/>
      <c r="Y147" s="121"/>
    </row>
    <row r="148" spans="10:25" x14ac:dyDescent="0.2">
      <c r="J148" s="330"/>
      <c r="K148" s="330"/>
      <c r="L148" s="330"/>
      <c r="M148" s="330"/>
      <c r="N148" s="330"/>
      <c r="O148" s="330"/>
      <c r="P148" s="330"/>
      <c r="Q148" s="330"/>
      <c r="R148" s="330"/>
      <c r="S148" s="330">
        <v>161</v>
      </c>
      <c r="T148" s="330">
        <v>150</v>
      </c>
      <c r="U148" s="330"/>
      <c r="V148" s="330"/>
      <c r="W148" s="330"/>
      <c r="X148" s="330"/>
      <c r="Y148" s="121"/>
    </row>
    <row r="149" spans="10:25" x14ac:dyDescent="0.2">
      <c r="J149" s="330"/>
      <c r="K149" s="330"/>
      <c r="L149" s="330"/>
      <c r="M149" s="330"/>
      <c r="N149" s="330"/>
      <c r="O149" s="330"/>
      <c r="P149" s="330"/>
      <c r="Q149" s="330"/>
      <c r="R149" s="330"/>
      <c r="S149" s="330">
        <v>162</v>
      </c>
      <c r="T149" s="330">
        <v>150</v>
      </c>
      <c r="U149" s="330"/>
      <c r="V149" s="330"/>
      <c r="W149" s="330"/>
      <c r="X149" s="330"/>
      <c r="Y149" s="121"/>
    </row>
    <row r="150" spans="10:25" x14ac:dyDescent="0.2">
      <c r="J150" s="330"/>
      <c r="K150" s="330"/>
      <c r="L150" s="330"/>
      <c r="M150" s="330"/>
      <c r="N150" s="330"/>
      <c r="O150" s="330"/>
      <c r="P150" s="330"/>
      <c r="Q150" s="330"/>
      <c r="R150" s="330"/>
      <c r="S150" s="330">
        <v>163</v>
      </c>
      <c r="T150" s="330">
        <v>150</v>
      </c>
      <c r="U150" s="330"/>
      <c r="V150" s="330"/>
      <c r="W150" s="330"/>
      <c r="X150" s="330"/>
      <c r="Y150" s="121"/>
    </row>
    <row r="151" spans="10:25" x14ac:dyDescent="0.2">
      <c r="J151" s="330"/>
      <c r="K151" s="330"/>
      <c r="L151" s="330"/>
      <c r="M151" s="330"/>
      <c r="N151" s="330"/>
      <c r="O151" s="330"/>
      <c r="P151" s="330"/>
      <c r="Q151" s="330"/>
      <c r="R151" s="330"/>
      <c r="S151" s="330">
        <v>164</v>
      </c>
      <c r="T151" s="330">
        <v>150</v>
      </c>
      <c r="U151" s="330"/>
      <c r="V151" s="330"/>
      <c r="W151" s="330"/>
      <c r="X151" s="330"/>
      <c r="Y151" s="121"/>
    </row>
    <row r="152" spans="10:25" x14ac:dyDescent="0.2">
      <c r="J152" s="330"/>
      <c r="K152" s="330"/>
      <c r="L152" s="330"/>
      <c r="M152" s="330"/>
      <c r="N152" s="330"/>
      <c r="O152" s="330"/>
      <c r="P152" s="330"/>
      <c r="Q152" s="330"/>
      <c r="R152" s="330"/>
      <c r="S152" s="330">
        <v>165</v>
      </c>
      <c r="T152" s="330">
        <v>150</v>
      </c>
      <c r="U152" s="330"/>
      <c r="V152" s="330"/>
      <c r="W152" s="330"/>
      <c r="X152" s="330"/>
      <c r="Y152" s="121"/>
    </row>
    <row r="153" spans="10:25" x14ac:dyDescent="0.2">
      <c r="J153" s="330"/>
      <c r="K153" s="330"/>
      <c r="L153" s="330"/>
      <c r="M153" s="330"/>
      <c r="N153" s="330"/>
      <c r="O153" s="330"/>
      <c r="P153" s="330"/>
      <c r="Q153" s="330"/>
      <c r="R153" s="330"/>
      <c r="S153" s="330">
        <v>166</v>
      </c>
      <c r="T153" s="330">
        <v>150</v>
      </c>
      <c r="U153" s="330"/>
      <c r="V153" s="330"/>
      <c r="W153" s="330"/>
      <c r="X153" s="330"/>
      <c r="Y153" s="121"/>
    </row>
    <row r="154" spans="10:25" x14ac:dyDescent="0.2">
      <c r="J154" s="330"/>
      <c r="K154" s="330"/>
      <c r="L154" s="330"/>
      <c r="M154" s="330"/>
      <c r="N154" s="330"/>
      <c r="O154" s="330"/>
      <c r="P154" s="330"/>
      <c r="Q154" s="330"/>
      <c r="R154" s="330"/>
      <c r="S154" s="330">
        <v>167</v>
      </c>
      <c r="T154" s="330">
        <v>150</v>
      </c>
      <c r="U154" s="330"/>
      <c r="V154" s="330"/>
      <c r="W154" s="330"/>
      <c r="X154" s="330"/>
      <c r="Y154" s="121"/>
    </row>
    <row r="155" spans="10:25" x14ac:dyDescent="0.2">
      <c r="J155" s="330"/>
      <c r="K155" s="330"/>
      <c r="L155" s="330"/>
      <c r="M155" s="330"/>
      <c r="N155" s="330"/>
      <c r="O155" s="330"/>
      <c r="P155" s="330"/>
      <c r="Q155" s="330"/>
      <c r="R155" s="330"/>
      <c r="S155" s="330">
        <v>168</v>
      </c>
      <c r="T155" s="330">
        <v>150</v>
      </c>
      <c r="U155" s="330"/>
      <c r="V155" s="330"/>
      <c r="W155" s="330"/>
      <c r="X155" s="330"/>
      <c r="Y155" s="121"/>
    </row>
    <row r="156" spans="10:25" x14ac:dyDescent="0.2">
      <c r="J156" s="330"/>
      <c r="K156" s="330"/>
      <c r="L156" s="330"/>
      <c r="M156" s="330"/>
      <c r="N156" s="330"/>
      <c r="O156" s="330"/>
      <c r="P156" s="330"/>
      <c r="Q156" s="330"/>
      <c r="R156" s="330"/>
      <c r="S156" s="330">
        <v>169</v>
      </c>
      <c r="T156" s="330">
        <v>150</v>
      </c>
      <c r="U156" s="330"/>
      <c r="V156" s="330"/>
      <c r="W156" s="330"/>
      <c r="X156" s="330"/>
      <c r="Y156" s="121"/>
    </row>
    <row r="157" spans="10:25" x14ac:dyDescent="0.2">
      <c r="J157" s="330"/>
      <c r="K157" s="330"/>
      <c r="L157" s="330"/>
      <c r="M157" s="330"/>
      <c r="N157" s="330"/>
      <c r="O157" s="330"/>
      <c r="P157" s="330"/>
      <c r="Q157" s="330"/>
      <c r="R157" s="330"/>
      <c r="S157" s="330">
        <v>170</v>
      </c>
      <c r="T157" s="330">
        <v>150</v>
      </c>
      <c r="U157" s="330"/>
      <c r="V157" s="330"/>
      <c r="W157" s="330"/>
      <c r="X157" s="330"/>
      <c r="Y157" s="121"/>
    </row>
    <row r="158" spans="10:25" x14ac:dyDescent="0.2">
      <c r="J158" s="330"/>
      <c r="K158" s="330"/>
      <c r="L158" s="330"/>
      <c r="M158" s="330"/>
      <c r="N158" s="330"/>
      <c r="O158" s="330"/>
      <c r="P158" s="330"/>
      <c r="Q158" s="330"/>
      <c r="R158" s="330"/>
      <c r="S158" s="330">
        <v>171</v>
      </c>
      <c r="T158" s="330">
        <v>150</v>
      </c>
      <c r="U158" s="330"/>
      <c r="V158" s="330"/>
      <c r="W158" s="330"/>
      <c r="X158" s="330"/>
      <c r="Y158" s="121"/>
    </row>
    <row r="159" spans="10:25" x14ac:dyDescent="0.2">
      <c r="J159" s="330"/>
      <c r="K159" s="330"/>
      <c r="L159" s="330"/>
      <c r="M159" s="330"/>
      <c r="N159" s="330"/>
      <c r="O159" s="330"/>
      <c r="P159" s="330"/>
      <c r="Q159" s="330"/>
      <c r="R159" s="330"/>
      <c r="S159" s="330">
        <v>172</v>
      </c>
      <c r="T159" s="330">
        <v>150</v>
      </c>
      <c r="U159" s="330"/>
      <c r="V159" s="330"/>
      <c r="W159" s="330"/>
      <c r="X159" s="330"/>
      <c r="Y159" s="121"/>
    </row>
    <row r="160" spans="10:25" x14ac:dyDescent="0.2">
      <c r="J160" s="330"/>
      <c r="K160" s="330"/>
      <c r="L160" s="330"/>
      <c r="M160" s="330"/>
      <c r="N160" s="330"/>
      <c r="O160" s="330"/>
      <c r="P160" s="330"/>
      <c r="Q160" s="330"/>
      <c r="R160" s="330"/>
      <c r="S160" s="330">
        <v>173</v>
      </c>
      <c r="T160" s="330">
        <v>150</v>
      </c>
      <c r="U160" s="330"/>
      <c r="V160" s="330"/>
      <c r="W160" s="330"/>
      <c r="X160" s="330"/>
      <c r="Y160" s="121"/>
    </row>
    <row r="161" spans="10:25" x14ac:dyDescent="0.2">
      <c r="J161" s="330"/>
      <c r="K161" s="330"/>
      <c r="L161" s="330"/>
      <c r="M161" s="330"/>
      <c r="N161" s="330"/>
      <c r="O161" s="330"/>
      <c r="P161" s="330"/>
      <c r="Q161" s="330"/>
      <c r="R161" s="330"/>
      <c r="S161" s="330">
        <v>174</v>
      </c>
      <c r="T161" s="330">
        <v>150</v>
      </c>
      <c r="U161" s="330"/>
      <c r="V161" s="330"/>
      <c r="W161" s="330"/>
      <c r="X161" s="330"/>
      <c r="Y161" s="121"/>
    </row>
    <row r="162" spans="10:25" x14ac:dyDescent="0.2">
      <c r="J162" s="330"/>
      <c r="K162" s="330"/>
      <c r="L162" s="330"/>
      <c r="M162" s="330"/>
      <c r="N162" s="330"/>
      <c r="O162" s="330"/>
      <c r="P162" s="330"/>
      <c r="Q162" s="330"/>
      <c r="R162" s="330"/>
      <c r="S162" s="330">
        <v>175</v>
      </c>
      <c r="T162" s="330">
        <v>150</v>
      </c>
      <c r="U162" s="330"/>
      <c r="V162" s="330"/>
      <c r="W162" s="330"/>
      <c r="X162" s="330"/>
      <c r="Y162" s="121"/>
    </row>
    <row r="163" spans="10:25" x14ac:dyDescent="0.2">
      <c r="J163" s="330"/>
      <c r="K163" s="330"/>
      <c r="L163" s="330"/>
      <c r="M163" s="330"/>
      <c r="N163" s="330"/>
      <c r="O163" s="330"/>
      <c r="P163" s="330"/>
      <c r="Q163" s="330"/>
      <c r="R163" s="330"/>
      <c r="S163" s="330">
        <v>176</v>
      </c>
      <c r="T163" s="330">
        <v>150</v>
      </c>
      <c r="U163" s="330"/>
      <c r="V163" s="330"/>
      <c r="W163" s="330"/>
      <c r="X163" s="330"/>
      <c r="Y163" s="121"/>
    </row>
    <row r="164" spans="10:25" x14ac:dyDescent="0.2">
      <c r="J164" s="330"/>
      <c r="K164" s="330"/>
      <c r="L164" s="330"/>
      <c r="M164" s="330"/>
      <c r="N164" s="330"/>
      <c r="O164" s="330"/>
      <c r="P164" s="330"/>
      <c r="Q164" s="330"/>
      <c r="R164" s="330"/>
      <c r="S164" s="330">
        <v>177</v>
      </c>
      <c r="T164" s="330">
        <v>150</v>
      </c>
      <c r="U164" s="330"/>
      <c r="V164" s="330"/>
      <c r="W164" s="330"/>
      <c r="X164" s="330"/>
      <c r="Y164" s="121"/>
    </row>
    <row r="165" spans="10:25" x14ac:dyDescent="0.2">
      <c r="J165" s="330"/>
      <c r="K165" s="330"/>
      <c r="L165" s="330"/>
      <c r="M165" s="330"/>
      <c r="N165" s="330"/>
      <c r="O165" s="330"/>
      <c r="P165" s="330"/>
      <c r="Q165" s="330"/>
      <c r="R165" s="330"/>
      <c r="S165" s="330">
        <v>178</v>
      </c>
      <c r="T165" s="330">
        <v>150</v>
      </c>
      <c r="U165" s="330"/>
      <c r="V165" s="330"/>
      <c r="W165" s="330"/>
      <c r="X165" s="330"/>
      <c r="Y165" s="121"/>
    </row>
    <row r="166" spans="10:25" x14ac:dyDescent="0.2">
      <c r="J166" s="330"/>
      <c r="K166" s="330"/>
      <c r="L166" s="330"/>
      <c r="M166" s="330"/>
      <c r="N166" s="330"/>
      <c r="O166" s="330"/>
      <c r="P166" s="330"/>
      <c r="Q166" s="330"/>
      <c r="R166" s="330"/>
      <c r="S166" s="330">
        <v>179</v>
      </c>
      <c r="T166" s="330">
        <v>150</v>
      </c>
      <c r="U166" s="330"/>
      <c r="V166" s="330"/>
      <c r="W166" s="330"/>
      <c r="X166" s="330"/>
      <c r="Y166" s="121"/>
    </row>
    <row r="167" spans="10:25" x14ac:dyDescent="0.2">
      <c r="J167" s="330"/>
      <c r="K167" s="330"/>
      <c r="L167" s="330"/>
      <c r="M167" s="330"/>
      <c r="N167" s="330"/>
      <c r="O167" s="330"/>
      <c r="P167" s="330"/>
      <c r="Q167" s="330"/>
      <c r="R167" s="330"/>
      <c r="S167" s="330">
        <v>180</v>
      </c>
      <c r="T167" s="330">
        <v>150</v>
      </c>
      <c r="U167" s="330"/>
      <c r="V167" s="330"/>
      <c r="W167" s="330"/>
      <c r="X167" s="330"/>
      <c r="Y167" s="121"/>
    </row>
    <row r="168" spans="10:25" x14ac:dyDescent="0.2">
      <c r="J168" s="330"/>
      <c r="K168" s="330"/>
      <c r="L168" s="330"/>
      <c r="M168" s="330"/>
      <c r="N168" s="330"/>
      <c r="O168" s="330"/>
      <c r="P168" s="330"/>
      <c r="Q168" s="330"/>
      <c r="R168" s="330"/>
      <c r="S168" s="330">
        <v>181</v>
      </c>
      <c r="T168" s="330">
        <v>150</v>
      </c>
      <c r="U168" s="330"/>
      <c r="V168" s="330"/>
      <c r="W168" s="330"/>
      <c r="X168" s="330"/>
      <c r="Y168" s="121"/>
    </row>
    <row r="169" spans="10:25" x14ac:dyDescent="0.2">
      <c r="J169" s="330"/>
      <c r="K169" s="330"/>
      <c r="L169" s="330"/>
      <c r="M169" s="330"/>
      <c r="N169" s="330"/>
      <c r="O169" s="330"/>
      <c r="P169" s="330"/>
      <c r="Q169" s="330"/>
      <c r="R169" s="330"/>
      <c r="S169" s="330">
        <v>182</v>
      </c>
      <c r="T169" s="330">
        <v>150</v>
      </c>
      <c r="U169" s="330"/>
      <c r="V169" s="330"/>
      <c r="W169" s="330"/>
      <c r="X169" s="330"/>
      <c r="Y169" s="121"/>
    </row>
    <row r="170" spans="10:25" x14ac:dyDescent="0.2">
      <c r="J170" s="330"/>
      <c r="K170" s="330"/>
      <c r="L170" s="330"/>
      <c r="M170" s="330"/>
      <c r="N170" s="330"/>
      <c r="O170" s="330"/>
      <c r="P170" s="330"/>
      <c r="Q170" s="330"/>
      <c r="R170" s="330"/>
      <c r="S170" s="330">
        <v>183</v>
      </c>
      <c r="T170" s="330">
        <v>150</v>
      </c>
      <c r="U170" s="330"/>
      <c r="V170" s="330"/>
      <c r="W170" s="330"/>
      <c r="X170" s="330"/>
      <c r="Y170" s="121"/>
    </row>
    <row r="171" spans="10:25" x14ac:dyDescent="0.2">
      <c r="J171" s="330"/>
      <c r="K171" s="330"/>
      <c r="L171" s="330"/>
      <c r="M171" s="330"/>
      <c r="N171" s="330"/>
      <c r="O171" s="330"/>
      <c r="P171" s="330"/>
      <c r="Q171" s="330"/>
      <c r="R171" s="330"/>
      <c r="S171" s="330">
        <v>184</v>
      </c>
      <c r="T171" s="330">
        <v>150</v>
      </c>
      <c r="U171" s="330"/>
      <c r="V171" s="330"/>
      <c r="W171" s="330"/>
      <c r="X171" s="330"/>
      <c r="Y171" s="121"/>
    </row>
    <row r="172" spans="10:25" x14ac:dyDescent="0.2">
      <c r="J172" s="330"/>
      <c r="K172" s="330"/>
      <c r="L172" s="330"/>
      <c r="M172" s="330"/>
      <c r="N172" s="330"/>
      <c r="O172" s="330"/>
      <c r="P172" s="330"/>
      <c r="Q172" s="330"/>
      <c r="R172" s="330"/>
      <c r="S172" s="330">
        <v>185</v>
      </c>
      <c r="T172" s="330">
        <v>150</v>
      </c>
      <c r="U172" s="330"/>
      <c r="V172" s="330"/>
      <c r="W172" s="330"/>
      <c r="X172" s="330"/>
      <c r="Y172" s="121"/>
    </row>
    <row r="173" spans="10:25" x14ac:dyDescent="0.2">
      <c r="J173" s="330"/>
      <c r="K173" s="330"/>
      <c r="L173" s="330"/>
      <c r="M173" s="330"/>
      <c r="N173" s="330"/>
      <c r="O173" s="330"/>
      <c r="P173" s="330"/>
      <c r="Q173" s="330"/>
      <c r="R173" s="330"/>
      <c r="S173" s="330">
        <v>186</v>
      </c>
      <c r="T173" s="330">
        <v>150</v>
      </c>
      <c r="U173" s="330"/>
      <c r="V173" s="330"/>
      <c r="W173" s="330"/>
      <c r="X173" s="330"/>
      <c r="Y173" s="121"/>
    </row>
    <row r="174" spans="10:25" x14ac:dyDescent="0.2">
      <c r="J174" s="330"/>
      <c r="K174" s="330"/>
      <c r="L174" s="330"/>
      <c r="M174" s="330"/>
      <c r="N174" s="330"/>
      <c r="O174" s="330"/>
      <c r="P174" s="330"/>
      <c r="Q174" s="330"/>
      <c r="R174" s="330"/>
      <c r="S174" s="330">
        <v>187</v>
      </c>
      <c r="T174" s="330">
        <v>150</v>
      </c>
      <c r="U174" s="330"/>
      <c r="V174" s="330"/>
      <c r="W174" s="330"/>
      <c r="X174" s="330"/>
      <c r="Y174" s="121"/>
    </row>
    <row r="175" spans="10:25" x14ac:dyDescent="0.2">
      <c r="J175" s="330"/>
      <c r="K175" s="330"/>
      <c r="L175" s="330"/>
      <c r="M175" s="330"/>
      <c r="N175" s="330"/>
      <c r="O175" s="330"/>
      <c r="P175" s="330"/>
      <c r="Q175" s="330"/>
      <c r="R175" s="330"/>
      <c r="S175" s="330">
        <v>188</v>
      </c>
      <c r="T175" s="330">
        <v>150</v>
      </c>
      <c r="U175" s="330"/>
      <c r="V175" s="330"/>
      <c r="W175" s="330"/>
      <c r="X175" s="330"/>
      <c r="Y175" s="121"/>
    </row>
    <row r="176" spans="10:25" x14ac:dyDescent="0.2">
      <c r="J176" s="330"/>
      <c r="K176" s="330"/>
      <c r="L176" s="330"/>
      <c r="M176" s="330"/>
      <c r="N176" s="330"/>
      <c r="O176" s="330"/>
      <c r="P176" s="330"/>
      <c r="Q176" s="330"/>
      <c r="R176" s="330"/>
      <c r="S176" s="330">
        <v>189</v>
      </c>
      <c r="T176" s="330">
        <v>150</v>
      </c>
      <c r="U176" s="330"/>
      <c r="V176" s="330"/>
      <c r="W176" s="330"/>
      <c r="X176" s="330"/>
      <c r="Y176" s="121"/>
    </row>
    <row r="177" spans="10:25" x14ac:dyDescent="0.2">
      <c r="J177" s="330"/>
      <c r="K177" s="330"/>
      <c r="L177" s="330"/>
      <c r="M177" s="330"/>
      <c r="N177" s="330"/>
      <c r="O177" s="330"/>
      <c r="P177" s="330"/>
      <c r="Q177" s="330"/>
      <c r="R177" s="330"/>
      <c r="S177" s="330">
        <v>190</v>
      </c>
      <c r="T177" s="330">
        <v>150</v>
      </c>
      <c r="U177" s="330"/>
      <c r="V177" s="330"/>
      <c r="W177" s="330"/>
      <c r="X177" s="330"/>
      <c r="Y177" s="121"/>
    </row>
    <row r="178" spans="10:25" x14ac:dyDescent="0.2">
      <c r="J178" s="330"/>
      <c r="K178" s="330"/>
      <c r="L178" s="330"/>
      <c r="M178" s="330"/>
      <c r="N178" s="330"/>
      <c r="O178" s="330"/>
      <c r="P178" s="330"/>
      <c r="Q178" s="330"/>
      <c r="R178" s="330"/>
      <c r="S178" s="330">
        <v>191</v>
      </c>
      <c r="T178" s="330">
        <v>150</v>
      </c>
      <c r="U178" s="330"/>
      <c r="V178" s="330"/>
      <c r="W178" s="330"/>
      <c r="X178" s="330"/>
      <c r="Y178" s="121"/>
    </row>
    <row r="179" spans="10:25" x14ac:dyDescent="0.2">
      <c r="J179" s="330"/>
      <c r="K179" s="330"/>
      <c r="L179" s="330"/>
      <c r="M179" s="330"/>
      <c r="N179" s="330"/>
      <c r="O179" s="330"/>
      <c r="P179" s="330"/>
      <c r="Q179" s="330"/>
      <c r="R179" s="330"/>
      <c r="S179" s="330">
        <v>192</v>
      </c>
      <c r="T179" s="330">
        <v>150</v>
      </c>
      <c r="U179" s="330"/>
      <c r="V179" s="330"/>
      <c r="W179" s="330"/>
      <c r="X179" s="330"/>
      <c r="Y179" s="121"/>
    </row>
    <row r="180" spans="10:25" x14ac:dyDescent="0.2">
      <c r="J180" s="330"/>
      <c r="K180" s="330"/>
      <c r="L180" s="330"/>
      <c r="M180" s="330"/>
      <c r="N180" s="330"/>
      <c r="O180" s="330"/>
      <c r="P180" s="330"/>
      <c r="Q180" s="330"/>
      <c r="R180" s="330"/>
      <c r="S180" s="330">
        <v>193</v>
      </c>
      <c r="T180" s="330">
        <v>150</v>
      </c>
      <c r="U180" s="330"/>
      <c r="V180" s="330"/>
      <c r="W180" s="330"/>
      <c r="X180" s="330"/>
      <c r="Y180" s="121"/>
    </row>
    <row r="181" spans="10:25" x14ac:dyDescent="0.2">
      <c r="J181" s="330"/>
      <c r="K181" s="330"/>
      <c r="L181" s="330"/>
      <c r="M181" s="330"/>
      <c r="N181" s="330"/>
      <c r="O181" s="330"/>
      <c r="P181" s="330"/>
      <c r="Q181" s="330"/>
      <c r="R181" s="330"/>
      <c r="S181" s="330">
        <v>194</v>
      </c>
      <c r="T181" s="330">
        <v>150</v>
      </c>
      <c r="U181" s="330"/>
      <c r="V181" s="330"/>
      <c r="W181" s="330"/>
      <c r="X181" s="330"/>
      <c r="Y181" s="121"/>
    </row>
    <row r="182" spans="10:25" x14ac:dyDescent="0.2">
      <c r="J182" s="330"/>
      <c r="K182" s="330"/>
      <c r="L182" s="330"/>
      <c r="M182" s="330"/>
      <c r="N182" s="330"/>
      <c r="O182" s="330"/>
      <c r="P182" s="330"/>
      <c r="Q182" s="330"/>
      <c r="R182" s="330"/>
      <c r="S182" s="330">
        <v>195</v>
      </c>
      <c r="T182" s="330">
        <v>150</v>
      </c>
      <c r="U182" s="330"/>
      <c r="V182" s="330"/>
      <c r="W182" s="330"/>
      <c r="X182" s="330"/>
      <c r="Y182" s="121"/>
    </row>
    <row r="183" spans="10:25" x14ac:dyDescent="0.2">
      <c r="J183" s="330"/>
      <c r="K183" s="330"/>
      <c r="L183" s="330"/>
      <c r="M183" s="330"/>
      <c r="N183" s="330"/>
      <c r="O183" s="330"/>
      <c r="P183" s="330"/>
      <c r="Q183" s="330"/>
      <c r="R183" s="330"/>
      <c r="S183" s="330">
        <v>196</v>
      </c>
      <c r="T183" s="330">
        <v>150</v>
      </c>
      <c r="U183" s="330"/>
      <c r="V183" s="330"/>
      <c r="W183" s="330"/>
      <c r="X183" s="330"/>
      <c r="Y183" s="121"/>
    </row>
    <row r="184" spans="10:25" x14ac:dyDescent="0.2">
      <c r="J184" s="330"/>
      <c r="K184" s="330"/>
      <c r="L184" s="330"/>
      <c r="M184" s="330"/>
      <c r="N184" s="330"/>
      <c r="O184" s="330"/>
      <c r="P184" s="330"/>
      <c r="Q184" s="330"/>
      <c r="R184" s="330"/>
      <c r="S184" s="330">
        <v>197</v>
      </c>
      <c r="T184" s="330">
        <v>150</v>
      </c>
      <c r="U184" s="330"/>
      <c r="V184" s="330"/>
      <c r="W184" s="330"/>
      <c r="X184" s="330"/>
      <c r="Y184" s="121"/>
    </row>
    <row r="185" spans="10:25" x14ac:dyDescent="0.2">
      <c r="J185" s="330"/>
      <c r="K185" s="330"/>
      <c r="L185" s="330"/>
      <c r="M185" s="330"/>
      <c r="N185" s="330"/>
      <c r="O185" s="330"/>
      <c r="P185" s="330"/>
      <c r="Q185" s="330"/>
      <c r="R185" s="330"/>
      <c r="S185" s="330">
        <v>198</v>
      </c>
      <c r="T185" s="330">
        <v>150</v>
      </c>
      <c r="U185" s="330"/>
      <c r="V185" s="330"/>
      <c r="W185" s="330"/>
      <c r="X185" s="330"/>
      <c r="Y185" s="121"/>
    </row>
    <row r="186" spans="10:25" x14ac:dyDescent="0.2">
      <c r="J186" s="330"/>
      <c r="K186" s="330"/>
      <c r="L186" s="330"/>
      <c r="M186" s="330"/>
      <c r="N186" s="330"/>
      <c r="O186" s="330"/>
      <c r="P186" s="330"/>
      <c r="Q186" s="330"/>
      <c r="R186" s="330"/>
      <c r="S186" s="330">
        <v>199</v>
      </c>
      <c r="T186" s="330">
        <v>150</v>
      </c>
      <c r="U186" s="330"/>
      <c r="V186" s="330"/>
      <c r="W186" s="330"/>
      <c r="X186" s="330"/>
      <c r="Y186" s="121"/>
    </row>
    <row r="187" spans="10:25" x14ac:dyDescent="0.2">
      <c r="J187" s="330"/>
      <c r="K187" s="330"/>
      <c r="L187" s="330"/>
      <c r="M187" s="330"/>
      <c r="N187" s="330"/>
      <c r="O187" s="330"/>
      <c r="P187" s="330"/>
      <c r="Q187" s="330"/>
      <c r="R187" s="330"/>
      <c r="S187" s="330">
        <v>200</v>
      </c>
      <c r="T187" s="330">
        <v>150</v>
      </c>
      <c r="U187" s="330">
        <v>200</v>
      </c>
      <c r="V187" s="330"/>
      <c r="W187" s="330"/>
      <c r="X187" s="330"/>
      <c r="Y187" s="121"/>
    </row>
    <row r="188" spans="10:25" x14ac:dyDescent="0.2">
      <c r="J188" s="330"/>
      <c r="K188" s="330"/>
      <c r="L188" s="330"/>
      <c r="M188" s="330"/>
      <c r="N188" s="330"/>
      <c r="O188" s="330"/>
      <c r="P188" s="330"/>
      <c r="Q188" s="330"/>
      <c r="R188" s="330"/>
      <c r="S188" s="330">
        <v>201</v>
      </c>
      <c r="T188" s="330">
        <v>150</v>
      </c>
      <c r="U188" s="330"/>
      <c r="V188" s="330"/>
      <c r="W188" s="330"/>
      <c r="X188" s="330"/>
      <c r="Y188" s="121"/>
    </row>
    <row r="189" spans="10:25" x14ac:dyDescent="0.2">
      <c r="J189" s="330"/>
      <c r="K189" s="330"/>
      <c r="L189" s="330"/>
      <c r="M189" s="330"/>
      <c r="N189" s="330"/>
      <c r="O189" s="330"/>
      <c r="P189" s="330"/>
      <c r="Q189" s="330"/>
      <c r="R189" s="330"/>
      <c r="S189" s="330">
        <v>202</v>
      </c>
      <c r="T189" s="330">
        <v>150</v>
      </c>
      <c r="U189" s="330"/>
      <c r="V189" s="330"/>
      <c r="W189" s="330"/>
      <c r="X189" s="330"/>
      <c r="Y189" s="121"/>
    </row>
    <row r="190" spans="10:25" x14ac:dyDescent="0.2">
      <c r="J190" s="330"/>
      <c r="K190" s="330"/>
      <c r="L190" s="330"/>
      <c r="M190" s="330"/>
      <c r="N190" s="330"/>
      <c r="O190" s="330"/>
      <c r="P190" s="330"/>
      <c r="Q190" s="330"/>
      <c r="R190" s="330"/>
      <c r="S190" s="330">
        <v>203</v>
      </c>
      <c r="T190" s="330">
        <v>150</v>
      </c>
      <c r="U190" s="330"/>
      <c r="V190" s="330"/>
      <c r="W190" s="330"/>
      <c r="X190" s="330"/>
      <c r="Y190" s="121"/>
    </row>
    <row r="191" spans="10:25" x14ac:dyDescent="0.2">
      <c r="J191" s="330"/>
      <c r="K191" s="330"/>
      <c r="L191" s="330"/>
      <c r="M191" s="330"/>
      <c r="N191" s="330"/>
      <c r="O191" s="330"/>
      <c r="P191" s="330"/>
      <c r="Q191" s="330"/>
      <c r="R191" s="330"/>
      <c r="S191" s="330">
        <v>204</v>
      </c>
      <c r="T191" s="330">
        <v>150</v>
      </c>
      <c r="U191" s="330"/>
      <c r="V191" s="330"/>
      <c r="W191" s="330"/>
      <c r="X191" s="330"/>
      <c r="Y191" s="121"/>
    </row>
    <row r="192" spans="10:25" x14ac:dyDescent="0.2">
      <c r="J192" s="330"/>
      <c r="K192" s="330"/>
      <c r="L192" s="330"/>
      <c r="M192" s="330"/>
      <c r="N192" s="330"/>
      <c r="O192" s="330"/>
      <c r="P192" s="330"/>
      <c r="Q192" s="330"/>
      <c r="R192" s="330"/>
      <c r="S192" s="330">
        <v>205</v>
      </c>
      <c r="T192" s="330">
        <v>150</v>
      </c>
      <c r="U192" s="330"/>
      <c r="V192" s="330"/>
      <c r="W192" s="330"/>
      <c r="X192" s="330"/>
      <c r="Y192" s="121"/>
    </row>
    <row r="193" spans="10:25" x14ac:dyDescent="0.2">
      <c r="J193" s="330"/>
      <c r="K193" s="330"/>
      <c r="L193" s="330"/>
      <c r="M193" s="330"/>
      <c r="N193" s="330"/>
      <c r="O193" s="330"/>
      <c r="P193" s="330"/>
      <c r="Q193" s="330"/>
      <c r="R193" s="330"/>
      <c r="S193" s="330">
        <v>206</v>
      </c>
      <c r="T193" s="330">
        <v>150</v>
      </c>
      <c r="U193" s="330"/>
      <c r="V193" s="330"/>
      <c r="W193" s="330"/>
      <c r="X193" s="330"/>
      <c r="Y193" s="121"/>
    </row>
    <row r="194" spans="10:25" x14ac:dyDescent="0.2">
      <c r="J194" s="330"/>
      <c r="K194" s="330"/>
      <c r="L194" s="330"/>
      <c r="M194" s="330"/>
      <c r="N194" s="330"/>
      <c r="O194" s="330"/>
      <c r="P194" s="330"/>
      <c r="Q194" s="330"/>
      <c r="R194" s="330"/>
      <c r="S194" s="330">
        <v>207</v>
      </c>
      <c r="T194" s="330">
        <v>150</v>
      </c>
      <c r="U194" s="330"/>
      <c r="V194" s="330"/>
      <c r="W194" s="330"/>
      <c r="X194" s="330"/>
      <c r="Y194" s="121"/>
    </row>
    <row r="195" spans="10:25" x14ac:dyDescent="0.2">
      <c r="J195" s="330"/>
      <c r="K195" s="330"/>
      <c r="L195" s="330"/>
      <c r="M195" s="330"/>
      <c r="N195" s="330"/>
      <c r="O195" s="330"/>
      <c r="P195" s="330"/>
      <c r="Q195" s="330"/>
      <c r="R195" s="330"/>
      <c r="S195" s="330">
        <v>208</v>
      </c>
      <c r="T195" s="330">
        <v>150</v>
      </c>
      <c r="U195" s="330"/>
      <c r="V195" s="330"/>
      <c r="W195" s="330"/>
      <c r="X195" s="330"/>
      <c r="Y195" s="121"/>
    </row>
    <row r="196" spans="10:25" x14ac:dyDescent="0.2">
      <c r="J196" s="330"/>
      <c r="K196" s="330"/>
      <c r="L196" s="330"/>
      <c r="M196" s="330"/>
      <c r="N196" s="330"/>
      <c r="O196" s="330"/>
      <c r="P196" s="330"/>
      <c r="Q196" s="330"/>
      <c r="R196" s="330"/>
      <c r="S196" s="330">
        <v>209</v>
      </c>
      <c r="T196" s="330">
        <v>150</v>
      </c>
      <c r="U196" s="330"/>
      <c r="V196" s="330"/>
      <c r="W196" s="330"/>
      <c r="X196" s="330"/>
      <c r="Y196" s="121"/>
    </row>
    <row r="197" spans="10:25" x14ac:dyDescent="0.2">
      <c r="J197" s="330"/>
      <c r="K197" s="330"/>
      <c r="L197" s="330"/>
      <c r="M197" s="330"/>
      <c r="N197" s="330"/>
      <c r="O197" s="330"/>
      <c r="P197" s="330"/>
      <c r="Q197" s="330"/>
      <c r="R197" s="330"/>
      <c r="S197" s="330">
        <v>210</v>
      </c>
      <c r="T197" s="330">
        <v>150</v>
      </c>
      <c r="U197" s="330"/>
      <c r="V197" s="330"/>
      <c r="W197" s="330"/>
      <c r="X197" s="330"/>
      <c r="Y197" s="121"/>
    </row>
    <row r="198" spans="10:25" x14ac:dyDescent="0.2">
      <c r="J198" s="330"/>
      <c r="K198" s="330"/>
      <c r="L198" s="330"/>
      <c r="M198" s="330"/>
      <c r="N198" s="330"/>
      <c r="O198" s="330"/>
      <c r="P198" s="330"/>
      <c r="Q198" s="330"/>
      <c r="R198" s="330"/>
      <c r="S198" s="330">
        <v>211</v>
      </c>
      <c r="T198" s="330">
        <v>150</v>
      </c>
      <c r="U198" s="330"/>
      <c r="V198" s="330"/>
      <c r="W198" s="330"/>
      <c r="X198" s="330"/>
      <c r="Y198" s="121"/>
    </row>
    <row r="199" spans="10:25" x14ac:dyDescent="0.2">
      <c r="J199" s="330"/>
      <c r="K199" s="330"/>
      <c r="L199" s="330"/>
      <c r="M199" s="330"/>
      <c r="N199" s="330"/>
      <c r="O199" s="330"/>
      <c r="P199" s="330"/>
      <c r="Q199" s="330"/>
      <c r="R199" s="330"/>
      <c r="S199" s="330">
        <v>212</v>
      </c>
      <c r="T199" s="330">
        <v>150</v>
      </c>
      <c r="U199" s="330"/>
      <c r="V199" s="330"/>
      <c r="W199" s="330"/>
      <c r="X199" s="330"/>
      <c r="Y199" s="121"/>
    </row>
    <row r="200" spans="10:25" x14ac:dyDescent="0.2">
      <c r="J200" s="330"/>
      <c r="K200" s="330"/>
      <c r="L200" s="330"/>
      <c r="M200" s="330"/>
      <c r="N200" s="330"/>
      <c r="O200" s="330"/>
      <c r="P200" s="330"/>
      <c r="Q200" s="330"/>
      <c r="R200" s="330"/>
      <c r="S200" s="330">
        <v>213</v>
      </c>
      <c r="T200" s="330">
        <v>150</v>
      </c>
      <c r="U200" s="330"/>
      <c r="V200" s="330"/>
      <c r="W200" s="330"/>
      <c r="X200" s="330"/>
      <c r="Y200" s="121"/>
    </row>
    <row r="201" spans="10:25" x14ac:dyDescent="0.2">
      <c r="J201" s="330"/>
      <c r="K201" s="330"/>
      <c r="L201" s="330"/>
      <c r="M201" s="330"/>
      <c r="N201" s="330"/>
      <c r="O201" s="330"/>
      <c r="P201" s="330"/>
      <c r="Q201" s="330"/>
      <c r="R201" s="330"/>
      <c r="S201" s="330">
        <v>214</v>
      </c>
      <c r="T201" s="330">
        <v>150</v>
      </c>
      <c r="U201" s="330"/>
      <c r="V201" s="330"/>
      <c r="W201" s="330"/>
      <c r="X201" s="330"/>
      <c r="Y201" s="121"/>
    </row>
    <row r="202" spans="10:25" x14ac:dyDescent="0.2">
      <c r="J202" s="330"/>
      <c r="K202" s="330"/>
      <c r="L202" s="330"/>
      <c r="M202" s="330"/>
      <c r="N202" s="330"/>
      <c r="O202" s="330"/>
      <c r="P202" s="330"/>
      <c r="Q202" s="330"/>
      <c r="R202" s="330"/>
      <c r="S202" s="330">
        <v>215</v>
      </c>
      <c r="T202" s="330">
        <v>150</v>
      </c>
      <c r="U202" s="330"/>
      <c r="V202" s="330"/>
      <c r="W202" s="330"/>
      <c r="X202" s="330"/>
      <c r="Y202" s="121"/>
    </row>
    <row r="203" spans="10:25" x14ac:dyDescent="0.2">
      <c r="J203" s="330"/>
      <c r="K203" s="330"/>
      <c r="L203" s="330"/>
      <c r="M203" s="330"/>
      <c r="N203" s="330"/>
      <c r="O203" s="330"/>
      <c r="P203" s="330"/>
      <c r="Q203" s="330"/>
      <c r="R203" s="330"/>
      <c r="S203" s="330">
        <v>216</v>
      </c>
      <c r="T203" s="330">
        <v>150</v>
      </c>
      <c r="U203" s="330"/>
      <c r="V203" s="330"/>
      <c r="W203" s="330"/>
      <c r="X203" s="330"/>
      <c r="Y203" s="121"/>
    </row>
    <row r="204" spans="10:25" x14ac:dyDescent="0.2">
      <c r="J204" s="330"/>
      <c r="K204" s="330"/>
      <c r="L204" s="330"/>
      <c r="M204" s="330"/>
      <c r="N204" s="330"/>
      <c r="O204" s="330"/>
      <c r="P204" s="330"/>
      <c r="Q204" s="330"/>
      <c r="R204" s="330"/>
      <c r="S204" s="330">
        <v>217</v>
      </c>
      <c r="T204" s="330">
        <v>150</v>
      </c>
      <c r="U204" s="330"/>
      <c r="V204" s="330"/>
      <c r="W204" s="330"/>
      <c r="X204" s="330"/>
      <c r="Y204" s="121"/>
    </row>
    <row r="205" spans="10:25" x14ac:dyDescent="0.2">
      <c r="J205" s="330"/>
      <c r="K205" s="330"/>
      <c r="L205" s="330"/>
      <c r="M205" s="330"/>
      <c r="N205" s="330"/>
      <c r="O205" s="330"/>
      <c r="P205" s="330"/>
      <c r="Q205" s="330"/>
      <c r="R205" s="330"/>
      <c r="S205" s="330">
        <v>218</v>
      </c>
      <c r="T205" s="330">
        <v>150</v>
      </c>
      <c r="U205" s="330"/>
      <c r="V205" s="330"/>
      <c r="W205" s="330"/>
      <c r="X205" s="330"/>
      <c r="Y205" s="121"/>
    </row>
    <row r="206" spans="10:25" x14ac:dyDescent="0.2">
      <c r="J206" s="330"/>
      <c r="K206" s="330"/>
      <c r="L206" s="330"/>
      <c r="M206" s="330"/>
      <c r="N206" s="330"/>
      <c r="O206" s="330"/>
      <c r="P206" s="330"/>
      <c r="Q206" s="330"/>
      <c r="R206" s="330"/>
      <c r="S206" s="330">
        <v>219</v>
      </c>
      <c r="T206" s="330">
        <v>150</v>
      </c>
      <c r="U206" s="330"/>
      <c r="V206" s="330"/>
      <c r="W206" s="330"/>
      <c r="X206" s="330"/>
      <c r="Y206" s="121"/>
    </row>
    <row r="207" spans="10:25" x14ac:dyDescent="0.2">
      <c r="J207" s="330"/>
      <c r="K207" s="330"/>
      <c r="L207" s="330"/>
      <c r="M207" s="330"/>
      <c r="N207" s="330"/>
      <c r="O207" s="330"/>
      <c r="P207" s="330"/>
      <c r="Q207" s="330"/>
      <c r="R207" s="330"/>
      <c r="S207" s="330">
        <v>220</v>
      </c>
      <c r="T207" s="330">
        <v>150</v>
      </c>
      <c r="U207" s="330"/>
      <c r="V207" s="330"/>
      <c r="W207" s="330"/>
      <c r="X207" s="330"/>
      <c r="Y207" s="121"/>
    </row>
    <row r="208" spans="10:25" x14ac:dyDescent="0.2">
      <c r="J208" s="330"/>
      <c r="K208" s="330"/>
      <c r="L208" s="330"/>
      <c r="M208" s="330"/>
      <c r="N208" s="330"/>
      <c r="O208" s="330"/>
      <c r="P208" s="330"/>
      <c r="Q208" s="330"/>
      <c r="R208" s="330"/>
      <c r="S208" s="330">
        <v>221</v>
      </c>
      <c r="T208" s="330">
        <v>150</v>
      </c>
      <c r="U208" s="330"/>
      <c r="V208" s="330"/>
      <c r="W208" s="330"/>
      <c r="X208" s="330"/>
      <c r="Y208" s="121"/>
    </row>
    <row r="209" spans="10:25" x14ac:dyDescent="0.2">
      <c r="J209" s="330"/>
      <c r="K209" s="330"/>
      <c r="L209" s="330"/>
      <c r="M209" s="330"/>
      <c r="N209" s="330"/>
      <c r="O209" s="330"/>
      <c r="P209" s="330"/>
      <c r="Q209" s="330"/>
      <c r="R209" s="330"/>
      <c r="S209" s="330">
        <v>222</v>
      </c>
      <c r="T209" s="330">
        <v>150</v>
      </c>
      <c r="U209" s="330"/>
      <c r="V209" s="330"/>
      <c r="W209" s="330"/>
      <c r="X209" s="330"/>
      <c r="Y209" s="121"/>
    </row>
    <row r="210" spans="10:25" x14ac:dyDescent="0.2">
      <c r="J210" s="330"/>
      <c r="K210" s="330"/>
      <c r="L210" s="330"/>
      <c r="M210" s="330"/>
      <c r="N210" s="330"/>
      <c r="O210" s="330"/>
      <c r="P210" s="330"/>
      <c r="Q210" s="330"/>
      <c r="R210" s="330"/>
      <c r="S210" s="330">
        <v>223</v>
      </c>
      <c r="T210" s="330">
        <v>150</v>
      </c>
      <c r="U210" s="330"/>
      <c r="V210" s="330"/>
      <c r="W210" s="330"/>
      <c r="X210" s="330"/>
      <c r="Y210" s="121"/>
    </row>
    <row r="211" spans="10:25" x14ac:dyDescent="0.2">
      <c r="J211" s="330"/>
      <c r="K211" s="330"/>
      <c r="L211" s="330"/>
      <c r="M211" s="330"/>
      <c r="N211" s="330"/>
      <c r="O211" s="330"/>
      <c r="P211" s="330"/>
      <c r="Q211" s="330"/>
      <c r="R211" s="330"/>
      <c r="S211" s="330">
        <v>224</v>
      </c>
      <c r="T211" s="330">
        <v>150</v>
      </c>
      <c r="U211" s="330"/>
      <c r="V211" s="330"/>
      <c r="W211" s="330"/>
      <c r="X211" s="330"/>
      <c r="Y211" s="121"/>
    </row>
    <row r="212" spans="10:25" x14ac:dyDescent="0.2">
      <c r="J212" s="330"/>
      <c r="K212" s="330"/>
      <c r="L212" s="330"/>
      <c r="M212" s="330"/>
      <c r="N212" s="330"/>
      <c r="O212" s="330"/>
      <c r="P212" s="330"/>
      <c r="Q212" s="330"/>
      <c r="R212" s="330"/>
      <c r="S212" s="330">
        <v>225</v>
      </c>
      <c r="T212" s="330">
        <v>150</v>
      </c>
      <c r="U212" s="330"/>
      <c r="V212" s="330"/>
      <c r="W212" s="330"/>
      <c r="X212" s="330"/>
      <c r="Y212" s="121"/>
    </row>
    <row r="213" spans="10:25" x14ac:dyDescent="0.2">
      <c r="J213" s="330"/>
      <c r="K213" s="330"/>
      <c r="L213" s="330"/>
      <c r="M213" s="330"/>
      <c r="N213" s="330"/>
      <c r="O213" s="330"/>
      <c r="P213" s="330"/>
      <c r="Q213" s="330"/>
      <c r="R213" s="330"/>
      <c r="S213" s="330">
        <v>226</v>
      </c>
      <c r="T213" s="330">
        <v>150</v>
      </c>
      <c r="U213" s="330"/>
      <c r="V213" s="330"/>
      <c r="W213" s="330"/>
      <c r="X213" s="330"/>
      <c r="Y213" s="121"/>
    </row>
    <row r="214" spans="10:25" x14ac:dyDescent="0.2">
      <c r="J214" s="330"/>
      <c r="K214" s="330"/>
      <c r="L214" s="330"/>
      <c r="M214" s="330"/>
      <c r="N214" s="330"/>
      <c r="O214" s="330"/>
      <c r="P214" s="330"/>
      <c r="Q214" s="330"/>
      <c r="R214" s="330"/>
      <c r="S214" s="330">
        <v>227</v>
      </c>
      <c r="T214" s="330">
        <v>150</v>
      </c>
      <c r="U214" s="330"/>
      <c r="V214" s="330"/>
      <c r="W214" s="330"/>
      <c r="X214" s="330"/>
      <c r="Y214" s="121"/>
    </row>
    <row r="215" spans="10:25" x14ac:dyDescent="0.2">
      <c r="J215" s="330"/>
      <c r="K215" s="330"/>
      <c r="L215" s="330"/>
      <c r="M215" s="330"/>
      <c r="N215" s="330"/>
      <c r="O215" s="330"/>
      <c r="P215" s="330"/>
      <c r="Q215" s="330"/>
      <c r="R215" s="330"/>
      <c r="S215" s="330">
        <v>228</v>
      </c>
      <c r="T215" s="330">
        <v>150</v>
      </c>
      <c r="U215" s="330"/>
      <c r="V215" s="330"/>
      <c r="W215" s="330"/>
      <c r="X215" s="330"/>
      <c r="Y215" s="121"/>
    </row>
    <row r="216" spans="10:25" x14ac:dyDescent="0.2">
      <c r="J216" s="330"/>
      <c r="K216" s="330"/>
      <c r="L216" s="330"/>
      <c r="M216" s="330"/>
      <c r="N216" s="330"/>
      <c r="O216" s="330"/>
      <c r="P216" s="330"/>
      <c r="Q216" s="330"/>
      <c r="R216" s="330"/>
      <c r="S216" s="330">
        <v>229</v>
      </c>
      <c r="T216" s="330">
        <v>150</v>
      </c>
      <c r="U216" s="330"/>
      <c r="V216" s="330"/>
      <c r="W216" s="330"/>
      <c r="X216" s="330"/>
      <c r="Y216" s="121"/>
    </row>
    <row r="217" spans="10:25" x14ac:dyDescent="0.2">
      <c r="J217" s="330"/>
      <c r="K217" s="330"/>
      <c r="L217" s="330"/>
      <c r="M217" s="330"/>
      <c r="N217" s="330"/>
      <c r="O217" s="330"/>
      <c r="P217" s="330"/>
      <c r="Q217" s="330"/>
      <c r="R217" s="330"/>
      <c r="S217" s="330">
        <v>230</v>
      </c>
      <c r="T217" s="330">
        <v>150</v>
      </c>
      <c r="U217" s="330"/>
      <c r="V217" s="330"/>
      <c r="W217" s="330"/>
      <c r="X217" s="330"/>
      <c r="Y217" s="121"/>
    </row>
    <row r="218" spans="10:25" x14ac:dyDescent="0.2">
      <c r="J218" s="330"/>
      <c r="K218" s="330"/>
      <c r="L218" s="330"/>
      <c r="M218" s="330"/>
      <c r="N218" s="330"/>
      <c r="O218" s="330"/>
      <c r="P218" s="330"/>
      <c r="Q218" s="330"/>
      <c r="R218" s="330"/>
      <c r="S218" s="330">
        <v>231</v>
      </c>
      <c r="T218" s="330">
        <v>150</v>
      </c>
      <c r="U218" s="330"/>
      <c r="V218" s="330"/>
      <c r="W218" s="330"/>
      <c r="X218" s="330"/>
      <c r="Y218" s="121"/>
    </row>
    <row r="219" spans="10:25" x14ac:dyDescent="0.2">
      <c r="J219" s="330"/>
      <c r="K219" s="330"/>
      <c r="L219" s="330"/>
      <c r="M219" s="330"/>
      <c r="N219" s="330"/>
      <c r="O219" s="330"/>
      <c r="P219" s="330"/>
      <c r="Q219" s="330"/>
      <c r="R219" s="330"/>
      <c r="S219" s="330">
        <v>232</v>
      </c>
      <c r="T219" s="330">
        <v>150</v>
      </c>
      <c r="U219" s="330"/>
      <c r="V219" s="330"/>
      <c r="W219" s="330"/>
      <c r="X219" s="330"/>
      <c r="Y219" s="121"/>
    </row>
    <row r="220" spans="10:25" x14ac:dyDescent="0.2">
      <c r="J220" s="330"/>
      <c r="K220" s="330"/>
      <c r="L220" s="330"/>
      <c r="M220" s="330"/>
      <c r="N220" s="330"/>
      <c r="O220" s="330"/>
      <c r="P220" s="330"/>
      <c r="Q220" s="330"/>
      <c r="R220" s="330"/>
      <c r="S220" s="330">
        <v>233</v>
      </c>
      <c r="T220" s="330">
        <v>150</v>
      </c>
      <c r="U220" s="330"/>
      <c r="V220" s="330"/>
      <c r="W220" s="330"/>
      <c r="X220" s="330"/>
      <c r="Y220" s="121"/>
    </row>
    <row r="221" spans="10:25" x14ac:dyDescent="0.2">
      <c r="J221" s="330"/>
      <c r="K221" s="330"/>
      <c r="L221" s="330"/>
      <c r="M221" s="330"/>
      <c r="N221" s="330"/>
      <c r="O221" s="330"/>
      <c r="P221" s="330"/>
      <c r="Q221" s="330"/>
      <c r="R221" s="330"/>
      <c r="S221" s="330">
        <v>234</v>
      </c>
      <c r="T221" s="330">
        <v>150</v>
      </c>
      <c r="U221" s="330"/>
      <c r="V221" s="330"/>
      <c r="W221" s="330"/>
      <c r="X221" s="330"/>
      <c r="Y221" s="121"/>
    </row>
    <row r="222" spans="10:25" x14ac:dyDescent="0.2">
      <c r="J222" s="330"/>
      <c r="K222" s="330"/>
      <c r="L222" s="330"/>
      <c r="M222" s="330"/>
      <c r="N222" s="330"/>
      <c r="O222" s="330"/>
      <c r="P222" s="330"/>
      <c r="Q222" s="330"/>
      <c r="R222" s="330"/>
      <c r="S222" s="330">
        <v>235</v>
      </c>
      <c r="T222" s="330">
        <v>150</v>
      </c>
      <c r="U222" s="330"/>
      <c r="V222" s="330"/>
      <c r="W222" s="330"/>
      <c r="X222" s="330"/>
      <c r="Y222" s="121"/>
    </row>
    <row r="223" spans="10:25" x14ac:dyDescent="0.2">
      <c r="J223" s="330"/>
      <c r="K223" s="330"/>
      <c r="L223" s="330"/>
      <c r="M223" s="330"/>
      <c r="N223" s="330"/>
      <c r="O223" s="330"/>
      <c r="P223" s="330"/>
      <c r="Q223" s="330"/>
      <c r="R223" s="330"/>
      <c r="S223" s="330">
        <v>236</v>
      </c>
      <c r="T223" s="330">
        <v>150</v>
      </c>
      <c r="U223" s="330"/>
      <c r="V223" s="330"/>
      <c r="W223" s="330"/>
      <c r="X223" s="330"/>
      <c r="Y223" s="121"/>
    </row>
    <row r="224" spans="10:25" x14ac:dyDescent="0.2">
      <c r="J224" s="330"/>
      <c r="K224" s="330"/>
      <c r="L224" s="330"/>
      <c r="M224" s="330"/>
      <c r="N224" s="330"/>
      <c r="O224" s="330"/>
      <c r="P224" s="330"/>
      <c r="Q224" s="330"/>
      <c r="R224" s="330"/>
      <c r="S224" s="330">
        <v>237</v>
      </c>
      <c r="T224" s="330">
        <v>150</v>
      </c>
      <c r="U224" s="330"/>
      <c r="V224" s="330"/>
      <c r="W224" s="330"/>
      <c r="X224" s="330"/>
      <c r="Y224" s="121"/>
    </row>
    <row r="225" spans="10:25" x14ac:dyDescent="0.2">
      <c r="J225" s="330"/>
      <c r="K225" s="330"/>
      <c r="L225" s="330"/>
      <c r="M225" s="330"/>
      <c r="N225" s="330"/>
      <c r="O225" s="330"/>
      <c r="P225" s="330"/>
      <c r="Q225" s="330"/>
      <c r="R225" s="330"/>
      <c r="S225" s="330">
        <v>238</v>
      </c>
      <c r="T225" s="330">
        <v>150</v>
      </c>
      <c r="U225" s="330"/>
      <c r="V225" s="330"/>
      <c r="W225" s="330"/>
      <c r="X225" s="330"/>
      <c r="Y225" s="121"/>
    </row>
    <row r="226" spans="10:25" x14ac:dyDescent="0.2">
      <c r="J226" s="330"/>
      <c r="K226" s="330"/>
      <c r="L226" s="330"/>
      <c r="M226" s="330"/>
      <c r="N226" s="330"/>
      <c r="O226" s="330"/>
      <c r="P226" s="330"/>
      <c r="Q226" s="330"/>
      <c r="R226" s="330"/>
      <c r="S226" s="330">
        <v>239</v>
      </c>
      <c r="T226" s="330">
        <v>150</v>
      </c>
      <c r="U226" s="330"/>
      <c r="V226" s="330"/>
      <c r="W226" s="330"/>
      <c r="X226" s="330"/>
      <c r="Y226" s="121"/>
    </row>
    <row r="227" spans="10:25" x14ac:dyDescent="0.2">
      <c r="J227" s="330"/>
      <c r="K227" s="330"/>
      <c r="L227" s="330"/>
      <c r="M227" s="330"/>
      <c r="N227" s="330"/>
      <c r="O227" s="330"/>
      <c r="P227" s="330"/>
      <c r="Q227" s="330"/>
      <c r="R227" s="330"/>
      <c r="S227" s="330">
        <v>240</v>
      </c>
      <c r="T227" s="330">
        <v>150</v>
      </c>
      <c r="U227" s="330"/>
      <c r="V227" s="330"/>
      <c r="W227" s="330"/>
      <c r="X227" s="330"/>
      <c r="Y227" s="121"/>
    </row>
    <row r="228" spans="10:25" x14ac:dyDescent="0.2">
      <c r="J228" s="330"/>
      <c r="K228" s="330"/>
      <c r="L228" s="330"/>
      <c r="M228" s="330"/>
      <c r="N228" s="330"/>
      <c r="O228" s="330"/>
      <c r="P228" s="330"/>
      <c r="Q228" s="330"/>
      <c r="R228" s="330"/>
      <c r="S228" s="330">
        <v>241</v>
      </c>
      <c r="T228" s="330">
        <v>150</v>
      </c>
      <c r="U228" s="330"/>
      <c r="V228" s="330"/>
      <c r="W228" s="330"/>
      <c r="X228" s="330"/>
      <c r="Y228" s="121"/>
    </row>
    <row r="229" spans="10:25" x14ac:dyDescent="0.2">
      <c r="J229" s="330"/>
      <c r="K229" s="330"/>
      <c r="L229" s="330"/>
      <c r="M229" s="330"/>
      <c r="N229" s="330"/>
      <c r="O229" s="330"/>
      <c r="P229" s="330"/>
      <c r="Q229" s="330"/>
      <c r="R229" s="330"/>
      <c r="S229" s="330">
        <v>242</v>
      </c>
      <c r="T229" s="330">
        <v>150</v>
      </c>
      <c r="U229" s="330"/>
      <c r="V229" s="330"/>
      <c r="W229" s="330"/>
      <c r="X229" s="330"/>
      <c r="Y229" s="121"/>
    </row>
    <row r="230" spans="10:25" x14ac:dyDescent="0.2">
      <c r="J230" s="330"/>
      <c r="K230" s="330"/>
      <c r="L230" s="330"/>
      <c r="M230" s="330"/>
      <c r="N230" s="330"/>
      <c r="O230" s="330"/>
      <c r="P230" s="330"/>
      <c r="Q230" s="330"/>
      <c r="R230" s="330"/>
      <c r="S230" s="330">
        <v>243</v>
      </c>
      <c r="T230" s="330">
        <v>150</v>
      </c>
      <c r="U230" s="330"/>
      <c r="V230" s="330"/>
      <c r="W230" s="330"/>
      <c r="X230" s="330"/>
      <c r="Y230" s="121"/>
    </row>
    <row r="231" spans="10:25" x14ac:dyDescent="0.2">
      <c r="J231" s="330"/>
      <c r="K231" s="330"/>
      <c r="L231" s="330"/>
      <c r="M231" s="330"/>
      <c r="N231" s="330"/>
      <c r="O231" s="330"/>
      <c r="P231" s="330"/>
      <c r="Q231" s="330"/>
      <c r="R231" s="330"/>
      <c r="S231" s="330">
        <v>244</v>
      </c>
      <c r="T231" s="330">
        <v>150</v>
      </c>
      <c r="U231" s="330"/>
      <c r="V231" s="330"/>
      <c r="W231" s="330"/>
      <c r="X231" s="330"/>
      <c r="Y231" s="121"/>
    </row>
    <row r="232" spans="10:25" x14ac:dyDescent="0.2">
      <c r="J232" s="330"/>
      <c r="K232" s="330"/>
      <c r="L232" s="330"/>
      <c r="M232" s="330"/>
      <c r="N232" s="330"/>
      <c r="O232" s="330"/>
      <c r="P232" s="330"/>
      <c r="Q232" s="330"/>
      <c r="R232" s="330"/>
      <c r="S232" s="330">
        <v>245</v>
      </c>
      <c r="T232" s="330">
        <v>150</v>
      </c>
      <c r="U232" s="330"/>
      <c r="V232" s="330"/>
      <c r="W232" s="330"/>
      <c r="X232" s="330"/>
      <c r="Y232" s="121"/>
    </row>
    <row r="233" spans="10:25" x14ac:dyDescent="0.2">
      <c r="J233" s="330"/>
      <c r="K233" s="330"/>
      <c r="L233" s="330"/>
      <c r="M233" s="330"/>
      <c r="N233" s="330"/>
      <c r="O233" s="330"/>
      <c r="P233" s="330"/>
      <c r="Q233" s="330"/>
      <c r="R233" s="330"/>
      <c r="S233" s="330">
        <v>246</v>
      </c>
      <c r="T233" s="330">
        <v>150</v>
      </c>
      <c r="U233" s="330"/>
      <c r="V233" s="330"/>
      <c r="W233" s="330"/>
      <c r="X233" s="330"/>
      <c r="Y233" s="121"/>
    </row>
    <row r="234" spans="10:25" x14ac:dyDescent="0.2">
      <c r="J234" s="330"/>
      <c r="K234" s="330"/>
      <c r="L234" s="330"/>
      <c r="M234" s="330"/>
      <c r="N234" s="330"/>
      <c r="O234" s="330"/>
      <c r="P234" s="330"/>
      <c r="Q234" s="330"/>
      <c r="R234" s="330"/>
      <c r="S234" s="330">
        <v>247</v>
      </c>
      <c r="T234" s="330">
        <v>150</v>
      </c>
      <c r="U234" s="330"/>
      <c r="V234" s="330"/>
      <c r="W234" s="330"/>
      <c r="X234" s="330"/>
      <c r="Y234" s="121"/>
    </row>
    <row r="235" spans="10:25" x14ac:dyDescent="0.2">
      <c r="J235" s="330"/>
      <c r="K235" s="330"/>
      <c r="L235" s="330"/>
      <c r="M235" s="330"/>
      <c r="N235" s="330"/>
      <c r="O235" s="330"/>
      <c r="P235" s="330"/>
      <c r="Q235" s="330"/>
      <c r="R235" s="330"/>
      <c r="S235" s="330">
        <v>248</v>
      </c>
      <c r="T235" s="330">
        <v>150</v>
      </c>
      <c r="U235" s="330"/>
      <c r="V235" s="330"/>
      <c r="W235" s="330"/>
      <c r="X235" s="330"/>
      <c r="Y235" s="121"/>
    </row>
    <row r="236" spans="10:25" x14ac:dyDescent="0.2">
      <c r="J236" s="330"/>
      <c r="K236" s="330"/>
      <c r="L236" s="330"/>
      <c r="M236" s="330"/>
      <c r="N236" s="330"/>
      <c r="O236" s="330"/>
      <c r="P236" s="330"/>
      <c r="Q236" s="330"/>
      <c r="R236" s="330"/>
      <c r="S236" s="330">
        <v>249</v>
      </c>
      <c r="T236" s="330">
        <v>150</v>
      </c>
      <c r="U236" s="330"/>
      <c r="V236" s="330"/>
      <c r="W236" s="330"/>
      <c r="X236" s="330"/>
      <c r="Y236" s="121"/>
    </row>
    <row r="237" spans="10:25" x14ac:dyDescent="0.2">
      <c r="J237" s="330"/>
      <c r="K237" s="330"/>
      <c r="L237" s="330"/>
      <c r="M237" s="330"/>
      <c r="N237" s="330"/>
      <c r="O237" s="330"/>
      <c r="P237" s="330"/>
      <c r="Q237" s="330"/>
      <c r="R237" s="330"/>
      <c r="S237" s="330">
        <v>250</v>
      </c>
      <c r="T237" s="330">
        <v>150</v>
      </c>
      <c r="U237" s="330"/>
      <c r="V237" s="330"/>
      <c r="W237" s="330"/>
      <c r="X237" s="330"/>
      <c r="Y237" s="121"/>
    </row>
    <row r="238" spans="10:25" x14ac:dyDescent="0.2">
      <c r="J238" s="330"/>
      <c r="K238" s="330"/>
      <c r="L238" s="330"/>
      <c r="M238" s="330"/>
      <c r="N238" s="330"/>
      <c r="O238" s="330"/>
      <c r="P238" s="330"/>
      <c r="Q238" s="330"/>
      <c r="R238" s="330"/>
      <c r="S238" s="330">
        <v>251</v>
      </c>
      <c r="T238" s="330">
        <v>150</v>
      </c>
      <c r="U238" s="330"/>
      <c r="V238" s="330"/>
      <c r="W238" s="330"/>
      <c r="X238" s="330"/>
      <c r="Y238" s="121"/>
    </row>
    <row r="239" spans="10:25" x14ac:dyDescent="0.2">
      <c r="J239" s="330"/>
      <c r="K239" s="330"/>
      <c r="L239" s="330"/>
      <c r="M239" s="330"/>
      <c r="N239" s="330"/>
      <c r="O239" s="330"/>
      <c r="P239" s="330"/>
      <c r="Q239" s="330"/>
      <c r="R239" s="330"/>
      <c r="S239" s="330">
        <v>252</v>
      </c>
      <c r="T239" s="330">
        <v>150</v>
      </c>
      <c r="U239" s="330"/>
      <c r="V239" s="330"/>
      <c r="W239" s="330"/>
      <c r="X239" s="330"/>
      <c r="Y239" s="121"/>
    </row>
    <row r="240" spans="10:25" x14ac:dyDescent="0.2">
      <c r="J240" s="330"/>
      <c r="K240" s="330"/>
      <c r="L240" s="330"/>
      <c r="M240" s="330"/>
      <c r="N240" s="330"/>
      <c r="O240" s="330"/>
      <c r="P240" s="330"/>
      <c r="Q240" s="330"/>
      <c r="R240" s="330"/>
      <c r="S240" s="330">
        <v>253</v>
      </c>
      <c r="T240" s="330">
        <v>150</v>
      </c>
      <c r="U240" s="330"/>
      <c r="V240" s="330"/>
      <c r="W240" s="330"/>
      <c r="X240" s="330"/>
      <c r="Y240" s="121"/>
    </row>
    <row r="241" spans="10:25" x14ac:dyDescent="0.2">
      <c r="J241" s="330"/>
      <c r="K241" s="330"/>
      <c r="L241" s="330"/>
      <c r="M241" s="330"/>
      <c r="N241" s="330"/>
      <c r="O241" s="330"/>
      <c r="P241" s="330"/>
      <c r="Q241" s="330"/>
      <c r="R241" s="330"/>
      <c r="S241" s="330">
        <v>254</v>
      </c>
      <c r="T241" s="330">
        <v>150</v>
      </c>
      <c r="U241" s="330"/>
      <c r="V241" s="330"/>
      <c r="W241" s="330"/>
      <c r="X241" s="330"/>
      <c r="Y241" s="121"/>
    </row>
    <row r="242" spans="10:25" x14ac:dyDescent="0.2">
      <c r="J242" s="330"/>
      <c r="K242" s="330"/>
      <c r="L242" s="330"/>
      <c r="M242" s="330"/>
      <c r="N242" s="330"/>
      <c r="O242" s="330"/>
      <c r="P242" s="330"/>
      <c r="Q242" s="330"/>
      <c r="R242" s="330"/>
      <c r="S242" s="330">
        <v>255</v>
      </c>
      <c r="T242" s="330">
        <v>150</v>
      </c>
      <c r="U242" s="330"/>
      <c r="V242" s="330"/>
      <c r="W242" s="330"/>
      <c r="X242" s="330"/>
      <c r="Y242" s="121"/>
    </row>
    <row r="243" spans="10:25" x14ac:dyDescent="0.2">
      <c r="J243" s="330"/>
      <c r="K243" s="330"/>
      <c r="L243" s="330"/>
      <c r="M243" s="330"/>
      <c r="N243" s="330"/>
      <c r="O243" s="330"/>
      <c r="P243" s="330"/>
      <c r="Q243" s="330"/>
      <c r="R243" s="330"/>
      <c r="S243" s="330">
        <v>256</v>
      </c>
      <c r="T243" s="330">
        <v>150</v>
      </c>
      <c r="U243" s="330"/>
      <c r="V243" s="330"/>
      <c r="W243" s="330"/>
      <c r="X243" s="330"/>
      <c r="Y243" s="121"/>
    </row>
    <row r="244" spans="10:25" x14ac:dyDescent="0.2">
      <c r="J244" s="330"/>
      <c r="K244" s="330"/>
      <c r="L244" s="330"/>
      <c r="M244" s="330"/>
      <c r="N244" s="330"/>
      <c r="O244" s="330"/>
      <c r="P244" s="330"/>
      <c r="Q244" s="330"/>
      <c r="R244" s="330"/>
      <c r="S244" s="330">
        <v>257</v>
      </c>
      <c r="T244" s="330">
        <v>150</v>
      </c>
      <c r="U244" s="330"/>
      <c r="V244" s="330"/>
      <c r="W244" s="330"/>
      <c r="X244" s="330"/>
      <c r="Y244" s="121"/>
    </row>
    <row r="245" spans="10:25" x14ac:dyDescent="0.2">
      <c r="J245" s="330"/>
      <c r="K245" s="330"/>
      <c r="L245" s="330"/>
      <c r="M245" s="330"/>
      <c r="N245" s="330"/>
      <c r="O245" s="330"/>
      <c r="P245" s="330"/>
      <c r="Q245" s="330"/>
      <c r="R245" s="330"/>
      <c r="S245" s="330">
        <v>258</v>
      </c>
      <c r="T245" s="330">
        <v>150</v>
      </c>
      <c r="U245" s="330"/>
      <c r="V245" s="330"/>
      <c r="W245" s="330"/>
      <c r="X245" s="330"/>
      <c r="Y245" s="121"/>
    </row>
    <row r="246" spans="10:25" x14ac:dyDescent="0.2">
      <c r="J246" s="330"/>
      <c r="K246" s="330"/>
      <c r="L246" s="330"/>
      <c r="M246" s="330"/>
      <c r="N246" s="330"/>
      <c r="O246" s="330"/>
      <c r="P246" s="330"/>
      <c r="Q246" s="330"/>
      <c r="R246" s="330"/>
      <c r="S246" s="330">
        <v>259</v>
      </c>
      <c r="T246" s="330">
        <v>150</v>
      </c>
      <c r="U246" s="330"/>
      <c r="V246" s="330"/>
      <c r="W246" s="330"/>
      <c r="X246" s="330"/>
      <c r="Y246" s="121"/>
    </row>
    <row r="247" spans="10:25" x14ac:dyDescent="0.2">
      <c r="J247" s="330"/>
      <c r="K247" s="330"/>
      <c r="L247" s="330"/>
      <c r="M247" s="330"/>
      <c r="N247" s="330"/>
      <c r="O247" s="330"/>
      <c r="P247" s="330"/>
      <c r="Q247" s="330"/>
      <c r="R247" s="330"/>
      <c r="S247" s="330">
        <v>260</v>
      </c>
      <c r="T247" s="330">
        <v>150</v>
      </c>
      <c r="U247" s="330"/>
      <c r="V247" s="330"/>
      <c r="W247" s="330"/>
      <c r="X247" s="330"/>
      <c r="Y247" s="121"/>
    </row>
    <row r="248" spans="10:25" x14ac:dyDescent="0.2">
      <c r="J248" s="330"/>
      <c r="K248" s="330"/>
      <c r="L248" s="330"/>
      <c r="M248" s="330"/>
      <c r="N248" s="330"/>
      <c r="O248" s="330"/>
      <c r="P248" s="330"/>
      <c r="Q248" s="330"/>
      <c r="R248" s="330"/>
      <c r="S248" s="330">
        <v>261</v>
      </c>
      <c r="T248" s="330">
        <v>150</v>
      </c>
      <c r="U248" s="330"/>
      <c r="V248" s="330"/>
      <c r="W248" s="330"/>
      <c r="X248" s="330"/>
      <c r="Y248" s="121"/>
    </row>
    <row r="249" spans="10:25" x14ac:dyDescent="0.2">
      <c r="J249" s="330"/>
      <c r="K249" s="330"/>
      <c r="L249" s="330"/>
      <c r="M249" s="330"/>
      <c r="N249" s="330"/>
      <c r="O249" s="330"/>
      <c r="P249" s="330"/>
      <c r="Q249" s="330"/>
      <c r="R249" s="330"/>
      <c r="S249" s="330">
        <v>262</v>
      </c>
      <c r="T249" s="330">
        <v>150</v>
      </c>
      <c r="U249" s="330"/>
      <c r="V249" s="330"/>
      <c r="W249" s="330"/>
      <c r="X249" s="330"/>
      <c r="Y249" s="121"/>
    </row>
    <row r="250" spans="10:25" x14ac:dyDescent="0.2">
      <c r="J250" s="330"/>
      <c r="K250" s="330"/>
      <c r="L250" s="330"/>
      <c r="M250" s="330"/>
      <c r="N250" s="330"/>
      <c r="O250" s="330"/>
      <c r="P250" s="330"/>
      <c r="Q250" s="330"/>
      <c r="R250" s="330"/>
      <c r="S250" s="330">
        <v>263</v>
      </c>
      <c r="T250" s="330">
        <v>150</v>
      </c>
      <c r="U250" s="330"/>
      <c r="V250" s="330"/>
      <c r="W250" s="330"/>
      <c r="X250" s="330"/>
      <c r="Y250" s="121"/>
    </row>
    <row r="251" spans="10:25" x14ac:dyDescent="0.2">
      <c r="J251" s="330"/>
      <c r="K251" s="330"/>
      <c r="L251" s="330"/>
      <c r="M251" s="330"/>
      <c r="N251" s="330"/>
      <c r="O251" s="330"/>
      <c r="P251" s="330"/>
      <c r="Q251" s="330"/>
      <c r="R251" s="330"/>
      <c r="S251" s="330">
        <v>264</v>
      </c>
      <c r="T251" s="330">
        <v>150</v>
      </c>
      <c r="U251" s="330"/>
      <c r="V251" s="330"/>
      <c r="W251" s="330"/>
      <c r="X251" s="330"/>
      <c r="Y251" s="121"/>
    </row>
    <row r="252" spans="10:25" x14ac:dyDescent="0.2">
      <c r="J252" s="330"/>
      <c r="K252" s="330"/>
      <c r="L252" s="330"/>
      <c r="M252" s="330"/>
      <c r="N252" s="330"/>
      <c r="O252" s="330"/>
      <c r="P252" s="330"/>
      <c r="Q252" s="330"/>
      <c r="R252" s="330"/>
      <c r="S252" s="330">
        <v>265</v>
      </c>
      <c r="T252" s="330">
        <v>150</v>
      </c>
      <c r="U252" s="330"/>
      <c r="V252" s="330"/>
      <c r="W252" s="330"/>
      <c r="X252" s="330"/>
      <c r="Y252" s="121"/>
    </row>
    <row r="253" spans="10:25" x14ac:dyDescent="0.2">
      <c r="J253" s="330"/>
      <c r="K253" s="330"/>
      <c r="L253" s="330"/>
      <c r="M253" s="330"/>
      <c r="N253" s="330"/>
      <c r="O253" s="330"/>
      <c r="P253" s="330"/>
      <c r="Q253" s="330"/>
      <c r="R253" s="330"/>
      <c r="S253" s="330">
        <v>266</v>
      </c>
      <c r="T253" s="330">
        <v>150</v>
      </c>
      <c r="U253" s="330"/>
      <c r="V253" s="330"/>
      <c r="W253" s="330"/>
      <c r="X253" s="330"/>
      <c r="Y253" s="121"/>
    </row>
    <row r="254" spans="10:25" x14ac:dyDescent="0.2">
      <c r="J254" s="330"/>
      <c r="K254" s="330"/>
      <c r="L254" s="330"/>
      <c r="M254" s="330"/>
      <c r="N254" s="330"/>
      <c r="O254" s="330"/>
      <c r="P254" s="330"/>
      <c r="Q254" s="330"/>
      <c r="R254" s="330"/>
      <c r="S254" s="330">
        <v>267</v>
      </c>
      <c r="T254" s="330">
        <v>150</v>
      </c>
      <c r="U254" s="330"/>
      <c r="V254" s="330"/>
      <c r="W254" s="330"/>
      <c r="X254" s="330"/>
      <c r="Y254" s="121"/>
    </row>
    <row r="255" spans="10:25" x14ac:dyDescent="0.2">
      <c r="J255" s="330"/>
      <c r="K255" s="330"/>
      <c r="L255" s="330"/>
      <c r="M255" s="330"/>
      <c r="N255" s="330"/>
      <c r="O255" s="330"/>
      <c r="P255" s="330"/>
      <c r="Q255" s="330"/>
      <c r="R255" s="330"/>
      <c r="S255" s="330">
        <v>268</v>
      </c>
      <c r="T255" s="330">
        <v>150</v>
      </c>
      <c r="U255" s="330"/>
      <c r="V255" s="330"/>
      <c r="W255" s="330"/>
      <c r="X255" s="330"/>
      <c r="Y255" s="121"/>
    </row>
    <row r="256" spans="10:25" x14ac:dyDescent="0.2">
      <c r="J256" s="330"/>
      <c r="K256" s="330"/>
      <c r="L256" s="330"/>
      <c r="M256" s="330"/>
      <c r="N256" s="330"/>
      <c r="O256" s="330"/>
      <c r="P256" s="330"/>
      <c r="Q256" s="330"/>
      <c r="R256" s="330"/>
      <c r="S256" s="330">
        <v>269</v>
      </c>
      <c r="T256" s="330">
        <v>150</v>
      </c>
      <c r="U256" s="330"/>
      <c r="V256" s="330"/>
      <c r="W256" s="330"/>
      <c r="X256" s="330"/>
      <c r="Y256" s="121"/>
    </row>
    <row r="257" spans="10:25" x14ac:dyDescent="0.2">
      <c r="J257" s="330"/>
      <c r="K257" s="330"/>
      <c r="L257" s="330"/>
      <c r="M257" s="330"/>
      <c r="N257" s="330"/>
      <c r="O257" s="330"/>
      <c r="P257" s="330"/>
      <c r="Q257" s="330"/>
      <c r="R257" s="330"/>
      <c r="S257" s="330">
        <v>270</v>
      </c>
      <c r="T257" s="330">
        <v>150</v>
      </c>
      <c r="U257" s="330"/>
      <c r="V257" s="330"/>
      <c r="W257" s="330"/>
      <c r="X257" s="330"/>
      <c r="Y257" s="121"/>
    </row>
    <row r="258" spans="10:25" x14ac:dyDescent="0.2">
      <c r="J258" s="330"/>
      <c r="K258" s="330"/>
      <c r="L258" s="330"/>
      <c r="M258" s="330"/>
      <c r="N258" s="330"/>
      <c r="O258" s="330"/>
      <c r="P258" s="330"/>
      <c r="Q258" s="330"/>
      <c r="R258" s="330"/>
      <c r="S258" s="330">
        <v>271</v>
      </c>
      <c r="T258" s="330">
        <v>150</v>
      </c>
      <c r="U258" s="330"/>
      <c r="V258" s="330"/>
      <c r="W258" s="330"/>
      <c r="X258" s="330"/>
      <c r="Y258" s="121"/>
    </row>
    <row r="259" spans="10:25" x14ac:dyDescent="0.2">
      <c r="J259" s="330"/>
      <c r="K259" s="330"/>
      <c r="L259" s="330"/>
      <c r="M259" s="330"/>
      <c r="N259" s="330"/>
      <c r="O259" s="330"/>
      <c r="P259" s="330"/>
      <c r="Q259" s="330"/>
      <c r="R259" s="330"/>
      <c r="S259" s="330">
        <v>272</v>
      </c>
      <c r="T259" s="330">
        <v>150</v>
      </c>
      <c r="U259" s="330"/>
      <c r="V259" s="330"/>
      <c r="W259" s="330"/>
      <c r="X259" s="330"/>
      <c r="Y259" s="121"/>
    </row>
    <row r="260" spans="10:25" x14ac:dyDescent="0.2">
      <c r="J260" s="330"/>
      <c r="K260" s="330"/>
      <c r="L260" s="330"/>
      <c r="M260" s="330"/>
      <c r="N260" s="330"/>
      <c r="O260" s="330"/>
      <c r="P260" s="330"/>
      <c r="Q260" s="330"/>
      <c r="R260" s="330"/>
      <c r="S260" s="330">
        <v>273</v>
      </c>
      <c r="T260" s="330">
        <v>150</v>
      </c>
      <c r="U260" s="330"/>
      <c r="V260" s="330"/>
      <c r="W260" s="330"/>
      <c r="X260" s="330"/>
      <c r="Y260" s="121"/>
    </row>
    <row r="261" spans="10:25" x14ac:dyDescent="0.2">
      <c r="J261" s="330"/>
      <c r="K261" s="330"/>
      <c r="L261" s="330"/>
      <c r="M261" s="330"/>
      <c r="N261" s="330"/>
      <c r="O261" s="330"/>
      <c r="P261" s="330"/>
      <c r="Q261" s="330"/>
      <c r="R261" s="330"/>
      <c r="S261" s="330">
        <v>274</v>
      </c>
      <c r="T261" s="330">
        <v>150</v>
      </c>
      <c r="U261" s="330"/>
      <c r="V261" s="330"/>
      <c r="W261" s="330"/>
      <c r="X261" s="330"/>
      <c r="Y261" s="121"/>
    </row>
    <row r="262" spans="10:25" x14ac:dyDescent="0.2">
      <c r="J262" s="330"/>
      <c r="K262" s="330"/>
      <c r="L262" s="330"/>
      <c r="M262" s="330"/>
      <c r="N262" s="330"/>
      <c r="O262" s="330"/>
      <c r="P262" s="330"/>
      <c r="Q262" s="330"/>
      <c r="R262" s="330"/>
      <c r="S262" s="330">
        <v>275</v>
      </c>
      <c r="T262" s="330">
        <v>150</v>
      </c>
      <c r="U262" s="330"/>
      <c r="V262" s="330"/>
      <c r="W262" s="330"/>
      <c r="X262" s="330"/>
      <c r="Y262" s="121"/>
    </row>
    <row r="263" spans="10:25" x14ac:dyDescent="0.2">
      <c r="J263" s="330"/>
      <c r="K263" s="330"/>
      <c r="L263" s="330"/>
      <c r="M263" s="330"/>
      <c r="N263" s="330"/>
      <c r="O263" s="330"/>
      <c r="P263" s="330"/>
      <c r="Q263" s="330"/>
      <c r="R263" s="330"/>
      <c r="S263" s="330">
        <v>276</v>
      </c>
      <c r="T263" s="330">
        <v>150</v>
      </c>
      <c r="U263" s="330"/>
      <c r="V263" s="330"/>
      <c r="W263" s="330"/>
      <c r="X263" s="330"/>
      <c r="Y263" s="121"/>
    </row>
    <row r="264" spans="10:25" x14ac:dyDescent="0.2">
      <c r="J264" s="330"/>
      <c r="K264" s="330"/>
      <c r="L264" s="330"/>
      <c r="M264" s="330"/>
      <c r="N264" s="330"/>
      <c r="O264" s="330"/>
      <c r="P264" s="330"/>
      <c r="Q264" s="330"/>
      <c r="R264" s="330"/>
      <c r="S264" s="330">
        <v>277</v>
      </c>
      <c r="T264" s="330">
        <v>150</v>
      </c>
      <c r="U264" s="330"/>
      <c r="V264" s="330"/>
      <c r="W264" s="330"/>
      <c r="X264" s="330"/>
      <c r="Y264" s="121"/>
    </row>
    <row r="265" spans="10:25" x14ac:dyDescent="0.2">
      <c r="J265" s="330"/>
      <c r="K265" s="330"/>
      <c r="L265" s="330"/>
      <c r="M265" s="330"/>
      <c r="N265" s="330"/>
      <c r="O265" s="330"/>
      <c r="P265" s="330"/>
      <c r="Q265" s="330"/>
      <c r="R265" s="330"/>
      <c r="S265" s="330">
        <v>278</v>
      </c>
      <c r="T265" s="330">
        <v>150</v>
      </c>
      <c r="U265" s="330"/>
      <c r="V265" s="330"/>
      <c r="W265" s="330"/>
      <c r="X265" s="330"/>
      <c r="Y265" s="121"/>
    </row>
    <row r="266" spans="10:25" x14ac:dyDescent="0.2">
      <c r="J266" s="330"/>
      <c r="K266" s="330"/>
      <c r="L266" s="330"/>
      <c r="M266" s="330"/>
      <c r="N266" s="330"/>
      <c r="O266" s="330"/>
      <c r="P266" s="330"/>
      <c r="Q266" s="330"/>
      <c r="R266" s="330"/>
      <c r="S266" s="330">
        <v>279</v>
      </c>
      <c r="T266" s="330">
        <v>150</v>
      </c>
      <c r="U266" s="330"/>
      <c r="V266" s="330"/>
      <c r="W266" s="330"/>
      <c r="X266" s="330"/>
      <c r="Y266" s="121"/>
    </row>
    <row r="267" spans="10:25" x14ac:dyDescent="0.2">
      <c r="J267" s="330"/>
      <c r="K267" s="330"/>
      <c r="L267" s="330"/>
      <c r="M267" s="330"/>
      <c r="N267" s="330"/>
      <c r="O267" s="330"/>
      <c r="P267" s="330"/>
      <c r="Q267" s="330"/>
      <c r="R267" s="330"/>
      <c r="S267" s="330">
        <v>280</v>
      </c>
      <c r="T267" s="330">
        <v>150</v>
      </c>
      <c r="U267" s="330"/>
      <c r="V267" s="330"/>
      <c r="W267" s="330"/>
      <c r="X267" s="330"/>
      <c r="Y267" s="121"/>
    </row>
    <row r="268" spans="10:25" x14ac:dyDescent="0.2">
      <c r="J268" s="330"/>
      <c r="K268" s="330"/>
      <c r="L268" s="330"/>
      <c r="M268" s="330"/>
      <c r="N268" s="330"/>
      <c r="O268" s="330"/>
      <c r="P268" s="330"/>
      <c r="Q268" s="330"/>
      <c r="R268" s="330"/>
      <c r="S268" s="330">
        <v>281</v>
      </c>
      <c r="T268" s="330">
        <v>150</v>
      </c>
      <c r="U268" s="330"/>
      <c r="V268" s="330"/>
      <c r="W268" s="330"/>
      <c r="X268" s="330"/>
      <c r="Y268" s="121"/>
    </row>
    <row r="269" spans="10:25" x14ac:dyDescent="0.2">
      <c r="J269" s="330"/>
      <c r="K269" s="330"/>
      <c r="L269" s="330"/>
      <c r="M269" s="330"/>
      <c r="N269" s="330"/>
      <c r="O269" s="330"/>
      <c r="P269" s="330"/>
      <c r="Q269" s="330"/>
      <c r="R269" s="330"/>
      <c r="S269" s="330">
        <v>282</v>
      </c>
      <c r="T269" s="330">
        <v>150</v>
      </c>
      <c r="U269" s="330"/>
      <c r="V269" s="330"/>
      <c r="W269" s="330"/>
      <c r="X269" s="330"/>
      <c r="Y269" s="121"/>
    </row>
    <row r="270" spans="10:25" x14ac:dyDescent="0.2">
      <c r="J270" s="330"/>
      <c r="K270" s="330"/>
      <c r="L270" s="330"/>
      <c r="M270" s="330"/>
      <c r="N270" s="330"/>
      <c r="O270" s="330"/>
      <c r="P270" s="330"/>
      <c r="Q270" s="330"/>
      <c r="R270" s="330"/>
      <c r="S270" s="330">
        <v>283</v>
      </c>
      <c r="T270" s="330">
        <v>150</v>
      </c>
      <c r="U270" s="330"/>
      <c r="V270" s="330"/>
      <c r="W270" s="330"/>
      <c r="X270" s="330"/>
      <c r="Y270" s="121"/>
    </row>
    <row r="271" spans="10:25" x14ac:dyDescent="0.2">
      <c r="J271" s="330"/>
      <c r="K271" s="330"/>
      <c r="L271" s="330"/>
      <c r="M271" s="330"/>
      <c r="N271" s="330"/>
      <c r="O271" s="330"/>
      <c r="P271" s="330"/>
      <c r="Q271" s="330"/>
      <c r="R271" s="330"/>
      <c r="S271" s="330">
        <v>284</v>
      </c>
      <c r="T271" s="330">
        <v>150</v>
      </c>
      <c r="U271" s="330"/>
      <c r="V271" s="330"/>
      <c r="W271" s="330"/>
      <c r="X271" s="330"/>
      <c r="Y271" s="121"/>
    </row>
    <row r="272" spans="10:25" x14ac:dyDescent="0.2">
      <c r="J272" s="330"/>
      <c r="K272" s="330"/>
      <c r="L272" s="330"/>
      <c r="M272" s="330"/>
      <c r="N272" s="330"/>
      <c r="O272" s="330"/>
      <c r="P272" s="330"/>
      <c r="Q272" s="330"/>
      <c r="R272" s="330"/>
      <c r="S272" s="330">
        <v>285</v>
      </c>
      <c r="T272" s="330">
        <v>150</v>
      </c>
      <c r="U272" s="330"/>
      <c r="V272" s="330"/>
      <c r="W272" s="330"/>
      <c r="X272" s="330"/>
      <c r="Y272" s="121"/>
    </row>
    <row r="273" spans="10:25" x14ac:dyDescent="0.2">
      <c r="J273" s="330"/>
      <c r="K273" s="330"/>
      <c r="L273" s="330"/>
      <c r="M273" s="330"/>
      <c r="N273" s="330"/>
      <c r="O273" s="330"/>
      <c r="P273" s="330"/>
      <c r="Q273" s="330"/>
      <c r="R273" s="330"/>
      <c r="S273" s="330">
        <v>286</v>
      </c>
      <c r="T273" s="330">
        <v>150</v>
      </c>
      <c r="U273" s="330"/>
      <c r="V273" s="330"/>
      <c r="W273" s="330"/>
      <c r="X273" s="330"/>
      <c r="Y273" s="121"/>
    </row>
    <row r="274" spans="10:25" x14ac:dyDescent="0.2">
      <c r="J274" s="330"/>
      <c r="K274" s="330"/>
      <c r="L274" s="330"/>
      <c r="M274" s="330"/>
      <c r="N274" s="330"/>
      <c r="O274" s="330"/>
      <c r="P274" s="330"/>
      <c r="Q274" s="330"/>
      <c r="R274" s="330"/>
      <c r="S274" s="330">
        <v>287</v>
      </c>
      <c r="T274" s="330">
        <v>150</v>
      </c>
      <c r="U274" s="330"/>
      <c r="V274" s="330"/>
      <c r="W274" s="330"/>
      <c r="X274" s="330"/>
      <c r="Y274" s="121"/>
    </row>
    <row r="275" spans="10:25" x14ac:dyDescent="0.2">
      <c r="J275" s="330"/>
      <c r="K275" s="330"/>
      <c r="L275" s="330"/>
      <c r="M275" s="330"/>
      <c r="N275" s="330"/>
      <c r="O275" s="330"/>
      <c r="P275" s="330"/>
      <c r="Q275" s="330"/>
      <c r="R275" s="330"/>
      <c r="S275" s="330">
        <v>288</v>
      </c>
      <c r="T275" s="330">
        <v>150</v>
      </c>
      <c r="U275" s="330"/>
      <c r="V275" s="330"/>
      <c r="W275" s="330"/>
      <c r="X275" s="330"/>
      <c r="Y275" s="121"/>
    </row>
    <row r="276" spans="10:25" x14ac:dyDescent="0.2">
      <c r="J276" s="330"/>
      <c r="K276" s="330"/>
      <c r="L276" s="330"/>
      <c r="M276" s="330"/>
      <c r="N276" s="330"/>
      <c r="O276" s="330"/>
      <c r="P276" s="330"/>
      <c r="Q276" s="330"/>
      <c r="R276" s="330"/>
      <c r="S276" s="330">
        <v>289</v>
      </c>
      <c r="T276" s="330">
        <v>150</v>
      </c>
      <c r="U276" s="330"/>
      <c r="V276" s="330"/>
      <c r="W276" s="330"/>
      <c r="X276" s="330"/>
      <c r="Y276" s="121"/>
    </row>
    <row r="277" spans="10:25" x14ac:dyDescent="0.2">
      <c r="J277" s="330"/>
      <c r="K277" s="330"/>
      <c r="L277" s="330"/>
      <c r="M277" s="330"/>
      <c r="N277" s="330"/>
      <c r="O277" s="330"/>
      <c r="P277" s="330"/>
      <c r="Q277" s="330"/>
      <c r="R277" s="330"/>
      <c r="S277" s="330">
        <v>290</v>
      </c>
      <c r="T277" s="330">
        <v>150</v>
      </c>
      <c r="U277" s="330"/>
      <c r="V277" s="330"/>
      <c r="W277" s="330"/>
      <c r="X277" s="330"/>
      <c r="Y277" s="121"/>
    </row>
    <row r="278" spans="10:25" x14ac:dyDescent="0.2">
      <c r="J278" s="330"/>
      <c r="K278" s="330"/>
      <c r="L278" s="330"/>
      <c r="M278" s="330"/>
      <c r="N278" s="330"/>
      <c r="O278" s="330"/>
      <c r="P278" s="330"/>
      <c r="Q278" s="330"/>
      <c r="R278" s="330"/>
      <c r="S278" s="330">
        <v>291</v>
      </c>
      <c r="T278" s="330">
        <v>150</v>
      </c>
      <c r="U278" s="330"/>
      <c r="V278" s="330"/>
      <c r="W278" s="330"/>
      <c r="X278" s="330"/>
      <c r="Y278" s="121"/>
    </row>
    <row r="279" spans="10:25" x14ac:dyDescent="0.2">
      <c r="J279" s="330"/>
      <c r="K279" s="330"/>
      <c r="L279" s="330"/>
      <c r="M279" s="330"/>
      <c r="N279" s="330"/>
      <c r="O279" s="330"/>
      <c r="P279" s="330"/>
      <c r="Q279" s="330"/>
      <c r="R279" s="330"/>
      <c r="S279" s="330">
        <v>292</v>
      </c>
      <c r="T279" s="330">
        <v>150</v>
      </c>
      <c r="U279" s="330"/>
      <c r="V279" s="330"/>
      <c r="W279" s="330"/>
      <c r="X279" s="330"/>
      <c r="Y279" s="121"/>
    </row>
    <row r="280" spans="10:25" x14ac:dyDescent="0.2">
      <c r="J280" s="330"/>
      <c r="K280" s="330"/>
      <c r="L280" s="330"/>
      <c r="M280" s="330"/>
      <c r="N280" s="330"/>
      <c r="O280" s="330"/>
      <c r="P280" s="330"/>
      <c r="Q280" s="330"/>
      <c r="R280" s="330"/>
      <c r="S280" s="330">
        <v>293</v>
      </c>
      <c r="T280" s="330">
        <v>150</v>
      </c>
      <c r="U280" s="330"/>
      <c r="V280" s="330"/>
      <c r="W280" s="330"/>
      <c r="X280" s="330"/>
      <c r="Y280" s="121"/>
    </row>
    <row r="281" spans="10:25" x14ac:dyDescent="0.2">
      <c r="J281" s="330"/>
      <c r="K281" s="330"/>
      <c r="L281" s="330"/>
      <c r="M281" s="330"/>
      <c r="N281" s="330"/>
      <c r="O281" s="330"/>
      <c r="P281" s="330"/>
      <c r="Q281" s="330"/>
      <c r="R281" s="330"/>
      <c r="S281" s="330">
        <v>294</v>
      </c>
      <c r="T281" s="330">
        <v>150</v>
      </c>
      <c r="U281" s="330"/>
      <c r="V281" s="330"/>
      <c r="W281" s="330"/>
      <c r="X281" s="330"/>
      <c r="Y281" s="121"/>
    </row>
    <row r="282" spans="10:25" x14ac:dyDescent="0.2">
      <c r="J282" s="330"/>
      <c r="K282" s="330"/>
      <c r="L282" s="330"/>
      <c r="M282" s="330"/>
      <c r="N282" s="330"/>
      <c r="O282" s="330"/>
      <c r="P282" s="330"/>
      <c r="Q282" s="330"/>
      <c r="R282" s="330"/>
      <c r="S282" s="330">
        <v>295</v>
      </c>
      <c r="T282" s="330">
        <v>150</v>
      </c>
      <c r="U282" s="330"/>
      <c r="V282" s="330"/>
      <c r="W282" s="330"/>
      <c r="X282" s="330"/>
      <c r="Y282" s="121"/>
    </row>
    <row r="283" spans="10:25" x14ac:dyDescent="0.2">
      <c r="J283" s="330"/>
      <c r="K283" s="330"/>
      <c r="L283" s="330"/>
      <c r="M283" s="330"/>
      <c r="N283" s="330"/>
      <c r="O283" s="330"/>
      <c r="P283" s="330"/>
      <c r="Q283" s="330"/>
      <c r="R283" s="330"/>
      <c r="S283" s="330">
        <v>296</v>
      </c>
      <c r="T283" s="330">
        <v>150</v>
      </c>
      <c r="U283" s="330"/>
      <c r="V283" s="330"/>
      <c r="W283" s="330"/>
      <c r="X283" s="330"/>
      <c r="Y283" s="121"/>
    </row>
    <row r="284" spans="10:25" x14ac:dyDescent="0.2">
      <c r="J284" s="330"/>
      <c r="K284" s="330"/>
      <c r="L284" s="330"/>
      <c r="M284" s="330"/>
      <c r="N284" s="330"/>
      <c r="O284" s="330"/>
      <c r="P284" s="330"/>
      <c r="Q284" s="330"/>
      <c r="R284" s="330"/>
      <c r="S284" s="330">
        <v>297</v>
      </c>
      <c r="T284" s="330">
        <v>150</v>
      </c>
      <c r="U284" s="330"/>
      <c r="V284" s="330"/>
      <c r="W284" s="330"/>
      <c r="X284" s="330"/>
      <c r="Y284" s="121"/>
    </row>
    <row r="285" spans="10:25" x14ac:dyDescent="0.2">
      <c r="J285" s="330"/>
      <c r="K285" s="330"/>
      <c r="L285" s="330"/>
      <c r="M285" s="330"/>
      <c r="N285" s="330"/>
      <c r="O285" s="330"/>
      <c r="P285" s="330"/>
      <c r="Q285" s="330"/>
      <c r="R285" s="330"/>
      <c r="S285" s="330">
        <v>298</v>
      </c>
      <c r="T285" s="330">
        <v>150</v>
      </c>
      <c r="U285" s="330"/>
      <c r="V285" s="330"/>
      <c r="W285" s="330"/>
      <c r="X285" s="330"/>
      <c r="Y285" s="121"/>
    </row>
    <row r="286" spans="10:25" x14ac:dyDescent="0.2">
      <c r="J286" s="330"/>
      <c r="K286" s="330"/>
      <c r="L286" s="330"/>
      <c r="M286" s="330"/>
      <c r="N286" s="330"/>
      <c r="O286" s="330"/>
      <c r="P286" s="330"/>
      <c r="Q286" s="330"/>
      <c r="R286" s="330"/>
      <c r="S286" s="330">
        <v>299</v>
      </c>
      <c r="T286" s="330">
        <v>150</v>
      </c>
      <c r="U286" s="330"/>
      <c r="V286" s="330"/>
      <c r="W286" s="330"/>
      <c r="X286" s="330"/>
      <c r="Y286" s="121"/>
    </row>
    <row r="287" spans="10:25" x14ac:dyDescent="0.2">
      <c r="J287" s="330"/>
      <c r="K287" s="330"/>
      <c r="L287" s="330"/>
      <c r="M287" s="330"/>
      <c r="N287" s="330"/>
      <c r="O287" s="330"/>
      <c r="P287" s="330"/>
      <c r="Q287" s="330"/>
      <c r="R287" s="330"/>
      <c r="S287" s="330">
        <v>300</v>
      </c>
      <c r="T287" s="330">
        <v>150</v>
      </c>
      <c r="U287" s="330">
        <v>300</v>
      </c>
      <c r="V287" s="330"/>
      <c r="W287" s="330"/>
      <c r="X287" s="330"/>
      <c r="Y287" s="121"/>
    </row>
    <row r="288" spans="10:25" x14ac:dyDescent="0.2">
      <c r="J288" s="330"/>
      <c r="K288" s="330"/>
      <c r="L288" s="330"/>
      <c r="M288" s="330"/>
      <c r="N288" s="330"/>
      <c r="O288" s="330"/>
      <c r="P288" s="330"/>
      <c r="Q288" s="330"/>
      <c r="R288" s="330"/>
      <c r="S288" s="330">
        <v>301</v>
      </c>
      <c r="T288" s="330">
        <v>150</v>
      </c>
      <c r="U288" s="330"/>
      <c r="V288" s="330"/>
      <c r="W288" s="330"/>
      <c r="X288" s="330"/>
      <c r="Y288" s="121"/>
    </row>
    <row r="289" spans="10:25" x14ac:dyDescent="0.2">
      <c r="J289" s="330"/>
      <c r="K289" s="330"/>
      <c r="L289" s="330"/>
      <c r="M289" s="330"/>
      <c r="N289" s="330"/>
      <c r="O289" s="330"/>
      <c r="P289" s="330"/>
      <c r="Q289" s="330"/>
      <c r="R289" s="330"/>
      <c r="S289" s="330">
        <v>302</v>
      </c>
      <c r="T289" s="330">
        <v>150</v>
      </c>
      <c r="U289" s="330"/>
      <c r="V289" s="330"/>
      <c r="W289" s="330"/>
      <c r="X289" s="330"/>
      <c r="Y289" s="121"/>
    </row>
    <row r="290" spans="10:25" x14ac:dyDescent="0.2">
      <c r="J290" s="330"/>
      <c r="K290" s="330"/>
      <c r="L290" s="330"/>
      <c r="M290" s="330"/>
      <c r="N290" s="330"/>
      <c r="O290" s="330"/>
      <c r="P290" s="330"/>
      <c r="Q290" s="330"/>
      <c r="R290" s="330"/>
      <c r="S290" s="330">
        <v>303</v>
      </c>
      <c r="T290" s="330">
        <v>150</v>
      </c>
      <c r="U290" s="330"/>
      <c r="V290" s="330"/>
      <c r="W290" s="330"/>
      <c r="X290" s="330"/>
      <c r="Y290" s="121"/>
    </row>
    <row r="291" spans="10:25" x14ac:dyDescent="0.2">
      <c r="J291" s="330"/>
      <c r="K291" s="330"/>
      <c r="L291" s="330"/>
      <c r="M291" s="330"/>
      <c r="N291" s="330"/>
      <c r="O291" s="330"/>
      <c r="P291" s="330"/>
      <c r="Q291" s="330"/>
      <c r="R291" s="330"/>
      <c r="S291" s="330">
        <v>304</v>
      </c>
      <c r="T291" s="330">
        <v>150</v>
      </c>
      <c r="U291" s="330"/>
      <c r="V291" s="330"/>
      <c r="W291" s="330"/>
      <c r="X291" s="330"/>
      <c r="Y291" s="121"/>
    </row>
    <row r="292" spans="10:25" x14ac:dyDescent="0.2">
      <c r="J292" s="330"/>
      <c r="K292" s="330"/>
      <c r="L292" s="330"/>
      <c r="M292" s="330"/>
      <c r="N292" s="330"/>
      <c r="O292" s="330"/>
      <c r="P292" s="330"/>
      <c r="Q292" s="330"/>
      <c r="R292" s="330"/>
      <c r="S292" s="330">
        <v>305</v>
      </c>
      <c r="T292" s="330">
        <v>150</v>
      </c>
      <c r="U292" s="330"/>
      <c r="V292" s="330"/>
      <c r="W292" s="330"/>
      <c r="X292" s="330"/>
      <c r="Y292" s="121"/>
    </row>
    <row r="293" spans="10:25" x14ac:dyDescent="0.2">
      <c r="J293" s="330"/>
      <c r="K293" s="330"/>
      <c r="L293" s="330"/>
      <c r="M293" s="330"/>
      <c r="N293" s="330"/>
      <c r="O293" s="330"/>
      <c r="P293" s="330"/>
      <c r="Q293" s="330"/>
      <c r="R293" s="330"/>
      <c r="S293" s="330">
        <v>306</v>
      </c>
      <c r="T293" s="330">
        <v>150</v>
      </c>
      <c r="U293" s="330"/>
      <c r="V293" s="330"/>
      <c r="W293" s="330"/>
      <c r="X293" s="330"/>
      <c r="Y293" s="121"/>
    </row>
    <row r="294" spans="10:25" x14ac:dyDescent="0.2">
      <c r="J294" s="330"/>
      <c r="K294" s="330"/>
      <c r="L294" s="330"/>
      <c r="M294" s="330"/>
      <c r="N294" s="330"/>
      <c r="O294" s="330"/>
      <c r="P294" s="330"/>
      <c r="Q294" s="330"/>
      <c r="R294" s="330"/>
      <c r="S294" s="330">
        <v>307</v>
      </c>
      <c r="T294" s="330">
        <v>150</v>
      </c>
      <c r="U294" s="330"/>
      <c r="V294" s="330"/>
      <c r="W294" s="330"/>
      <c r="X294" s="330"/>
      <c r="Y294" s="121"/>
    </row>
    <row r="295" spans="10:25" x14ac:dyDescent="0.2">
      <c r="J295" s="330"/>
      <c r="K295" s="330"/>
      <c r="L295" s="330"/>
      <c r="M295" s="330"/>
      <c r="N295" s="330"/>
      <c r="O295" s="330"/>
      <c r="P295" s="330"/>
      <c r="Q295" s="330"/>
      <c r="R295" s="330"/>
      <c r="S295" s="330">
        <v>308</v>
      </c>
      <c r="T295" s="330">
        <v>150</v>
      </c>
      <c r="U295" s="330"/>
      <c r="V295" s="330"/>
      <c r="W295" s="330"/>
      <c r="X295" s="330"/>
      <c r="Y295" s="121"/>
    </row>
    <row r="296" spans="10:25" x14ac:dyDescent="0.2">
      <c r="J296" s="330"/>
      <c r="K296" s="330"/>
      <c r="L296" s="330"/>
      <c r="M296" s="330"/>
      <c r="N296" s="330"/>
      <c r="O296" s="330"/>
      <c r="P296" s="330"/>
      <c r="Q296" s="330"/>
      <c r="R296" s="330"/>
      <c r="S296" s="330">
        <v>309</v>
      </c>
      <c r="T296" s="330">
        <v>150</v>
      </c>
      <c r="U296" s="330"/>
      <c r="V296" s="330"/>
      <c r="W296" s="330"/>
      <c r="X296" s="330"/>
      <c r="Y296" s="121"/>
    </row>
    <row r="297" spans="10:25" x14ac:dyDescent="0.2">
      <c r="J297" s="330"/>
      <c r="K297" s="330"/>
      <c r="L297" s="330"/>
      <c r="M297" s="330"/>
      <c r="N297" s="330"/>
      <c r="O297" s="330"/>
      <c r="P297" s="330"/>
      <c r="Q297" s="330"/>
      <c r="R297" s="330"/>
      <c r="S297" s="330">
        <v>310</v>
      </c>
      <c r="T297" s="330">
        <v>150</v>
      </c>
      <c r="U297" s="330"/>
      <c r="V297" s="330"/>
      <c r="W297" s="330"/>
      <c r="X297" s="330"/>
      <c r="Y297" s="121"/>
    </row>
    <row r="298" spans="10:25" x14ac:dyDescent="0.2">
      <c r="J298" s="330"/>
      <c r="K298" s="330"/>
      <c r="L298" s="330"/>
      <c r="M298" s="330"/>
      <c r="N298" s="330"/>
      <c r="O298" s="330"/>
      <c r="P298" s="330"/>
      <c r="Q298" s="330"/>
      <c r="R298" s="330"/>
      <c r="S298" s="330">
        <v>311</v>
      </c>
      <c r="T298" s="330">
        <v>150</v>
      </c>
      <c r="U298" s="330"/>
      <c r="V298" s="330"/>
      <c r="W298" s="330"/>
      <c r="X298" s="330"/>
      <c r="Y298" s="121"/>
    </row>
    <row r="299" spans="10:25" x14ac:dyDescent="0.2">
      <c r="J299" s="330"/>
      <c r="K299" s="330"/>
      <c r="L299" s="330"/>
      <c r="M299" s="330"/>
      <c r="N299" s="330"/>
      <c r="O299" s="330"/>
      <c r="P299" s="330"/>
      <c r="Q299" s="330"/>
      <c r="R299" s="330"/>
      <c r="S299" s="330">
        <v>312</v>
      </c>
      <c r="T299" s="330">
        <v>150</v>
      </c>
      <c r="U299" s="330"/>
      <c r="V299" s="330"/>
      <c r="W299" s="330"/>
      <c r="X299" s="330"/>
      <c r="Y299" s="121"/>
    </row>
    <row r="300" spans="10:25" x14ac:dyDescent="0.2">
      <c r="J300" s="330"/>
      <c r="K300" s="330"/>
      <c r="L300" s="330"/>
      <c r="M300" s="330"/>
      <c r="N300" s="330"/>
      <c r="O300" s="330"/>
      <c r="P300" s="330"/>
      <c r="Q300" s="330"/>
      <c r="R300" s="330"/>
      <c r="S300" s="330">
        <v>313</v>
      </c>
      <c r="T300" s="330">
        <v>150</v>
      </c>
      <c r="U300" s="330"/>
      <c r="V300" s="330"/>
      <c r="W300" s="330"/>
      <c r="X300" s="330"/>
      <c r="Y300" s="121"/>
    </row>
    <row r="301" spans="10:25" x14ac:dyDescent="0.2">
      <c r="J301" s="330"/>
      <c r="K301" s="330"/>
      <c r="L301" s="330"/>
      <c r="M301" s="330"/>
      <c r="N301" s="330"/>
      <c r="O301" s="330"/>
      <c r="P301" s="330"/>
      <c r="Q301" s="330"/>
      <c r="R301" s="330"/>
      <c r="S301" s="330">
        <v>314</v>
      </c>
      <c r="T301" s="330">
        <v>150</v>
      </c>
      <c r="U301" s="330"/>
      <c r="V301" s="330"/>
      <c r="W301" s="330"/>
      <c r="X301" s="330"/>
      <c r="Y301" s="121"/>
    </row>
    <row r="302" spans="10:25" x14ac:dyDescent="0.2">
      <c r="J302" s="330"/>
      <c r="K302" s="330"/>
      <c r="L302" s="330"/>
      <c r="M302" s="330"/>
      <c r="N302" s="330"/>
      <c r="O302" s="330"/>
      <c r="P302" s="330"/>
      <c r="Q302" s="330"/>
      <c r="R302" s="330"/>
      <c r="S302" s="330">
        <v>315</v>
      </c>
      <c r="T302" s="330">
        <v>150</v>
      </c>
      <c r="U302" s="330"/>
      <c r="V302" s="330"/>
      <c r="W302" s="330"/>
      <c r="X302" s="330"/>
      <c r="Y302" s="121"/>
    </row>
    <row r="303" spans="10:25" x14ac:dyDescent="0.2">
      <c r="J303" s="330"/>
      <c r="K303" s="330"/>
      <c r="L303" s="330"/>
      <c r="M303" s="330"/>
      <c r="N303" s="330"/>
      <c r="O303" s="330"/>
      <c r="P303" s="330"/>
      <c r="Q303" s="330"/>
      <c r="R303" s="330"/>
      <c r="S303" s="330">
        <v>316</v>
      </c>
      <c r="T303" s="330">
        <v>150</v>
      </c>
      <c r="U303" s="330"/>
      <c r="V303" s="330"/>
      <c r="W303" s="330"/>
      <c r="X303" s="330"/>
      <c r="Y303" s="121"/>
    </row>
    <row r="304" spans="10:25" x14ac:dyDescent="0.2">
      <c r="J304" s="330"/>
      <c r="K304" s="330"/>
      <c r="L304" s="330"/>
      <c r="M304" s="330"/>
      <c r="N304" s="330"/>
      <c r="O304" s="330"/>
      <c r="P304" s="330"/>
      <c r="Q304" s="330"/>
      <c r="R304" s="330"/>
      <c r="S304" s="330">
        <v>317</v>
      </c>
      <c r="T304" s="330">
        <v>150</v>
      </c>
      <c r="U304" s="330"/>
      <c r="V304" s="330"/>
      <c r="W304" s="330"/>
      <c r="X304" s="330"/>
      <c r="Y304" s="121"/>
    </row>
    <row r="305" spans="10:25" x14ac:dyDescent="0.2">
      <c r="J305" s="330"/>
      <c r="K305" s="330"/>
      <c r="L305" s="330"/>
      <c r="M305" s="330"/>
      <c r="N305" s="330"/>
      <c r="O305" s="330"/>
      <c r="P305" s="330"/>
      <c r="Q305" s="330"/>
      <c r="R305" s="330"/>
      <c r="S305" s="330">
        <v>318</v>
      </c>
      <c r="T305" s="330">
        <v>150</v>
      </c>
      <c r="U305" s="330"/>
      <c r="V305" s="330"/>
      <c r="W305" s="330"/>
      <c r="X305" s="330"/>
      <c r="Y305" s="121"/>
    </row>
    <row r="306" spans="10:25" x14ac:dyDescent="0.2">
      <c r="J306" s="330"/>
      <c r="K306" s="330"/>
      <c r="L306" s="330"/>
      <c r="M306" s="330"/>
      <c r="N306" s="330"/>
      <c r="O306" s="330"/>
      <c r="P306" s="330"/>
      <c r="Q306" s="330"/>
      <c r="R306" s="330"/>
      <c r="S306" s="330">
        <v>319</v>
      </c>
      <c r="T306" s="330">
        <v>150</v>
      </c>
      <c r="U306" s="330"/>
      <c r="V306" s="330"/>
      <c r="W306" s="330"/>
      <c r="X306" s="330"/>
      <c r="Y306" s="121"/>
    </row>
    <row r="307" spans="10:25" x14ac:dyDescent="0.2">
      <c r="J307" s="330"/>
      <c r="K307" s="330"/>
      <c r="L307" s="330"/>
      <c r="M307" s="330"/>
      <c r="N307" s="330"/>
      <c r="O307" s="330"/>
      <c r="P307" s="330"/>
      <c r="Q307" s="330"/>
      <c r="R307" s="330"/>
      <c r="S307" s="330">
        <v>320</v>
      </c>
      <c r="T307" s="330">
        <v>150</v>
      </c>
      <c r="U307" s="330"/>
      <c r="V307" s="330"/>
      <c r="W307" s="330"/>
      <c r="X307" s="330"/>
      <c r="Y307" s="121"/>
    </row>
    <row r="308" spans="10:25" x14ac:dyDescent="0.2">
      <c r="J308" s="330"/>
      <c r="K308" s="330"/>
      <c r="L308" s="330"/>
      <c r="M308" s="330"/>
      <c r="N308" s="330"/>
      <c r="O308" s="330"/>
      <c r="P308" s="330"/>
      <c r="Q308" s="330"/>
      <c r="R308" s="330"/>
      <c r="S308" s="330">
        <v>321</v>
      </c>
      <c r="T308" s="330">
        <v>150</v>
      </c>
      <c r="U308" s="330"/>
      <c r="V308" s="330"/>
      <c r="W308" s="330"/>
      <c r="X308" s="330"/>
      <c r="Y308" s="121"/>
    </row>
    <row r="309" spans="10:25" x14ac:dyDescent="0.2">
      <c r="J309" s="330"/>
      <c r="K309" s="330"/>
      <c r="L309" s="330"/>
      <c r="M309" s="330"/>
      <c r="N309" s="330"/>
      <c r="O309" s="330"/>
      <c r="P309" s="330"/>
      <c r="Q309" s="330"/>
      <c r="R309" s="330"/>
      <c r="S309" s="330">
        <v>322</v>
      </c>
      <c r="T309" s="330">
        <v>150</v>
      </c>
      <c r="U309" s="330"/>
      <c r="V309" s="330"/>
      <c r="W309" s="330"/>
      <c r="X309" s="330"/>
      <c r="Y309" s="121"/>
    </row>
    <row r="310" spans="10:25" x14ac:dyDescent="0.2">
      <c r="J310" s="330"/>
      <c r="K310" s="330"/>
      <c r="L310" s="330"/>
      <c r="M310" s="330"/>
      <c r="N310" s="330"/>
      <c r="O310" s="330"/>
      <c r="P310" s="330"/>
      <c r="Q310" s="330"/>
      <c r="R310" s="330"/>
      <c r="S310" s="330">
        <v>323</v>
      </c>
      <c r="T310" s="330">
        <v>150</v>
      </c>
      <c r="U310" s="330"/>
      <c r="V310" s="330"/>
      <c r="W310" s="330"/>
      <c r="X310" s="330"/>
      <c r="Y310" s="121"/>
    </row>
    <row r="311" spans="10:25" x14ac:dyDescent="0.2">
      <c r="J311" s="330"/>
      <c r="K311" s="330"/>
      <c r="L311" s="330"/>
      <c r="M311" s="330"/>
      <c r="N311" s="330"/>
      <c r="O311" s="330"/>
      <c r="P311" s="330"/>
      <c r="Q311" s="330"/>
      <c r="R311" s="330"/>
      <c r="S311" s="330">
        <v>324</v>
      </c>
      <c r="T311" s="330">
        <v>150</v>
      </c>
      <c r="U311" s="330"/>
      <c r="V311" s="330"/>
      <c r="W311" s="330"/>
      <c r="X311" s="330"/>
      <c r="Y311" s="121"/>
    </row>
    <row r="312" spans="10:25" x14ac:dyDescent="0.2">
      <c r="J312" s="330"/>
      <c r="K312" s="330"/>
      <c r="L312" s="330"/>
      <c r="M312" s="330"/>
      <c r="N312" s="330"/>
      <c r="O312" s="330"/>
      <c r="P312" s="330"/>
      <c r="Q312" s="330"/>
      <c r="R312" s="330"/>
      <c r="S312" s="330">
        <v>325</v>
      </c>
      <c r="T312" s="330">
        <v>150</v>
      </c>
      <c r="U312" s="330"/>
      <c r="V312" s="330"/>
      <c r="W312" s="330"/>
      <c r="X312" s="330"/>
      <c r="Y312" s="121"/>
    </row>
    <row r="313" spans="10:25" x14ac:dyDescent="0.2">
      <c r="J313" s="330"/>
      <c r="K313" s="330"/>
      <c r="L313" s="330"/>
      <c r="M313" s="330"/>
      <c r="N313" s="330"/>
      <c r="O313" s="330"/>
      <c r="P313" s="330"/>
      <c r="Q313" s="330"/>
      <c r="R313" s="330"/>
      <c r="S313" s="330">
        <v>326</v>
      </c>
      <c r="T313" s="330">
        <v>150</v>
      </c>
      <c r="U313" s="330"/>
      <c r="V313" s="330"/>
      <c r="W313" s="330"/>
      <c r="X313" s="330"/>
      <c r="Y313" s="121"/>
    </row>
    <row r="314" spans="10:25" x14ac:dyDescent="0.2">
      <c r="J314" s="330"/>
      <c r="K314" s="330"/>
      <c r="L314" s="330"/>
      <c r="M314" s="330"/>
      <c r="N314" s="330"/>
      <c r="O314" s="330"/>
      <c r="P314" s="330"/>
      <c r="Q314" s="330"/>
      <c r="R314" s="330"/>
      <c r="S314" s="330">
        <v>327</v>
      </c>
      <c r="T314" s="330">
        <v>150</v>
      </c>
      <c r="U314" s="330"/>
      <c r="V314" s="330"/>
      <c r="W314" s="330"/>
      <c r="X314" s="330"/>
      <c r="Y314" s="121"/>
    </row>
    <row r="315" spans="10:25" x14ac:dyDescent="0.2">
      <c r="J315" s="330"/>
      <c r="K315" s="330"/>
      <c r="L315" s="330"/>
      <c r="M315" s="330"/>
      <c r="N315" s="330"/>
      <c r="O315" s="330"/>
      <c r="P315" s="330"/>
      <c r="Q315" s="330"/>
      <c r="R315" s="330"/>
      <c r="S315" s="330">
        <v>328</v>
      </c>
      <c r="T315" s="330">
        <v>150</v>
      </c>
      <c r="U315" s="330"/>
      <c r="V315" s="330"/>
      <c r="W315" s="330"/>
      <c r="X315" s="330"/>
      <c r="Y315" s="121"/>
    </row>
    <row r="316" spans="10:25" x14ac:dyDescent="0.2">
      <c r="J316" s="330"/>
      <c r="K316" s="330"/>
      <c r="L316" s="330"/>
      <c r="M316" s="330"/>
      <c r="N316" s="330"/>
      <c r="O316" s="330"/>
      <c r="P316" s="330"/>
      <c r="Q316" s="330"/>
      <c r="R316" s="330"/>
      <c r="S316" s="330">
        <v>329</v>
      </c>
      <c r="T316" s="330">
        <v>150</v>
      </c>
      <c r="U316" s="330"/>
      <c r="V316" s="330"/>
      <c r="W316" s="330"/>
      <c r="X316" s="330"/>
      <c r="Y316" s="121"/>
    </row>
    <row r="317" spans="10:25" x14ac:dyDescent="0.2">
      <c r="J317" s="330"/>
      <c r="K317" s="330"/>
      <c r="L317" s="330"/>
      <c r="M317" s="330"/>
      <c r="N317" s="330"/>
      <c r="O317" s="330"/>
      <c r="P317" s="330"/>
      <c r="Q317" s="330"/>
      <c r="R317" s="330"/>
      <c r="S317" s="330">
        <v>330</v>
      </c>
      <c r="T317" s="330">
        <v>150</v>
      </c>
      <c r="U317" s="330"/>
      <c r="V317" s="330"/>
      <c r="W317" s="330"/>
      <c r="X317" s="330"/>
      <c r="Y317" s="121"/>
    </row>
    <row r="318" spans="10:25" x14ac:dyDescent="0.2">
      <c r="J318" s="330"/>
      <c r="K318" s="330"/>
      <c r="L318" s="330"/>
      <c r="M318" s="330"/>
      <c r="N318" s="330"/>
      <c r="O318" s="330"/>
      <c r="P318" s="330"/>
      <c r="Q318" s="330"/>
      <c r="R318" s="330"/>
      <c r="S318" s="330">
        <v>331</v>
      </c>
      <c r="T318" s="330">
        <v>150</v>
      </c>
      <c r="U318" s="330"/>
      <c r="V318" s="330"/>
      <c r="W318" s="330"/>
      <c r="X318" s="330"/>
      <c r="Y318" s="121"/>
    </row>
    <row r="319" spans="10:25" x14ac:dyDescent="0.2">
      <c r="J319" s="330"/>
      <c r="K319" s="330"/>
      <c r="L319" s="330"/>
      <c r="M319" s="330"/>
      <c r="N319" s="330"/>
      <c r="O319" s="330"/>
      <c r="P319" s="330"/>
      <c r="Q319" s="330"/>
      <c r="R319" s="330"/>
      <c r="S319" s="330">
        <v>332</v>
      </c>
      <c r="T319" s="330">
        <v>150</v>
      </c>
      <c r="U319" s="330"/>
      <c r="V319" s="330"/>
      <c r="W319" s="330"/>
      <c r="X319" s="330"/>
      <c r="Y319" s="121"/>
    </row>
    <row r="320" spans="10:25" x14ac:dyDescent="0.2">
      <c r="J320" s="330"/>
      <c r="K320" s="330"/>
      <c r="L320" s="330"/>
      <c r="M320" s="330"/>
      <c r="N320" s="330"/>
      <c r="O320" s="330"/>
      <c r="P320" s="330"/>
      <c r="Q320" s="330"/>
      <c r="R320" s="330"/>
      <c r="S320" s="330">
        <v>333</v>
      </c>
      <c r="T320" s="330">
        <v>150</v>
      </c>
      <c r="U320" s="330"/>
      <c r="V320" s="330"/>
      <c r="W320" s="330"/>
      <c r="X320" s="330"/>
      <c r="Y320" s="121"/>
    </row>
    <row r="321" spans="10:25" x14ac:dyDescent="0.2">
      <c r="J321" s="330"/>
      <c r="K321" s="330"/>
      <c r="L321" s="330"/>
      <c r="M321" s="330"/>
      <c r="N321" s="330"/>
      <c r="O321" s="330"/>
      <c r="P321" s="330"/>
      <c r="Q321" s="330"/>
      <c r="R321" s="330"/>
      <c r="S321" s="330">
        <v>334</v>
      </c>
      <c r="T321" s="330">
        <v>150</v>
      </c>
      <c r="U321" s="330"/>
      <c r="V321" s="330"/>
      <c r="W321" s="330"/>
      <c r="X321" s="330"/>
      <c r="Y321" s="121"/>
    </row>
    <row r="322" spans="10:25" x14ac:dyDescent="0.2">
      <c r="J322" s="330"/>
      <c r="K322" s="330"/>
      <c r="L322" s="330"/>
      <c r="M322" s="330"/>
      <c r="N322" s="330"/>
      <c r="O322" s="330"/>
      <c r="P322" s="330"/>
      <c r="Q322" s="330"/>
      <c r="R322" s="330"/>
      <c r="S322" s="330">
        <v>335</v>
      </c>
      <c r="T322" s="330">
        <v>150</v>
      </c>
      <c r="U322" s="330"/>
      <c r="V322" s="330"/>
      <c r="W322" s="330"/>
      <c r="X322" s="330"/>
      <c r="Y322" s="121"/>
    </row>
    <row r="323" spans="10:25" x14ac:dyDescent="0.2">
      <c r="J323" s="330"/>
      <c r="K323" s="330"/>
      <c r="L323" s="330"/>
      <c r="M323" s="330"/>
      <c r="N323" s="330"/>
      <c r="O323" s="330"/>
      <c r="P323" s="330"/>
      <c r="Q323" s="330"/>
      <c r="R323" s="330"/>
      <c r="S323" s="330">
        <v>336</v>
      </c>
      <c r="T323" s="330">
        <v>150</v>
      </c>
      <c r="U323" s="330"/>
      <c r="V323" s="330"/>
      <c r="W323" s="330"/>
      <c r="X323" s="330"/>
      <c r="Y323" s="121"/>
    </row>
    <row r="324" spans="10:25" x14ac:dyDescent="0.2">
      <c r="J324" s="330"/>
      <c r="K324" s="330"/>
      <c r="L324" s="330"/>
      <c r="M324" s="330"/>
      <c r="N324" s="330"/>
      <c r="O324" s="330"/>
      <c r="P324" s="330"/>
      <c r="Q324" s="330"/>
      <c r="R324" s="330"/>
      <c r="S324" s="330">
        <v>337</v>
      </c>
      <c r="T324" s="330">
        <v>150</v>
      </c>
      <c r="U324" s="330"/>
      <c r="V324" s="330"/>
      <c r="W324" s="330"/>
      <c r="X324" s="330"/>
      <c r="Y324" s="121"/>
    </row>
    <row r="325" spans="10:25" x14ac:dyDescent="0.2">
      <c r="J325" s="330"/>
      <c r="K325" s="330"/>
      <c r="L325" s="330"/>
      <c r="M325" s="330"/>
      <c r="N325" s="330"/>
      <c r="O325" s="330"/>
      <c r="P325" s="330"/>
      <c r="Q325" s="330"/>
      <c r="R325" s="330"/>
      <c r="S325" s="330">
        <v>338</v>
      </c>
      <c r="T325" s="330">
        <v>150</v>
      </c>
      <c r="U325" s="330"/>
      <c r="V325" s="330"/>
      <c r="W325" s="330"/>
      <c r="X325" s="330"/>
      <c r="Y325" s="121"/>
    </row>
    <row r="326" spans="10:25" x14ac:dyDescent="0.2">
      <c r="J326" s="330"/>
      <c r="K326" s="330"/>
      <c r="L326" s="330"/>
      <c r="M326" s="330"/>
      <c r="N326" s="330"/>
      <c r="O326" s="330"/>
      <c r="P326" s="330"/>
      <c r="Q326" s="330"/>
      <c r="R326" s="330"/>
      <c r="S326" s="330">
        <v>339</v>
      </c>
      <c r="T326" s="330">
        <v>150</v>
      </c>
      <c r="U326" s="330"/>
      <c r="V326" s="330"/>
      <c r="W326" s="330"/>
      <c r="X326" s="330"/>
      <c r="Y326" s="121"/>
    </row>
    <row r="327" spans="10:25" x14ac:dyDescent="0.2">
      <c r="J327" s="330"/>
      <c r="K327" s="330"/>
      <c r="L327" s="330"/>
      <c r="M327" s="330"/>
      <c r="N327" s="330"/>
      <c r="O327" s="330"/>
      <c r="P327" s="330"/>
      <c r="Q327" s="330"/>
      <c r="R327" s="330"/>
      <c r="S327" s="330">
        <v>340</v>
      </c>
      <c r="T327" s="330">
        <v>150</v>
      </c>
      <c r="U327" s="330"/>
      <c r="V327" s="330"/>
      <c r="W327" s="330"/>
      <c r="X327" s="330"/>
      <c r="Y327" s="121"/>
    </row>
    <row r="328" spans="10:25" x14ac:dyDescent="0.2">
      <c r="J328" s="330"/>
      <c r="K328" s="330"/>
      <c r="L328" s="330"/>
      <c r="M328" s="330"/>
      <c r="N328" s="330"/>
      <c r="O328" s="330"/>
      <c r="P328" s="330"/>
      <c r="Q328" s="330"/>
      <c r="R328" s="330"/>
      <c r="S328" s="330">
        <v>341</v>
      </c>
      <c r="T328" s="330">
        <v>150</v>
      </c>
      <c r="U328" s="330"/>
      <c r="V328" s="330"/>
      <c r="W328" s="330"/>
      <c r="X328" s="330"/>
      <c r="Y328" s="121"/>
    </row>
    <row r="329" spans="10:25" x14ac:dyDescent="0.2">
      <c r="J329" s="330"/>
      <c r="K329" s="330"/>
      <c r="L329" s="330"/>
      <c r="M329" s="330"/>
      <c r="N329" s="330"/>
      <c r="O329" s="330"/>
      <c r="P329" s="330"/>
      <c r="Q329" s="330"/>
      <c r="R329" s="330"/>
      <c r="S329" s="330">
        <v>342</v>
      </c>
      <c r="T329" s="330">
        <v>150</v>
      </c>
      <c r="U329" s="330"/>
      <c r="V329" s="330"/>
      <c r="W329" s="330"/>
      <c r="X329" s="330"/>
      <c r="Y329" s="121"/>
    </row>
    <row r="330" spans="10:25" x14ac:dyDescent="0.2">
      <c r="J330" s="330"/>
      <c r="K330" s="330"/>
      <c r="L330" s="330"/>
      <c r="M330" s="330"/>
      <c r="N330" s="330"/>
      <c r="O330" s="330"/>
      <c r="P330" s="330"/>
      <c r="Q330" s="330"/>
      <c r="R330" s="330"/>
      <c r="S330" s="330">
        <v>343</v>
      </c>
      <c r="T330" s="330">
        <v>150</v>
      </c>
      <c r="U330" s="330"/>
      <c r="V330" s="330"/>
      <c r="W330" s="330"/>
      <c r="X330" s="330"/>
      <c r="Y330" s="121"/>
    </row>
    <row r="331" spans="10:25" x14ac:dyDescent="0.2">
      <c r="J331" s="330"/>
      <c r="K331" s="330"/>
      <c r="L331" s="330"/>
      <c r="M331" s="330"/>
      <c r="N331" s="330"/>
      <c r="O331" s="330"/>
      <c r="P331" s="330"/>
      <c r="Q331" s="330"/>
      <c r="R331" s="330"/>
      <c r="S331" s="330">
        <v>344</v>
      </c>
      <c r="T331" s="330">
        <v>150</v>
      </c>
      <c r="U331" s="330"/>
      <c r="V331" s="330"/>
      <c r="W331" s="330"/>
      <c r="X331" s="330"/>
      <c r="Y331" s="121"/>
    </row>
    <row r="332" spans="10:25" x14ac:dyDescent="0.2">
      <c r="J332" s="330"/>
      <c r="K332" s="330"/>
      <c r="L332" s="330"/>
      <c r="M332" s="330"/>
      <c r="N332" s="330"/>
      <c r="O332" s="330"/>
      <c r="P332" s="330"/>
      <c r="Q332" s="330"/>
      <c r="R332" s="330"/>
      <c r="S332" s="330">
        <v>345</v>
      </c>
      <c r="T332" s="330">
        <v>150</v>
      </c>
      <c r="U332" s="330"/>
      <c r="V332" s="330"/>
      <c r="W332" s="330"/>
      <c r="X332" s="330"/>
      <c r="Y332" s="121"/>
    </row>
    <row r="333" spans="10:25" x14ac:dyDescent="0.2">
      <c r="J333" s="330"/>
      <c r="K333" s="330"/>
      <c r="L333" s="330"/>
      <c r="M333" s="330"/>
      <c r="N333" s="330"/>
      <c r="O333" s="330"/>
      <c r="P333" s="330"/>
      <c r="Q333" s="330"/>
      <c r="R333" s="330"/>
      <c r="S333" s="330">
        <v>346</v>
      </c>
      <c r="T333" s="330">
        <v>150</v>
      </c>
      <c r="U333" s="330"/>
      <c r="V333" s="330"/>
      <c r="W333" s="330"/>
      <c r="X333" s="330"/>
      <c r="Y333" s="121"/>
    </row>
    <row r="334" spans="10:25" x14ac:dyDescent="0.2">
      <c r="J334" s="330"/>
      <c r="K334" s="330"/>
      <c r="L334" s="330"/>
      <c r="M334" s="330"/>
      <c r="N334" s="330"/>
      <c r="O334" s="330"/>
      <c r="P334" s="330"/>
      <c r="Q334" s="330"/>
      <c r="R334" s="330"/>
      <c r="S334" s="330">
        <v>347</v>
      </c>
      <c r="T334" s="330">
        <v>150</v>
      </c>
      <c r="U334" s="330"/>
      <c r="V334" s="330"/>
      <c r="W334" s="330"/>
      <c r="X334" s="330"/>
      <c r="Y334" s="121"/>
    </row>
    <row r="335" spans="10:25" x14ac:dyDescent="0.2">
      <c r="J335" s="330"/>
      <c r="K335" s="330"/>
      <c r="L335" s="330"/>
      <c r="M335" s="330"/>
      <c r="N335" s="330"/>
      <c r="O335" s="330"/>
      <c r="P335" s="330"/>
      <c r="Q335" s="330"/>
      <c r="R335" s="330"/>
      <c r="S335" s="330">
        <v>348</v>
      </c>
      <c r="T335" s="330">
        <v>150</v>
      </c>
      <c r="U335" s="330"/>
      <c r="V335" s="330"/>
      <c r="W335" s="330"/>
      <c r="X335" s="330"/>
      <c r="Y335" s="121"/>
    </row>
    <row r="336" spans="10:25" x14ac:dyDescent="0.2">
      <c r="J336" s="330"/>
      <c r="K336" s="330"/>
      <c r="L336" s="330"/>
      <c r="M336" s="330"/>
      <c r="N336" s="330"/>
      <c r="O336" s="330"/>
      <c r="P336" s="330"/>
      <c r="Q336" s="330"/>
      <c r="R336" s="330"/>
      <c r="S336" s="330">
        <v>349</v>
      </c>
      <c r="T336" s="330">
        <v>150</v>
      </c>
      <c r="U336" s="330"/>
      <c r="V336" s="330"/>
      <c r="W336" s="330"/>
      <c r="X336" s="330"/>
      <c r="Y336" s="121"/>
    </row>
    <row r="337" spans="10:25" x14ac:dyDescent="0.2">
      <c r="J337" s="330"/>
      <c r="K337" s="330"/>
      <c r="L337" s="330"/>
      <c r="M337" s="330"/>
      <c r="N337" s="330"/>
      <c r="O337" s="330"/>
      <c r="P337" s="330"/>
      <c r="Q337" s="330"/>
      <c r="R337" s="330"/>
      <c r="S337" s="330">
        <v>350</v>
      </c>
      <c r="T337" s="330">
        <v>150</v>
      </c>
      <c r="U337" s="330"/>
      <c r="V337" s="330"/>
      <c r="W337" s="330"/>
      <c r="X337" s="330"/>
      <c r="Y337" s="121"/>
    </row>
    <row r="338" spans="10:25" x14ac:dyDescent="0.2">
      <c r="J338" s="330"/>
      <c r="K338" s="330"/>
      <c r="L338" s="330"/>
      <c r="M338" s="330"/>
      <c r="N338" s="330"/>
      <c r="O338" s="330"/>
      <c r="P338" s="330"/>
      <c r="Q338" s="330"/>
      <c r="R338" s="330"/>
      <c r="S338" s="330">
        <v>351</v>
      </c>
      <c r="T338" s="330">
        <v>150</v>
      </c>
      <c r="U338" s="330"/>
      <c r="V338" s="330"/>
      <c r="W338" s="330"/>
      <c r="X338" s="330"/>
      <c r="Y338" s="121"/>
    </row>
    <row r="339" spans="10:25" x14ac:dyDescent="0.2">
      <c r="J339" s="330"/>
      <c r="K339" s="330"/>
      <c r="L339" s="330"/>
      <c r="M339" s="330"/>
      <c r="N339" s="330"/>
      <c r="O339" s="330"/>
      <c r="P339" s="330"/>
      <c r="Q339" s="330"/>
      <c r="R339" s="330"/>
      <c r="S339" s="330">
        <v>352</v>
      </c>
      <c r="T339" s="330">
        <v>150</v>
      </c>
      <c r="U339" s="330"/>
      <c r="V339" s="330"/>
      <c r="W339" s="330"/>
      <c r="X339" s="330"/>
      <c r="Y339" s="121"/>
    </row>
    <row r="340" spans="10:25" x14ac:dyDescent="0.2">
      <c r="J340" s="330"/>
      <c r="K340" s="330"/>
      <c r="L340" s="330"/>
      <c r="M340" s="330"/>
      <c r="N340" s="330"/>
      <c r="O340" s="330"/>
      <c r="P340" s="330"/>
      <c r="Q340" s="330"/>
      <c r="R340" s="330"/>
      <c r="S340" s="330">
        <v>353</v>
      </c>
      <c r="T340" s="330">
        <v>150</v>
      </c>
      <c r="U340" s="330"/>
      <c r="V340" s="330"/>
      <c r="W340" s="330"/>
      <c r="X340" s="330"/>
      <c r="Y340" s="121"/>
    </row>
    <row r="341" spans="10:25" x14ac:dyDescent="0.2">
      <c r="J341" s="330"/>
      <c r="K341" s="330"/>
      <c r="L341" s="330"/>
      <c r="M341" s="330"/>
      <c r="N341" s="330"/>
      <c r="O341" s="330"/>
      <c r="P341" s="330"/>
      <c r="Q341" s="330"/>
      <c r="R341" s="330"/>
      <c r="S341" s="330">
        <v>354</v>
      </c>
      <c r="T341" s="330">
        <v>150</v>
      </c>
      <c r="U341" s="330"/>
      <c r="V341" s="330"/>
      <c r="W341" s="330"/>
      <c r="X341" s="330"/>
      <c r="Y341" s="121"/>
    </row>
    <row r="342" spans="10:25" x14ac:dyDescent="0.2">
      <c r="J342" s="330"/>
      <c r="K342" s="330"/>
      <c r="L342" s="330"/>
      <c r="M342" s="330"/>
      <c r="N342" s="330"/>
      <c r="O342" s="330"/>
      <c r="P342" s="330"/>
      <c r="Q342" s="330"/>
      <c r="R342" s="330"/>
      <c r="S342" s="330">
        <v>355</v>
      </c>
      <c r="T342" s="330">
        <v>150</v>
      </c>
      <c r="U342" s="330"/>
      <c r="V342" s="330"/>
      <c r="W342" s="330"/>
      <c r="X342" s="330"/>
      <c r="Y342" s="121"/>
    </row>
    <row r="343" spans="10:25" x14ac:dyDescent="0.2">
      <c r="J343" s="330"/>
      <c r="K343" s="330"/>
      <c r="L343" s="330"/>
      <c r="M343" s="330"/>
      <c r="N343" s="330"/>
      <c r="O343" s="330"/>
      <c r="P343" s="330"/>
      <c r="Q343" s="330"/>
      <c r="R343" s="330"/>
      <c r="S343" s="330">
        <v>356</v>
      </c>
      <c r="T343" s="330">
        <v>150</v>
      </c>
      <c r="U343" s="330"/>
      <c r="V343" s="330"/>
      <c r="W343" s="330"/>
      <c r="X343" s="330"/>
      <c r="Y343" s="121"/>
    </row>
    <row r="344" spans="10:25" x14ac:dyDescent="0.2">
      <c r="J344" s="330"/>
      <c r="K344" s="330"/>
      <c r="L344" s="330"/>
      <c r="M344" s="330"/>
      <c r="N344" s="330"/>
      <c r="O344" s="330"/>
      <c r="P344" s="330"/>
      <c r="Q344" s="330"/>
      <c r="R344" s="330"/>
      <c r="S344" s="330">
        <v>357</v>
      </c>
      <c r="T344" s="330">
        <v>150</v>
      </c>
      <c r="U344" s="330"/>
      <c r="V344" s="330"/>
      <c r="W344" s="330"/>
      <c r="X344" s="330"/>
      <c r="Y344" s="121"/>
    </row>
    <row r="345" spans="10:25" x14ac:dyDescent="0.2">
      <c r="J345" s="330"/>
      <c r="K345" s="330"/>
      <c r="L345" s="330"/>
      <c r="M345" s="330"/>
      <c r="N345" s="330"/>
      <c r="O345" s="330"/>
      <c r="P345" s="330"/>
      <c r="Q345" s="330"/>
      <c r="R345" s="330"/>
      <c r="S345" s="330">
        <v>358</v>
      </c>
      <c r="T345" s="330">
        <v>150</v>
      </c>
      <c r="U345" s="330"/>
      <c r="V345" s="330"/>
      <c r="W345" s="330"/>
      <c r="X345" s="330"/>
      <c r="Y345" s="121"/>
    </row>
    <row r="346" spans="10:25" x14ac:dyDescent="0.2">
      <c r="J346" s="330"/>
      <c r="K346" s="330"/>
      <c r="L346" s="330"/>
      <c r="M346" s="330"/>
      <c r="N346" s="330"/>
      <c r="O346" s="330"/>
      <c r="P346" s="330"/>
      <c r="Q346" s="330"/>
      <c r="R346" s="330"/>
      <c r="S346" s="330">
        <v>359</v>
      </c>
      <c r="T346" s="330">
        <v>150</v>
      </c>
      <c r="U346" s="330"/>
      <c r="V346" s="330"/>
      <c r="W346" s="330"/>
      <c r="X346" s="330"/>
      <c r="Y346" s="121"/>
    </row>
    <row r="347" spans="10:25" x14ac:dyDescent="0.2">
      <c r="J347" s="330"/>
      <c r="K347" s="330"/>
      <c r="L347" s="330"/>
      <c r="M347" s="330"/>
      <c r="N347" s="330"/>
      <c r="O347" s="330"/>
      <c r="P347" s="330"/>
      <c r="Q347" s="330"/>
      <c r="R347" s="330"/>
      <c r="S347" s="330">
        <v>360</v>
      </c>
      <c r="T347" s="330">
        <v>150</v>
      </c>
      <c r="U347" s="330">
        <v>360</v>
      </c>
      <c r="V347" s="330"/>
      <c r="W347" s="330"/>
      <c r="X347" s="330"/>
      <c r="Y347" s="121"/>
    </row>
    <row r="348" spans="10:25" x14ac:dyDescent="0.2">
      <c r="J348" s="330"/>
      <c r="K348" s="330"/>
      <c r="L348" s="330"/>
      <c r="M348" s="330"/>
      <c r="N348" s="330"/>
      <c r="O348" s="330"/>
      <c r="P348" s="330"/>
      <c r="Q348" s="330"/>
      <c r="R348" s="330"/>
      <c r="S348" s="330"/>
      <c r="T348" s="330"/>
      <c r="U348" s="330"/>
      <c r="V348" s="330"/>
      <c r="W348" s="330"/>
      <c r="X348" s="330"/>
      <c r="Y348" s="121"/>
    </row>
    <row r="349" spans="10:25" x14ac:dyDescent="0.2">
      <c r="J349" s="330"/>
      <c r="K349" s="330"/>
      <c r="L349" s="330"/>
      <c r="M349" s="330"/>
      <c r="N349" s="330"/>
      <c r="O349" s="330"/>
      <c r="P349" s="330"/>
      <c r="Q349" s="330"/>
      <c r="R349" s="330"/>
      <c r="S349" s="330"/>
      <c r="T349" s="330"/>
      <c r="U349" s="330"/>
      <c r="V349" s="330"/>
      <c r="W349" s="330"/>
      <c r="X349" s="330"/>
      <c r="Y349" s="121"/>
    </row>
    <row r="350" spans="10:25" x14ac:dyDescent="0.2">
      <c r="J350" s="330"/>
      <c r="K350" s="330"/>
      <c r="L350" s="330"/>
      <c r="M350" s="330"/>
      <c r="N350" s="330"/>
      <c r="O350" s="330"/>
      <c r="P350" s="330"/>
      <c r="Q350" s="330"/>
      <c r="R350" s="330"/>
      <c r="S350" s="330"/>
      <c r="T350" s="330"/>
      <c r="U350" s="330"/>
      <c r="V350" s="330"/>
      <c r="W350" s="330"/>
      <c r="X350" s="330"/>
      <c r="Y350" s="121"/>
    </row>
    <row r="351" spans="10:25" x14ac:dyDescent="0.2">
      <c r="J351" s="330"/>
      <c r="K351" s="330"/>
      <c r="L351" s="330"/>
      <c r="M351" s="330"/>
      <c r="N351" s="330"/>
      <c r="O351" s="330"/>
      <c r="P351" s="330"/>
      <c r="Q351" s="330"/>
      <c r="R351" s="330"/>
      <c r="S351" s="330"/>
      <c r="T351" s="330"/>
      <c r="U351" s="330"/>
      <c r="V351" s="330"/>
      <c r="W351" s="330"/>
      <c r="X351" s="330"/>
      <c r="Y351" s="121"/>
    </row>
    <row r="352" spans="10:25" x14ac:dyDescent="0.2">
      <c r="J352" s="330"/>
      <c r="K352" s="330"/>
      <c r="L352" s="330"/>
      <c r="M352" s="330"/>
      <c r="N352" s="330"/>
      <c r="O352" s="330"/>
      <c r="P352" s="330"/>
      <c r="Q352" s="330"/>
      <c r="R352" s="330"/>
      <c r="S352" s="330"/>
      <c r="T352" s="330"/>
      <c r="U352" s="330"/>
      <c r="V352" s="330"/>
      <c r="W352" s="330"/>
      <c r="X352" s="330"/>
      <c r="Y352" s="121"/>
    </row>
    <row r="353" spans="10:25" x14ac:dyDescent="0.2">
      <c r="J353" s="330"/>
      <c r="K353" s="330"/>
      <c r="L353" s="330"/>
      <c r="M353" s="330"/>
      <c r="N353" s="330"/>
      <c r="O353" s="330"/>
      <c r="P353" s="330"/>
      <c r="Q353" s="330"/>
      <c r="R353" s="330"/>
      <c r="S353" s="330"/>
      <c r="T353" s="330"/>
      <c r="U353" s="330"/>
      <c r="V353" s="330"/>
      <c r="W353" s="330"/>
      <c r="X353" s="330"/>
      <c r="Y353" s="121"/>
    </row>
    <row r="354" spans="10:25" x14ac:dyDescent="0.2">
      <c r="J354" s="330"/>
      <c r="K354" s="330"/>
      <c r="L354" s="330"/>
      <c r="M354" s="330"/>
      <c r="N354" s="330"/>
      <c r="O354" s="330"/>
      <c r="P354" s="330"/>
      <c r="Q354" s="330"/>
      <c r="R354" s="330"/>
      <c r="S354" s="330"/>
      <c r="T354" s="330"/>
      <c r="U354" s="330"/>
      <c r="V354" s="330"/>
      <c r="W354" s="330"/>
      <c r="X354" s="330"/>
      <c r="Y354" s="121"/>
    </row>
    <row r="355" spans="10:25" x14ac:dyDescent="0.2">
      <c r="J355" s="330"/>
      <c r="K355" s="330"/>
      <c r="L355" s="330"/>
      <c r="M355" s="330"/>
      <c r="N355" s="330"/>
      <c r="O355" s="330"/>
      <c r="P355" s="330"/>
      <c r="Q355" s="330"/>
      <c r="R355" s="330"/>
      <c r="S355" s="330"/>
      <c r="T355" s="330"/>
      <c r="U355" s="330"/>
      <c r="V355" s="330"/>
      <c r="W355" s="330"/>
      <c r="X355" s="330"/>
      <c r="Y355" s="121"/>
    </row>
    <row r="356" spans="10:25" x14ac:dyDescent="0.2">
      <c r="J356" s="330"/>
      <c r="K356" s="330"/>
      <c r="L356" s="330"/>
      <c r="M356" s="330"/>
      <c r="N356" s="330"/>
      <c r="O356" s="330"/>
      <c r="P356" s="330"/>
      <c r="Q356" s="330"/>
      <c r="R356" s="330"/>
      <c r="S356" s="330"/>
      <c r="T356" s="330"/>
      <c r="U356" s="330"/>
      <c r="V356" s="330"/>
      <c r="W356" s="330"/>
      <c r="X356" s="330"/>
      <c r="Y356" s="121"/>
    </row>
    <row r="357" spans="10:25" x14ac:dyDescent="0.2">
      <c r="J357" s="330"/>
      <c r="K357" s="330"/>
      <c r="L357" s="330"/>
      <c r="M357" s="330"/>
      <c r="N357" s="330"/>
      <c r="O357" s="330"/>
      <c r="P357" s="330"/>
      <c r="Q357" s="330"/>
      <c r="R357" s="330"/>
      <c r="S357" s="330"/>
      <c r="T357" s="330"/>
      <c r="U357" s="330"/>
      <c r="V357" s="330"/>
      <c r="W357" s="330"/>
      <c r="X357" s="330"/>
      <c r="Y357" s="121"/>
    </row>
    <row r="358" spans="10:25" x14ac:dyDescent="0.2">
      <c r="J358" s="330"/>
      <c r="K358" s="330"/>
      <c r="L358" s="330"/>
      <c r="M358" s="330"/>
      <c r="N358" s="330"/>
      <c r="O358" s="330"/>
      <c r="P358" s="330"/>
      <c r="Q358" s="330"/>
      <c r="R358" s="330"/>
      <c r="S358" s="330"/>
      <c r="T358" s="330"/>
      <c r="U358" s="330"/>
      <c r="V358" s="330"/>
      <c r="W358" s="330"/>
      <c r="X358" s="330"/>
      <c r="Y358" s="121"/>
    </row>
    <row r="359" spans="10:25" x14ac:dyDescent="0.2">
      <c r="J359" s="330"/>
      <c r="K359" s="330"/>
      <c r="L359" s="330"/>
      <c r="M359" s="330"/>
      <c r="N359" s="330"/>
      <c r="O359" s="330"/>
      <c r="P359" s="330"/>
      <c r="Q359" s="330"/>
      <c r="R359" s="330"/>
      <c r="S359" s="330"/>
      <c r="T359" s="330"/>
      <c r="U359" s="330"/>
      <c r="V359" s="330"/>
      <c r="W359" s="330"/>
      <c r="X359" s="330"/>
      <c r="Y359" s="121"/>
    </row>
    <row r="360" spans="10:25" x14ac:dyDescent="0.2">
      <c r="J360" s="330"/>
      <c r="K360" s="330"/>
      <c r="L360" s="330"/>
      <c r="M360" s="330"/>
      <c r="N360" s="330"/>
      <c r="O360" s="330"/>
      <c r="P360" s="330"/>
      <c r="Q360" s="330"/>
      <c r="R360" s="330"/>
      <c r="S360" s="330"/>
      <c r="T360" s="330"/>
      <c r="U360" s="330"/>
      <c r="V360" s="330"/>
      <c r="W360" s="330"/>
      <c r="X360" s="330"/>
      <c r="Y360" s="121"/>
    </row>
    <row r="361" spans="10:25" x14ac:dyDescent="0.2">
      <c r="J361" s="330"/>
      <c r="K361" s="330"/>
      <c r="L361" s="330"/>
      <c r="M361" s="330"/>
      <c r="N361" s="330"/>
      <c r="O361" s="330"/>
      <c r="P361" s="330"/>
      <c r="Q361" s="330"/>
      <c r="R361" s="330"/>
      <c r="S361" s="330"/>
      <c r="T361" s="330"/>
      <c r="U361" s="330"/>
      <c r="V361" s="330"/>
      <c r="W361" s="330"/>
      <c r="X361" s="330"/>
      <c r="Y361" s="121"/>
    </row>
    <row r="362" spans="10:25" x14ac:dyDescent="0.2">
      <c r="J362" s="330"/>
      <c r="K362" s="330"/>
      <c r="L362" s="330"/>
      <c r="M362" s="330"/>
      <c r="N362" s="330"/>
      <c r="O362" s="330"/>
      <c r="P362" s="330"/>
      <c r="Q362" s="330"/>
      <c r="R362" s="330"/>
      <c r="S362" s="330"/>
      <c r="T362" s="330"/>
      <c r="U362" s="330"/>
      <c r="V362" s="330"/>
      <c r="W362" s="330"/>
      <c r="X362" s="330"/>
      <c r="Y362" s="121"/>
    </row>
    <row r="363" spans="10:25" x14ac:dyDescent="0.2">
      <c r="J363" s="330"/>
      <c r="K363" s="330"/>
      <c r="L363" s="330"/>
      <c r="M363" s="330"/>
      <c r="N363" s="330"/>
      <c r="O363" s="330"/>
      <c r="P363" s="330"/>
      <c r="Q363" s="330"/>
      <c r="R363" s="330"/>
      <c r="S363" s="330"/>
      <c r="T363" s="330"/>
      <c r="U363" s="330"/>
      <c r="V363" s="330"/>
      <c r="W363" s="330"/>
      <c r="X363" s="330"/>
      <c r="Y363" s="121"/>
    </row>
    <row r="364" spans="10:25" x14ac:dyDescent="0.2">
      <c r="J364" s="330"/>
      <c r="K364" s="330"/>
      <c r="L364" s="330"/>
      <c r="M364" s="330"/>
      <c r="N364" s="330"/>
      <c r="O364" s="330"/>
      <c r="P364" s="330"/>
      <c r="Q364" s="330"/>
      <c r="R364" s="330"/>
      <c r="S364" s="330"/>
      <c r="T364" s="330"/>
      <c r="U364" s="330"/>
      <c r="V364" s="330"/>
      <c r="W364" s="330"/>
      <c r="X364" s="330"/>
      <c r="Y364" s="121"/>
    </row>
    <row r="365" spans="10:25" x14ac:dyDescent="0.2">
      <c r="J365" s="330"/>
      <c r="K365" s="330"/>
      <c r="L365" s="330"/>
      <c r="M365" s="330"/>
      <c r="N365" s="330"/>
      <c r="O365" s="330"/>
      <c r="P365" s="330"/>
      <c r="Q365" s="330"/>
      <c r="R365" s="330"/>
      <c r="S365" s="330"/>
      <c r="T365" s="330"/>
      <c r="U365" s="330"/>
      <c r="V365" s="330"/>
      <c r="W365" s="330"/>
      <c r="X365" s="330"/>
      <c r="Y365" s="121"/>
    </row>
    <row r="366" spans="10:25" x14ac:dyDescent="0.2">
      <c r="J366" s="330"/>
      <c r="K366" s="330"/>
      <c r="L366" s="330"/>
      <c r="M366" s="330"/>
      <c r="N366" s="330"/>
      <c r="O366" s="330"/>
      <c r="P366" s="330"/>
      <c r="Q366" s="330"/>
      <c r="R366" s="330"/>
      <c r="S366" s="330"/>
      <c r="T366" s="330"/>
      <c r="U366" s="330"/>
      <c r="V366" s="330"/>
      <c r="W366" s="330"/>
      <c r="X366" s="330"/>
      <c r="Y366" s="121"/>
    </row>
    <row r="367" spans="10:25" x14ac:dyDescent="0.2">
      <c r="J367" s="330"/>
      <c r="K367" s="330"/>
      <c r="L367" s="330"/>
      <c r="M367" s="330"/>
      <c r="N367" s="330"/>
      <c r="O367" s="330"/>
      <c r="P367" s="330"/>
      <c r="Q367" s="330"/>
      <c r="R367" s="330"/>
      <c r="S367" s="330"/>
      <c r="T367" s="330"/>
      <c r="U367" s="330"/>
      <c r="V367" s="330"/>
      <c r="W367" s="330"/>
      <c r="X367" s="330"/>
      <c r="Y367" s="121"/>
    </row>
    <row r="368" spans="10:25" x14ac:dyDescent="0.2">
      <c r="J368" s="330"/>
      <c r="K368" s="330"/>
      <c r="L368" s="330"/>
      <c r="M368" s="330"/>
      <c r="N368" s="330"/>
      <c r="O368" s="330"/>
      <c r="P368" s="330"/>
      <c r="Q368" s="330"/>
      <c r="R368" s="330"/>
      <c r="S368" s="330"/>
      <c r="T368" s="330"/>
      <c r="U368" s="330"/>
      <c r="V368" s="330"/>
      <c r="W368" s="330"/>
      <c r="X368" s="330"/>
      <c r="Y368" s="121"/>
    </row>
    <row r="369" spans="10:25" x14ac:dyDescent="0.2">
      <c r="J369" s="330"/>
      <c r="K369" s="330"/>
      <c r="L369" s="330"/>
      <c r="M369" s="330"/>
      <c r="N369" s="330"/>
      <c r="O369" s="330"/>
      <c r="P369" s="330"/>
      <c r="Q369" s="330"/>
      <c r="R369" s="330"/>
      <c r="S369" s="330"/>
      <c r="T369" s="330"/>
      <c r="U369" s="330"/>
      <c r="V369" s="330"/>
      <c r="W369" s="330"/>
      <c r="X369" s="330"/>
      <c r="Y369" s="121"/>
    </row>
    <row r="370" spans="10:25" x14ac:dyDescent="0.2">
      <c r="J370" s="330"/>
      <c r="K370" s="330"/>
      <c r="L370" s="330"/>
      <c r="M370" s="330"/>
      <c r="N370" s="330"/>
      <c r="O370" s="330"/>
      <c r="P370" s="330"/>
      <c r="Q370" s="330"/>
      <c r="R370" s="330"/>
      <c r="S370" s="330"/>
      <c r="T370" s="330"/>
      <c r="U370" s="330"/>
      <c r="V370" s="330"/>
      <c r="W370" s="330"/>
      <c r="X370" s="330"/>
      <c r="Y370" s="121"/>
    </row>
    <row r="371" spans="10:25" x14ac:dyDescent="0.2">
      <c r="J371" s="330"/>
      <c r="K371" s="330"/>
      <c r="L371" s="330"/>
      <c r="M371" s="330"/>
      <c r="N371" s="330"/>
      <c r="O371" s="330"/>
      <c r="P371" s="330"/>
      <c r="Q371" s="330"/>
      <c r="R371" s="330"/>
      <c r="S371" s="330"/>
      <c r="T371" s="330"/>
      <c r="U371" s="330"/>
      <c r="V371" s="330"/>
      <c r="W371" s="330"/>
      <c r="X371" s="330"/>
      <c r="Y371" s="121"/>
    </row>
    <row r="372" spans="10:25" x14ac:dyDescent="0.2">
      <c r="J372" s="330"/>
      <c r="K372" s="330"/>
      <c r="L372" s="330"/>
      <c r="M372" s="330"/>
      <c r="N372" s="330"/>
      <c r="O372" s="330"/>
      <c r="P372" s="330"/>
      <c r="Q372" s="330"/>
      <c r="R372" s="330"/>
      <c r="S372" s="330"/>
      <c r="T372" s="330"/>
      <c r="U372" s="330"/>
      <c r="V372" s="330"/>
      <c r="W372" s="330"/>
      <c r="X372" s="330"/>
      <c r="Y372" s="121"/>
    </row>
    <row r="373" spans="10:25" x14ac:dyDescent="0.2">
      <c r="J373" s="330"/>
      <c r="K373" s="330"/>
      <c r="L373" s="330"/>
      <c r="M373" s="330"/>
      <c r="N373" s="330"/>
      <c r="O373" s="330"/>
      <c r="P373" s="330"/>
      <c r="Q373" s="330"/>
      <c r="R373" s="330"/>
      <c r="S373" s="330"/>
      <c r="T373" s="330"/>
      <c r="U373" s="330"/>
      <c r="V373" s="330"/>
      <c r="W373" s="330"/>
      <c r="X373" s="330"/>
      <c r="Y373" s="121"/>
    </row>
    <row r="374" spans="10:25" x14ac:dyDescent="0.2">
      <c r="J374" s="330"/>
      <c r="K374" s="330"/>
      <c r="L374" s="330"/>
      <c r="M374" s="330"/>
      <c r="N374" s="330"/>
      <c r="O374" s="330"/>
      <c r="P374" s="330"/>
      <c r="Q374" s="330"/>
      <c r="R374" s="330"/>
      <c r="S374" s="330"/>
      <c r="T374" s="330"/>
      <c r="U374" s="330"/>
      <c r="V374" s="330"/>
      <c r="W374" s="330"/>
      <c r="X374" s="330"/>
      <c r="Y374" s="121"/>
    </row>
    <row r="375" spans="10:25" x14ac:dyDescent="0.2">
      <c r="J375" s="330"/>
      <c r="K375" s="330"/>
      <c r="L375" s="330"/>
      <c r="M375" s="330"/>
      <c r="N375" s="330"/>
      <c r="O375" s="330"/>
      <c r="P375" s="330"/>
      <c r="Q375" s="330"/>
      <c r="R375" s="330"/>
      <c r="S375" s="330"/>
      <c r="T375" s="330"/>
      <c r="U375" s="330"/>
      <c r="V375" s="330"/>
      <c r="W375" s="330"/>
      <c r="X375" s="330"/>
      <c r="Y375" s="121"/>
    </row>
    <row r="376" spans="10:25" x14ac:dyDescent="0.2">
      <c r="J376" s="330"/>
      <c r="K376" s="330"/>
      <c r="L376" s="330"/>
      <c r="M376" s="330"/>
      <c r="N376" s="330"/>
      <c r="O376" s="330"/>
      <c r="P376" s="330"/>
      <c r="Q376" s="330"/>
      <c r="R376" s="330"/>
      <c r="S376" s="330"/>
      <c r="T376" s="330"/>
      <c r="U376" s="330"/>
      <c r="V376" s="330"/>
      <c r="W376" s="330"/>
      <c r="X376" s="330"/>
      <c r="Y376" s="121"/>
    </row>
    <row r="377" spans="10:25" x14ac:dyDescent="0.2">
      <c r="J377" s="330"/>
      <c r="K377" s="330"/>
      <c r="L377" s="330"/>
      <c r="M377" s="330"/>
      <c r="N377" s="330"/>
      <c r="O377" s="330"/>
      <c r="P377" s="330"/>
      <c r="Q377" s="330"/>
      <c r="R377" s="330"/>
      <c r="S377" s="330"/>
      <c r="T377" s="330"/>
      <c r="U377" s="330"/>
      <c r="V377" s="330"/>
      <c r="W377" s="330"/>
      <c r="X377" s="330"/>
      <c r="Y377" s="121"/>
    </row>
    <row r="378" spans="10:25" x14ac:dyDescent="0.2">
      <c r="J378" s="330"/>
      <c r="K378" s="330"/>
      <c r="L378" s="330"/>
      <c r="M378" s="330"/>
      <c r="N378" s="330"/>
      <c r="O378" s="330"/>
      <c r="P378" s="330"/>
      <c r="Q378" s="330"/>
      <c r="R378" s="330"/>
      <c r="S378" s="330"/>
      <c r="T378" s="330"/>
      <c r="U378" s="330"/>
      <c r="V378" s="330"/>
      <c r="W378" s="330"/>
      <c r="X378" s="330"/>
      <c r="Y378" s="121"/>
    </row>
    <row r="379" spans="10:25" x14ac:dyDescent="0.2">
      <c r="J379" s="330"/>
      <c r="K379" s="330"/>
      <c r="L379" s="330"/>
      <c r="M379" s="330"/>
      <c r="N379" s="330"/>
      <c r="O379" s="330"/>
      <c r="P379" s="330"/>
      <c r="Q379" s="330"/>
      <c r="R379" s="330"/>
      <c r="S379" s="330"/>
      <c r="T379" s="330"/>
      <c r="U379" s="330"/>
      <c r="V379" s="330"/>
      <c r="W379" s="330"/>
      <c r="X379" s="330"/>
      <c r="Y379" s="121"/>
    </row>
    <row r="380" spans="10:25" x14ac:dyDescent="0.2">
      <c r="J380" s="330"/>
      <c r="K380" s="330"/>
      <c r="L380" s="330"/>
      <c r="M380" s="330"/>
      <c r="N380" s="330"/>
      <c r="O380" s="330"/>
      <c r="P380" s="330"/>
      <c r="Q380" s="330"/>
      <c r="R380" s="330"/>
      <c r="S380" s="330"/>
      <c r="T380" s="330"/>
      <c r="U380" s="330"/>
      <c r="V380" s="330"/>
      <c r="W380" s="330"/>
      <c r="X380" s="330"/>
      <c r="Y380" s="121"/>
    </row>
    <row r="381" spans="10:25" x14ac:dyDescent="0.2">
      <c r="J381" s="330"/>
      <c r="K381" s="330"/>
      <c r="L381" s="330"/>
      <c r="M381" s="330"/>
      <c r="N381" s="330"/>
      <c r="O381" s="330"/>
      <c r="P381" s="330"/>
      <c r="Q381" s="330"/>
      <c r="R381" s="330"/>
      <c r="S381" s="330"/>
      <c r="T381" s="330"/>
      <c r="U381" s="330"/>
      <c r="V381" s="330"/>
      <c r="W381" s="330"/>
      <c r="X381" s="330"/>
      <c r="Y381" s="121"/>
    </row>
    <row r="382" spans="10:25" x14ac:dyDescent="0.2">
      <c r="J382" s="330"/>
      <c r="K382" s="330"/>
      <c r="L382" s="330"/>
      <c r="M382" s="330"/>
      <c r="N382" s="330"/>
      <c r="O382" s="330"/>
      <c r="P382" s="330"/>
      <c r="Q382" s="330"/>
      <c r="R382" s="330"/>
      <c r="S382" s="330"/>
      <c r="T382" s="330"/>
      <c r="U382" s="330"/>
      <c r="V382" s="330"/>
      <c r="W382" s="330"/>
      <c r="X382" s="330"/>
      <c r="Y382" s="121"/>
    </row>
    <row r="383" spans="10:25" x14ac:dyDescent="0.2">
      <c r="J383" s="330"/>
      <c r="K383" s="330"/>
      <c r="L383" s="330"/>
      <c r="M383" s="330"/>
      <c r="N383" s="330"/>
      <c r="O383" s="330"/>
      <c r="P383" s="330"/>
      <c r="Q383" s="330"/>
      <c r="R383" s="330"/>
      <c r="S383" s="330"/>
      <c r="T383" s="330"/>
      <c r="U383" s="330"/>
      <c r="V383" s="330"/>
      <c r="W383" s="330"/>
      <c r="X383" s="330"/>
      <c r="Y383" s="121"/>
    </row>
    <row r="384" spans="10:25" x14ac:dyDescent="0.2">
      <c r="J384" s="330"/>
      <c r="K384" s="330"/>
      <c r="L384" s="330"/>
      <c r="M384" s="330"/>
      <c r="N384" s="330"/>
      <c r="O384" s="330"/>
      <c r="P384" s="330"/>
      <c r="Q384" s="330"/>
      <c r="R384" s="330"/>
      <c r="S384" s="330"/>
      <c r="T384" s="330"/>
      <c r="U384" s="330"/>
      <c r="V384" s="330"/>
      <c r="W384" s="330"/>
      <c r="X384" s="330"/>
      <c r="Y384" s="121"/>
    </row>
    <row r="385" spans="10:25" x14ac:dyDescent="0.2">
      <c r="J385" s="330"/>
      <c r="K385" s="330"/>
      <c r="L385" s="330"/>
      <c r="M385" s="330"/>
      <c r="N385" s="330"/>
      <c r="O385" s="330"/>
      <c r="P385" s="330"/>
      <c r="Q385" s="330"/>
      <c r="R385" s="330"/>
      <c r="S385" s="330"/>
      <c r="T385" s="330"/>
      <c r="U385" s="330"/>
      <c r="V385" s="330"/>
      <c r="W385" s="330"/>
      <c r="X385" s="330"/>
      <c r="Y385" s="121"/>
    </row>
    <row r="386" spans="10:25" x14ac:dyDescent="0.2">
      <c r="J386" s="330"/>
      <c r="K386" s="330"/>
      <c r="L386" s="330"/>
      <c r="M386" s="330"/>
      <c r="N386" s="330"/>
      <c r="O386" s="330"/>
      <c r="P386" s="330"/>
      <c r="Q386" s="330"/>
      <c r="R386" s="330"/>
      <c r="S386" s="330"/>
      <c r="T386" s="330"/>
      <c r="U386" s="330"/>
      <c r="V386" s="330"/>
      <c r="W386" s="330"/>
      <c r="X386" s="330"/>
      <c r="Y386" s="121"/>
    </row>
    <row r="387" spans="10:25" x14ac:dyDescent="0.2">
      <c r="J387" s="330"/>
      <c r="K387" s="330"/>
      <c r="L387" s="330"/>
      <c r="M387" s="330"/>
      <c r="N387" s="330"/>
      <c r="O387" s="330"/>
      <c r="P387" s="330"/>
      <c r="Q387" s="330"/>
      <c r="R387" s="330"/>
      <c r="S387" s="330"/>
      <c r="T387" s="330"/>
      <c r="U387" s="330"/>
      <c r="V387" s="330"/>
      <c r="W387" s="330"/>
      <c r="X387" s="330"/>
      <c r="Y387" s="121"/>
    </row>
    <row r="388" spans="10:25" x14ac:dyDescent="0.2">
      <c r="J388" s="330"/>
      <c r="K388" s="330"/>
      <c r="L388" s="330"/>
      <c r="M388" s="330"/>
      <c r="N388" s="330"/>
      <c r="O388" s="330"/>
      <c r="P388" s="330"/>
      <c r="Q388" s="330"/>
      <c r="R388" s="330"/>
      <c r="S388" s="330"/>
      <c r="T388" s="330"/>
      <c r="U388" s="330"/>
      <c r="V388" s="330"/>
      <c r="W388" s="330"/>
      <c r="X388" s="330"/>
      <c r="Y388" s="121"/>
    </row>
    <row r="389" spans="10:25" x14ac:dyDescent="0.2">
      <c r="J389" s="330"/>
      <c r="K389" s="330"/>
      <c r="L389" s="330"/>
      <c r="M389" s="330"/>
      <c r="N389" s="330"/>
      <c r="O389" s="330"/>
      <c r="P389" s="330"/>
      <c r="Q389" s="330"/>
      <c r="R389" s="330"/>
      <c r="S389" s="330"/>
      <c r="T389" s="330"/>
      <c r="U389" s="330"/>
      <c r="V389" s="330"/>
      <c r="W389" s="330"/>
      <c r="X389" s="330"/>
      <c r="Y389" s="121"/>
    </row>
    <row r="390" spans="10:25" x14ac:dyDescent="0.2">
      <c r="J390" s="330"/>
      <c r="K390" s="330"/>
      <c r="L390" s="330"/>
      <c r="M390" s="330"/>
      <c r="N390" s="330"/>
      <c r="O390" s="330"/>
      <c r="P390" s="330"/>
      <c r="Q390" s="330"/>
      <c r="R390" s="330"/>
      <c r="S390" s="330"/>
      <c r="T390" s="330"/>
      <c r="U390" s="330"/>
      <c r="V390" s="330"/>
      <c r="W390" s="330"/>
      <c r="X390" s="330"/>
      <c r="Y390" s="121"/>
    </row>
    <row r="391" spans="10:25" x14ac:dyDescent="0.2">
      <c r="J391" s="330"/>
      <c r="K391" s="330"/>
      <c r="L391" s="330"/>
      <c r="M391" s="330"/>
      <c r="N391" s="330"/>
      <c r="O391" s="330"/>
      <c r="P391" s="330"/>
      <c r="Q391" s="330"/>
      <c r="R391" s="330"/>
      <c r="S391" s="330"/>
      <c r="T391" s="330"/>
      <c r="U391" s="330"/>
      <c r="V391" s="330"/>
      <c r="W391" s="330"/>
      <c r="X391" s="330"/>
      <c r="Y391" s="121"/>
    </row>
    <row r="392" spans="10:25" x14ac:dyDescent="0.2">
      <c r="J392" s="330"/>
      <c r="K392" s="330"/>
      <c r="L392" s="330"/>
      <c r="M392" s="330"/>
      <c r="N392" s="330"/>
      <c r="O392" s="330"/>
      <c r="P392" s="330"/>
      <c r="Q392" s="330"/>
      <c r="R392" s="330"/>
      <c r="S392" s="330"/>
      <c r="T392" s="330"/>
      <c r="U392" s="330"/>
      <c r="V392" s="330"/>
      <c r="W392" s="330"/>
      <c r="X392" s="330"/>
      <c r="Y392" s="121"/>
    </row>
    <row r="393" spans="10:25" x14ac:dyDescent="0.2">
      <c r="J393" s="330"/>
      <c r="K393" s="330"/>
      <c r="L393" s="330"/>
      <c r="M393" s="330"/>
      <c r="N393" s="330"/>
      <c r="O393" s="330"/>
      <c r="P393" s="330"/>
      <c r="Q393" s="330"/>
      <c r="R393" s="330"/>
      <c r="S393" s="330"/>
      <c r="T393" s="330"/>
      <c r="U393" s="330"/>
      <c r="V393" s="330"/>
      <c r="W393" s="330"/>
      <c r="X393" s="330"/>
      <c r="Y393" s="121"/>
    </row>
    <row r="394" spans="10:25" x14ac:dyDescent="0.2">
      <c r="J394" s="330"/>
      <c r="K394" s="330"/>
      <c r="L394" s="330"/>
      <c r="M394" s="330"/>
      <c r="N394" s="330"/>
      <c r="O394" s="330"/>
      <c r="P394" s="330"/>
      <c r="Q394" s="330"/>
      <c r="R394" s="330"/>
      <c r="S394" s="330"/>
      <c r="T394" s="330"/>
      <c r="U394" s="330"/>
      <c r="V394" s="330"/>
      <c r="W394" s="330"/>
      <c r="X394" s="330"/>
      <c r="Y394" s="121"/>
    </row>
    <row r="395" spans="10:25" x14ac:dyDescent="0.2">
      <c r="J395" s="330"/>
      <c r="K395" s="330"/>
      <c r="L395" s="330"/>
      <c r="M395" s="330"/>
      <c r="N395" s="330"/>
      <c r="O395" s="330"/>
      <c r="P395" s="330"/>
      <c r="Q395" s="330"/>
      <c r="R395" s="330"/>
      <c r="S395" s="330"/>
      <c r="T395" s="330"/>
      <c r="U395" s="330"/>
      <c r="V395" s="330"/>
      <c r="W395" s="330"/>
      <c r="X395" s="330"/>
      <c r="Y395" s="121"/>
    </row>
    <row r="396" spans="10:25" x14ac:dyDescent="0.2">
      <c r="J396" s="330"/>
      <c r="K396" s="330"/>
      <c r="L396" s="330"/>
      <c r="M396" s="330"/>
      <c r="N396" s="330"/>
      <c r="O396" s="330"/>
      <c r="P396" s="330"/>
      <c r="Q396" s="330"/>
      <c r="R396" s="330"/>
      <c r="S396" s="330"/>
      <c r="T396" s="330"/>
      <c r="U396" s="330"/>
      <c r="V396" s="330"/>
      <c r="W396" s="330"/>
      <c r="X396" s="330"/>
      <c r="Y396" s="121"/>
    </row>
    <row r="397" spans="10:25" x14ac:dyDescent="0.2">
      <c r="J397" s="330"/>
      <c r="K397" s="330"/>
      <c r="L397" s="330"/>
      <c r="M397" s="330"/>
      <c r="N397" s="330"/>
      <c r="O397" s="330"/>
      <c r="P397" s="330"/>
      <c r="Q397" s="330"/>
      <c r="R397" s="330"/>
      <c r="S397" s="330"/>
      <c r="T397" s="330"/>
      <c r="U397" s="330"/>
      <c r="V397" s="330"/>
      <c r="W397" s="330"/>
      <c r="X397" s="330"/>
      <c r="Y397" s="121"/>
    </row>
    <row r="398" spans="10:25" x14ac:dyDescent="0.2">
      <c r="J398" s="330"/>
      <c r="K398" s="330"/>
      <c r="L398" s="330"/>
      <c r="M398" s="330"/>
      <c r="N398" s="330"/>
      <c r="O398" s="330"/>
      <c r="P398" s="330"/>
      <c r="Q398" s="330"/>
      <c r="R398" s="330"/>
      <c r="S398" s="330"/>
      <c r="T398" s="330"/>
      <c r="U398" s="330"/>
      <c r="V398" s="330"/>
      <c r="W398" s="330"/>
      <c r="X398" s="330"/>
      <c r="Y398" s="121"/>
    </row>
    <row r="399" spans="10:25" x14ac:dyDescent="0.2">
      <c r="J399" s="330"/>
      <c r="K399" s="330"/>
      <c r="L399" s="330"/>
      <c r="M399" s="330"/>
      <c r="N399" s="330"/>
      <c r="O399" s="330"/>
      <c r="P399" s="330"/>
      <c r="Q399" s="330"/>
      <c r="R399" s="330"/>
      <c r="S399" s="330"/>
      <c r="T399" s="330"/>
      <c r="U399" s="330"/>
      <c r="V399" s="330"/>
      <c r="W399" s="330"/>
      <c r="X399" s="330"/>
      <c r="Y399" s="121"/>
    </row>
    <row r="400" spans="10:25" x14ac:dyDescent="0.2">
      <c r="J400" s="330"/>
      <c r="K400" s="330"/>
      <c r="L400" s="330"/>
      <c r="M400" s="330"/>
      <c r="N400" s="330"/>
      <c r="O400" s="330"/>
      <c r="P400" s="330"/>
      <c r="Q400" s="330"/>
      <c r="R400" s="330"/>
      <c r="S400" s="330"/>
      <c r="T400" s="330"/>
      <c r="U400" s="330"/>
      <c r="V400" s="330"/>
      <c r="W400" s="330"/>
      <c r="X400" s="330"/>
      <c r="Y400" s="121"/>
    </row>
    <row r="401" spans="10:25" x14ac:dyDescent="0.2">
      <c r="J401" s="330"/>
      <c r="K401" s="330"/>
      <c r="L401" s="330"/>
      <c r="M401" s="330"/>
      <c r="N401" s="330"/>
      <c r="O401" s="330"/>
      <c r="P401" s="330"/>
      <c r="Q401" s="330"/>
      <c r="R401" s="330"/>
      <c r="S401" s="330"/>
      <c r="T401" s="330"/>
      <c r="U401" s="330"/>
      <c r="V401" s="330"/>
      <c r="W401" s="330"/>
      <c r="X401" s="330"/>
      <c r="Y401" s="121"/>
    </row>
    <row r="402" spans="10:25" x14ac:dyDescent="0.2">
      <c r="J402" s="330"/>
      <c r="K402" s="330"/>
      <c r="L402" s="330"/>
      <c r="M402" s="330"/>
      <c r="N402" s="330"/>
      <c r="O402" s="330"/>
      <c r="P402" s="330"/>
      <c r="Q402" s="330"/>
      <c r="R402" s="330"/>
      <c r="S402" s="330"/>
      <c r="T402" s="330"/>
      <c r="U402" s="330"/>
      <c r="V402" s="330"/>
      <c r="W402" s="330"/>
      <c r="X402" s="330"/>
      <c r="Y402" s="121"/>
    </row>
    <row r="403" spans="10:25" x14ac:dyDescent="0.2">
      <c r="J403" s="330"/>
      <c r="K403" s="330"/>
      <c r="L403" s="330"/>
      <c r="M403" s="330"/>
      <c r="N403" s="330"/>
      <c r="O403" s="330"/>
      <c r="P403" s="330"/>
      <c r="Q403" s="330"/>
      <c r="R403" s="330"/>
      <c r="S403" s="330"/>
      <c r="T403" s="330"/>
      <c r="U403" s="330"/>
      <c r="V403" s="330"/>
      <c r="W403" s="330"/>
      <c r="X403" s="330"/>
      <c r="Y403" s="121"/>
    </row>
    <row r="404" spans="10:25" x14ac:dyDescent="0.2">
      <c r="J404" s="330"/>
      <c r="K404" s="330"/>
      <c r="L404" s="330"/>
      <c r="M404" s="330"/>
      <c r="N404" s="330"/>
      <c r="O404" s="330"/>
      <c r="P404" s="330"/>
      <c r="Q404" s="330"/>
      <c r="R404" s="330"/>
      <c r="S404" s="330"/>
      <c r="T404" s="330"/>
      <c r="U404" s="330"/>
      <c r="V404" s="330"/>
      <c r="W404" s="330"/>
      <c r="X404" s="330"/>
      <c r="Y404" s="121"/>
    </row>
    <row r="405" spans="10:25" x14ac:dyDescent="0.2">
      <c r="J405" s="330"/>
      <c r="K405" s="330"/>
      <c r="L405" s="330"/>
      <c r="M405" s="330"/>
      <c r="N405" s="330"/>
      <c r="O405" s="330"/>
      <c r="P405" s="330"/>
      <c r="Q405" s="330"/>
      <c r="R405" s="330"/>
      <c r="S405" s="330"/>
      <c r="T405" s="330"/>
      <c r="U405" s="330"/>
      <c r="V405" s="330"/>
      <c r="W405" s="330"/>
      <c r="X405" s="330"/>
      <c r="Y405" s="121"/>
    </row>
    <row r="406" spans="10:25" x14ac:dyDescent="0.2">
      <c r="J406" s="330"/>
      <c r="K406" s="330"/>
      <c r="L406" s="330"/>
      <c r="M406" s="330"/>
      <c r="N406" s="330"/>
      <c r="O406" s="330"/>
      <c r="P406" s="330"/>
      <c r="Q406" s="330"/>
      <c r="R406" s="330"/>
      <c r="S406" s="330"/>
      <c r="T406" s="330"/>
      <c r="U406" s="330"/>
      <c r="V406" s="330"/>
      <c r="W406" s="330"/>
      <c r="X406" s="330"/>
      <c r="Y406" s="121"/>
    </row>
    <row r="407" spans="10:25" x14ac:dyDescent="0.2">
      <c r="J407" s="330"/>
      <c r="K407" s="330"/>
      <c r="L407" s="330"/>
      <c r="M407" s="330"/>
      <c r="N407" s="330"/>
      <c r="O407" s="330"/>
      <c r="P407" s="330"/>
      <c r="Q407" s="330"/>
      <c r="R407" s="330"/>
      <c r="S407" s="330"/>
      <c r="T407" s="330"/>
      <c r="U407" s="330"/>
      <c r="V407" s="330"/>
      <c r="W407" s="330"/>
      <c r="X407" s="330"/>
      <c r="Y407" s="121"/>
    </row>
    <row r="408" spans="10:25" x14ac:dyDescent="0.2">
      <c r="J408" s="330"/>
      <c r="K408" s="330"/>
      <c r="L408" s="330"/>
      <c r="M408" s="330"/>
      <c r="N408" s="330"/>
      <c r="O408" s="330"/>
      <c r="P408" s="330"/>
      <c r="Q408" s="330"/>
      <c r="R408" s="330"/>
      <c r="S408" s="330"/>
      <c r="T408" s="330"/>
      <c r="U408" s="330"/>
      <c r="V408" s="330"/>
      <c r="W408" s="330"/>
      <c r="X408" s="330"/>
      <c r="Y408" s="121"/>
    </row>
    <row r="409" spans="10:25" x14ac:dyDescent="0.2">
      <c r="J409" s="330"/>
      <c r="K409" s="330"/>
      <c r="L409" s="330"/>
      <c r="M409" s="330"/>
      <c r="N409" s="330"/>
      <c r="O409" s="330"/>
      <c r="P409" s="330"/>
      <c r="Q409" s="330"/>
      <c r="R409" s="330"/>
      <c r="S409" s="330"/>
      <c r="T409" s="330"/>
      <c r="U409" s="330"/>
      <c r="V409" s="330"/>
      <c r="W409" s="330"/>
      <c r="X409" s="330"/>
      <c r="Y409" s="121"/>
    </row>
    <row r="410" spans="10:25" x14ac:dyDescent="0.2">
      <c r="J410" s="330"/>
      <c r="K410" s="330"/>
      <c r="L410" s="330"/>
      <c r="M410" s="330"/>
      <c r="N410" s="330"/>
      <c r="O410" s="330"/>
      <c r="P410" s="330"/>
      <c r="Q410" s="330"/>
      <c r="R410" s="330"/>
      <c r="S410" s="330"/>
      <c r="T410" s="330"/>
      <c r="U410" s="330"/>
      <c r="V410" s="330"/>
      <c r="W410" s="330"/>
      <c r="X410" s="330"/>
      <c r="Y410" s="121"/>
    </row>
    <row r="411" spans="10:25" x14ac:dyDescent="0.2">
      <c r="J411" s="330"/>
      <c r="K411" s="330"/>
      <c r="L411" s="330"/>
      <c r="M411" s="330"/>
      <c r="N411" s="330"/>
      <c r="O411" s="330"/>
      <c r="P411" s="330"/>
      <c r="Q411" s="330"/>
      <c r="R411" s="330"/>
      <c r="S411" s="330"/>
      <c r="T411" s="330"/>
      <c r="U411" s="330"/>
      <c r="V411" s="330"/>
      <c r="W411" s="330"/>
      <c r="X411" s="330"/>
      <c r="Y411" s="121"/>
    </row>
    <row r="412" spans="10:25" x14ac:dyDescent="0.2">
      <c r="J412" s="330"/>
      <c r="K412" s="330"/>
      <c r="L412" s="330"/>
      <c r="M412" s="330"/>
      <c r="N412" s="330"/>
      <c r="O412" s="330"/>
      <c r="P412" s="330"/>
      <c r="Q412" s="330"/>
      <c r="R412" s="330"/>
      <c r="S412" s="330"/>
      <c r="T412" s="330"/>
      <c r="U412" s="330"/>
      <c r="V412" s="330"/>
      <c r="W412" s="330"/>
      <c r="X412" s="330"/>
      <c r="Y412" s="121"/>
    </row>
    <row r="413" spans="10:25" x14ac:dyDescent="0.2">
      <c r="J413" s="330"/>
      <c r="K413" s="330"/>
      <c r="L413" s="330"/>
      <c r="M413" s="330"/>
      <c r="N413" s="330"/>
      <c r="O413" s="330"/>
      <c r="P413" s="330"/>
      <c r="Q413" s="330"/>
      <c r="R413" s="330"/>
      <c r="S413" s="330"/>
      <c r="T413" s="330"/>
      <c r="U413" s="330"/>
      <c r="V413" s="330"/>
      <c r="W413" s="330"/>
      <c r="X413" s="330"/>
      <c r="Y413" s="121"/>
    </row>
    <row r="414" spans="10:25" x14ac:dyDescent="0.2">
      <c r="J414" s="330"/>
      <c r="K414" s="330"/>
      <c r="L414" s="330"/>
      <c r="M414" s="330"/>
      <c r="N414" s="330"/>
      <c r="O414" s="330"/>
      <c r="P414" s="330"/>
      <c r="Q414" s="330"/>
      <c r="R414" s="330"/>
      <c r="S414" s="330"/>
      <c r="T414" s="330"/>
      <c r="U414" s="330"/>
      <c r="V414" s="330"/>
      <c r="W414" s="330"/>
      <c r="X414" s="330"/>
      <c r="Y414" s="121"/>
    </row>
    <row r="415" spans="10:25" x14ac:dyDescent="0.2">
      <c r="J415" s="330"/>
      <c r="K415" s="330"/>
      <c r="L415" s="330"/>
      <c r="M415" s="330"/>
      <c r="N415" s="330"/>
      <c r="O415" s="330"/>
      <c r="P415" s="330"/>
      <c r="Q415" s="330"/>
      <c r="R415" s="330"/>
      <c r="S415" s="330"/>
      <c r="T415" s="330"/>
      <c r="U415" s="330"/>
      <c r="V415" s="330"/>
      <c r="W415" s="330"/>
      <c r="X415" s="330"/>
      <c r="Y415" s="121"/>
    </row>
    <row r="416" spans="10:25" x14ac:dyDescent="0.2">
      <c r="J416" s="330"/>
      <c r="K416" s="330"/>
      <c r="L416" s="330"/>
      <c r="M416" s="330"/>
      <c r="N416" s="330"/>
      <c r="O416" s="330"/>
      <c r="P416" s="330"/>
      <c r="Q416" s="330"/>
      <c r="R416" s="330"/>
      <c r="S416" s="330"/>
      <c r="T416" s="330"/>
      <c r="U416" s="330"/>
      <c r="V416" s="330"/>
      <c r="W416" s="330"/>
      <c r="X416" s="330"/>
      <c r="Y416" s="121"/>
    </row>
    <row r="417" spans="10:25" x14ac:dyDescent="0.2">
      <c r="J417" s="330"/>
      <c r="K417" s="330"/>
      <c r="L417" s="330"/>
      <c r="M417" s="330"/>
      <c r="N417" s="330"/>
      <c r="O417" s="330"/>
      <c r="P417" s="330"/>
      <c r="Q417" s="330"/>
      <c r="R417" s="330"/>
      <c r="S417" s="330"/>
      <c r="T417" s="330"/>
      <c r="U417" s="330"/>
      <c r="V417" s="330"/>
      <c r="W417" s="330"/>
      <c r="X417" s="330"/>
      <c r="Y417" s="121"/>
    </row>
    <row r="418" spans="10:25" x14ac:dyDescent="0.2">
      <c r="J418" s="330"/>
      <c r="K418" s="330"/>
      <c r="L418" s="330"/>
      <c r="M418" s="330"/>
      <c r="N418" s="330"/>
      <c r="O418" s="330"/>
      <c r="P418" s="330"/>
      <c r="Q418" s="330"/>
      <c r="R418" s="330"/>
      <c r="S418" s="330"/>
      <c r="T418" s="330"/>
      <c r="U418" s="330"/>
      <c r="V418" s="330"/>
      <c r="W418" s="330"/>
      <c r="X418" s="330"/>
      <c r="Y418" s="121"/>
    </row>
    <row r="419" spans="10:25" x14ac:dyDescent="0.2">
      <c r="J419" s="330"/>
      <c r="K419" s="330"/>
      <c r="L419" s="330"/>
      <c r="M419" s="330"/>
      <c r="N419" s="330"/>
      <c r="O419" s="330"/>
      <c r="P419" s="330"/>
      <c r="Q419" s="330"/>
      <c r="R419" s="330"/>
      <c r="S419" s="330"/>
      <c r="T419" s="330"/>
      <c r="U419" s="330"/>
      <c r="V419" s="330"/>
      <c r="W419" s="330"/>
      <c r="X419" s="330"/>
      <c r="Y419" s="121"/>
    </row>
    <row r="420" spans="10:25" x14ac:dyDescent="0.2">
      <c r="J420" s="330"/>
      <c r="K420" s="330"/>
      <c r="L420" s="330"/>
      <c r="M420" s="330"/>
      <c r="N420" s="330"/>
      <c r="O420" s="330"/>
      <c r="P420" s="330"/>
      <c r="Q420" s="330"/>
      <c r="R420" s="330"/>
      <c r="S420" s="330"/>
      <c r="T420" s="330"/>
      <c r="U420" s="330"/>
      <c r="V420" s="330"/>
      <c r="W420" s="330"/>
      <c r="X420" s="330"/>
      <c r="Y420" s="121"/>
    </row>
    <row r="421" spans="10:25" x14ac:dyDescent="0.2">
      <c r="J421" s="330"/>
      <c r="K421" s="330"/>
      <c r="L421" s="330"/>
      <c r="M421" s="330"/>
      <c r="N421" s="330"/>
      <c r="O421" s="330"/>
      <c r="P421" s="330"/>
      <c r="Q421" s="330"/>
      <c r="R421" s="330"/>
      <c r="S421" s="330"/>
      <c r="T421" s="330"/>
      <c r="U421" s="330"/>
      <c r="V421" s="330"/>
      <c r="W421" s="330"/>
      <c r="X421" s="330"/>
      <c r="Y421" s="121"/>
    </row>
    <row r="422" spans="10:25" x14ac:dyDescent="0.2">
      <c r="J422" s="330"/>
      <c r="K422" s="330"/>
      <c r="L422" s="330"/>
      <c r="M422" s="330"/>
      <c r="N422" s="330"/>
      <c r="O422" s="330"/>
      <c r="P422" s="330"/>
      <c r="Q422" s="330"/>
      <c r="R422" s="330"/>
      <c r="S422" s="330"/>
      <c r="T422" s="330"/>
      <c r="U422" s="330"/>
      <c r="V422" s="330"/>
      <c r="W422" s="330"/>
      <c r="X422" s="330"/>
      <c r="Y422" s="121"/>
    </row>
    <row r="423" spans="10:25" x14ac:dyDescent="0.2">
      <c r="J423" s="330"/>
      <c r="K423" s="330"/>
      <c r="L423" s="330"/>
      <c r="M423" s="330"/>
      <c r="N423" s="330"/>
      <c r="O423" s="330"/>
      <c r="P423" s="330"/>
      <c r="Q423" s="330"/>
      <c r="R423" s="330"/>
      <c r="S423" s="330"/>
      <c r="T423" s="330"/>
      <c r="U423" s="330"/>
      <c r="V423" s="330"/>
      <c r="W423" s="330"/>
      <c r="X423" s="330"/>
      <c r="Y423" s="121"/>
    </row>
    <row r="424" spans="10:25" x14ac:dyDescent="0.2">
      <c r="J424" s="330"/>
      <c r="K424" s="330"/>
      <c r="L424" s="330"/>
      <c r="M424" s="330"/>
      <c r="N424" s="330"/>
      <c r="O424" s="330"/>
      <c r="P424" s="330"/>
      <c r="Q424" s="330"/>
      <c r="R424" s="330"/>
      <c r="S424" s="330"/>
      <c r="T424" s="330"/>
      <c r="U424" s="330"/>
      <c r="V424" s="330"/>
      <c r="W424" s="330"/>
      <c r="X424" s="330"/>
      <c r="Y424" s="121"/>
    </row>
    <row r="425" spans="10:25" x14ac:dyDescent="0.2">
      <c r="J425" s="330"/>
      <c r="K425" s="330"/>
      <c r="L425" s="330"/>
      <c r="M425" s="330"/>
      <c r="N425" s="330"/>
      <c r="O425" s="330"/>
      <c r="P425" s="330"/>
      <c r="Q425" s="330"/>
      <c r="R425" s="330"/>
      <c r="S425" s="330"/>
      <c r="T425" s="330"/>
      <c r="U425" s="330"/>
      <c r="V425" s="330"/>
      <c r="W425" s="330"/>
      <c r="X425" s="330"/>
      <c r="Y425" s="121"/>
    </row>
    <row r="426" spans="10:25" x14ac:dyDescent="0.2">
      <c r="J426" s="330"/>
      <c r="K426" s="330"/>
      <c r="L426" s="330"/>
      <c r="M426" s="330"/>
      <c r="N426" s="330"/>
      <c r="O426" s="330"/>
      <c r="P426" s="330"/>
      <c r="Q426" s="330"/>
      <c r="R426" s="330"/>
      <c r="S426" s="330"/>
      <c r="T426" s="330"/>
      <c r="U426" s="330"/>
      <c r="V426" s="330"/>
      <c r="W426" s="330"/>
      <c r="X426" s="330"/>
      <c r="Y426" s="121"/>
    </row>
    <row r="427" spans="10:25" x14ac:dyDescent="0.2">
      <c r="J427" s="330"/>
      <c r="K427" s="330"/>
      <c r="L427" s="330"/>
      <c r="M427" s="330"/>
      <c r="N427" s="330"/>
      <c r="O427" s="330"/>
      <c r="P427" s="330"/>
      <c r="Q427" s="330"/>
      <c r="R427" s="330"/>
      <c r="S427" s="330"/>
      <c r="T427" s="330"/>
      <c r="U427" s="330"/>
      <c r="V427" s="330"/>
      <c r="W427" s="330"/>
      <c r="X427" s="330"/>
      <c r="Y427" s="121"/>
    </row>
    <row r="428" spans="10:25" x14ac:dyDescent="0.2">
      <c r="J428" s="330"/>
      <c r="K428" s="330"/>
      <c r="L428" s="330"/>
      <c r="M428" s="330"/>
      <c r="N428" s="330"/>
      <c r="O428" s="330"/>
      <c r="P428" s="330"/>
      <c r="Q428" s="330"/>
      <c r="R428" s="330"/>
      <c r="S428" s="330"/>
      <c r="T428" s="330"/>
      <c r="U428" s="330"/>
      <c r="V428" s="330"/>
      <c r="W428" s="330"/>
      <c r="X428" s="330"/>
      <c r="Y428" s="121"/>
    </row>
    <row r="429" spans="10:25" x14ac:dyDescent="0.2">
      <c r="J429" s="330"/>
      <c r="K429" s="330"/>
      <c r="L429" s="330"/>
      <c r="M429" s="330"/>
      <c r="N429" s="330"/>
      <c r="O429" s="330"/>
      <c r="P429" s="330"/>
      <c r="Q429" s="330"/>
      <c r="R429" s="330"/>
      <c r="S429" s="330"/>
      <c r="T429" s="330"/>
      <c r="U429" s="330"/>
      <c r="V429" s="330"/>
      <c r="W429" s="330"/>
      <c r="X429" s="330"/>
      <c r="Y429" s="121"/>
    </row>
    <row r="430" spans="10:25" x14ac:dyDescent="0.2">
      <c r="J430" s="330"/>
      <c r="K430" s="330"/>
      <c r="L430" s="330"/>
      <c r="M430" s="330"/>
      <c r="N430" s="330"/>
      <c r="O430" s="330"/>
      <c r="P430" s="330"/>
      <c r="Q430" s="330"/>
      <c r="R430" s="330"/>
      <c r="S430" s="330"/>
      <c r="T430" s="330"/>
      <c r="U430" s="330"/>
      <c r="V430" s="330"/>
      <c r="W430" s="330"/>
      <c r="X430" s="330"/>
      <c r="Y430" s="121"/>
    </row>
    <row r="431" spans="10:25" x14ac:dyDescent="0.2">
      <c r="J431" s="330"/>
      <c r="K431" s="330"/>
      <c r="L431" s="330"/>
      <c r="M431" s="330"/>
      <c r="N431" s="330"/>
      <c r="O431" s="330"/>
      <c r="P431" s="330"/>
      <c r="Q431" s="330"/>
      <c r="R431" s="330"/>
      <c r="S431" s="330"/>
      <c r="T431" s="330"/>
      <c r="U431" s="330"/>
      <c r="V431" s="330"/>
      <c r="W431" s="330"/>
      <c r="X431" s="330"/>
      <c r="Y431" s="121"/>
    </row>
    <row r="432" spans="10:25" x14ac:dyDescent="0.2">
      <c r="J432" s="330"/>
      <c r="K432" s="330"/>
      <c r="L432" s="330"/>
      <c r="M432" s="330"/>
      <c r="N432" s="330"/>
      <c r="O432" s="330"/>
      <c r="P432" s="330"/>
      <c r="Q432" s="330"/>
      <c r="R432" s="330"/>
      <c r="S432" s="330"/>
      <c r="T432" s="330"/>
      <c r="U432" s="330"/>
      <c r="V432" s="330"/>
      <c r="W432" s="330"/>
      <c r="X432" s="330"/>
      <c r="Y432" s="121"/>
    </row>
    <row r="433" spans="10:25" x14ac:dyDescent="0.2">
      <c r="J433" s="330"/>
      <c r="K433" s="330"/>
      <c r="L433" s="330"/>
      <c r="M433" s="330"/>
      <c r="N433" s="330"/>
      <c r="O433" s="330"/>
      <c r="P433" s="330"/>
      <c r="Q433" s="330"/>
      <c r="R433" s="330"/>
      <c r="S433" s="330"/>
      <c r="T433" s="330"/>
      <c r="U433" s="330"/>
      <c r="V433" s="330"/>
      <c r="W433" s="330"/>
      <c r="X433" s="330"/>
      <c r="Y433" s="121"/>
    </row>
    <row r="434" spans="10:25" x14ac:dyDescent="0.2">
      <c r="J434" s="330"/>
      <c r="K434" s="330"/>
      <c r="L434" s="330"/>
      <c r="M434" s="330"/>
      <c r="N434" s="330"/>
      <c r="O434" s="330"/>
      <c r="P434" s="330"/>
      <c r="Q434" s="330"/>
      <c r="R434" s="330"/>
      <c r="S434" s="330"/>
      <c r="T434" s="330"/>
      <c r="U434" s="330"/>
      <c r="V434" s="330"/>
      <c r="W434" s="330"/>
      <c r="X434" s="330"/>
      <c r="Y434" s="121"/>
    </row>
    <row r="435" spans="10:25" x14ac:dyDescent="0.2">
      <c r="J435" s="330"/>
      <c r="K435" s="330"/>
      <c r="L435" s="121"/>
      <c r="M435" s="121"/>
      <c r="N435" s="121"/>
      <c r="O435" s="121"/>
      <c r="P435" s="121"/>
      <c r="Q435" s="121"/>
      <c r="R435" s="121"/>
      <c r="S435" s="121"/>
      <c r="T435" s="121"/>
      <c r="U435" s="121"/>
      <c r="V435" s="121"/>
      <c r="W435" s="121"/>
      <c r="X435" s="330"/>
      <c r="Y435" s="121"/>
    </row>
    <row r="436" spans="10:25" x14ac:dyDescent="0.2">
      <c r="J436" s="330"/>
      <c r="K436" s="330"/>
      <c r="X436" s="330"/>
      <c r="Y436" s="121"/>
    </row>
    <row r="437" spans="10:25" x14ac:dyDescent="0.2">
      <c r="X437" s="121"/>
      <c r="Y437" s="121"/>
    </row>
    <row r="438" spans="10:25" x14ac:dyDescent="0.2">
      <c r="Y438" s="121"/>
    </row>
    <row r="439" spans="10:25" x14ac:dyDescent="0.2">
      <c r="Y439" s="121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A33" sqref="A33"/>
    </sheetView>
  </sheetViews>
  <sheetFormatPr defaultColWidth="9.140625" defaultRowHeight="12.75" x14ac:dyDescent="0.2"/>
  <cols>
    <col min="1" max="1" width="3.140625" style="154" customWidth="1"/>
    <col min="2" max="16" width="5.7109375" style="154" customWidth="1"/>
    <col min="17" max="17" width="6.85546875" style="154" customWidth="1"/>
    <col min="18" max="20" width="5.7109375" style="154" customWidth="1"/>
    <col min="21" max="16384" width="9.140625" style="154"/>
  </cols>
  <sheetData>
    <row r="1" spans="1:17" x14ac:dyDescent="0.2">
      <c r="A1" s="350"/>
      <c r="B1" s="154" t="s">
        <v>491</v>
      </c>
      <c r="D1" s="479">
        <f>__1_Bed</f>
        <v>0</v>
      </c>
      <c r="L1" s="154" t="s">
        <v>492</v>
      </c>
      <c r="M1" s="916">
        <f ca="1">TODAY()</f>
        <v>42755</v>
      </c>
      <c r="N1" s="917"/>
      <c r="O1" s="156">
        <f ca="1">NOW()</f>
        <v>42755.558403009258</v>
      </c>
      <c r="P1" s="156"/>
    </row>
    <row r="2" spans="1:17" ht="6.75" customHeight="1" x14ac:dyDescent="0.2"/>
    <row r="3" spans="1:17" x14ac:dyDescent="0.2">
      <c r="B3" s="157" t="e">
        <f>NeoGuiInfB!#REF!</f>
        <v>#REF!</v>
      </c>
      <c r="J3" s="154" t="s">
        <v>338</v>
      </c>
      <c r="M3" s="918">
        <f>__0_PatNum</f>
        <v>0</v>
      </c>
      <c r="N3" s="918"/>
      <c r="O3" s="158"/>
    </row>
    <row r="4" spans="1:17" x14ac:dyDescent="0.2">
      <c r="B4" s="157">
        <f>NeoGuiInfB!D10</f>
        <v>0</v>
      </c>
      <c r="J4" s="154" t="str">
        <f>NeoGuiInfB!I10</f>
        <v>Naam:</v>
      </c>
      <c r="M4" s="159" t="str">
        <f>NeoGuiInfB!K10</f>
        <v/>
      </c>
      <c r="N4" s="160"/>
      <c r="O4" s="158"/>
    </row>
    <row r="5" spans="1:17" x14ac:dyDescent="0.2">
      <c r="B5" s="157" t="e">
        <f>NeoGuiInfB!#REF!</f>
        <v>#REF!</v>
      </c>
      <c r="J5" s="154" t="str">
        <f>NeoGuiInfB!N11</f>
        <v>Geboortedatum:</v>
      </c>
      <c r="M5" s="919">
        <f>NeoGuiInfB!P11</f>
        <v>1462</v>
      </c>
      <c r="N5" s="919"/>
      <c r="O5" s="919"/>
      <c r="P5" s="919"/>
    </row>
    <row r="6" spans="1:17" ht="15" x14ac:dyDescent="0.2">
      <c r="A6" s="350"/>
      <c r="B6" s="161"/>
      <c r="C6" s="162"/>
      <c r="D6" s="162"/>
      <c r="E6" s="162"/>
      <c r="F6" s="162"/>
      <c r="G6" s="162"/>
      <c r="H6" s="162"/>
      <c r="I6" s="162"/>
      <c r="J6" s="154" t="str">
        <f ca="1">"Leeftijd: "&amp;Var_Neo_Dag&amp;" dag(-en)"</f>
        <v>Leeftijd: 41294 dag(-en)</v>
      </c>
      <c r="N6" s="162" t="s">
        <v>493</v>
      </c>
      <c r="O6" s="162" t="str">
        <f>NeoGuiInfB!O12&amp;" weken en "&amp;NeoGuiInfB!Q12&amp;" dagen"</f>
        <v>0 weken en 0 dagen</v>
      </c>
      <c r="Q6" s="162"/>
    </row>
    <row r="7" spans="1:17" ht="9" customHeight="1" x14ac:dyDescent="0.2">
      <c r="B7" s="163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5"/>
      <c r="P7" s="165"/>
      <c r="Q7" s="164"/>
    </row>
    <row r="8" spans="1:17" x14ac:dyDescent="0.2">
      <c r="P8" s="166" t="s">
        <v>494</v>
      </c>
      <c r="Q8" s="167"/>
    </row>
    <row r="9" spans="1:17" x14ac:dyDescent="0.2">
      <c r="B9" s="154" t="str">
        <f>NeoGuiInfB!I11</f>
        <v>Datum:</v>
      </c>
      <c r="D9" s="920">
        <f ca="1">NeoGuiInfB!J11</f>
        <v>42755</v>
      </c>
      <c r="E9" s="920"/>
      <c r="F9" s="917"/>
      <c r="I9" s="154" t="str">
        <f>NeoGuiInfB!N10</f>
        <v>Gewicht:</v>
      </c>
      <c r="K9" s="154" t="str">
        <f>NeoGuiInfB!O10</f>
        <v>1 kg</v>
      </c>
      <c r="P9" s="166" t="s">
        <v>495</v>
      </c>
      <c r="Q9" s="167"/>
    </row>
    <row r="10" spans="1:17" x14ac:dyDescent="0.2">
      <c r="B10" s="154" t="str">
        <f>NeoGuiInfB!I12</f>
        <v>Bed:</v>
      </c>
      <c r="F10" s="154" t="e">
        <f>Var_Neo_InfB_Arts</f>
        <v>#NAME?</v>
      </c>
      <c r="I10" s="921" t="str">
        <f ca="1">"Leeftijd: "&amp;NeoGuiInfB!$O$9</f>
        <v xml:space="preserve">Leeftijd: </v>
      </c>
      <c r="J10" s="917"/>
      <c r="K10" s="917"/>
      <c r="L10" s="917"/>
      <c r="M10" s="917"/>
      <c r="N10" s="917"/>
      <c r="O10" s="922"/>
      <c r="P10" s="166"/>
      <c r="Q10" s="167"/>
    </row>
    <row r="11" spans="1:17" x14ac:dyDescent="0.2">
      <c r="B11" s="164" t="s">
        <v>496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6"/>
      <c r="Q11" s="167"/>
    </row>
    <row r="12" spans="1:17" x14ac:dyDescent="0.2">
      <c r="P12" s="166"/>
      <c r="Q12" s="167"/>
    </row>
    <row r="13" spans="1:17" x14ac:dyDescent="0.2">
      <c r="B13" s="168" t="str">
        <f>NeoGuiInfB!D15</f>
        <v>Totale vochtintake</v>
      </c>
      <c r="C13" s="162"/>
      <c r="D13" s="162"/>
      <c r="E13" s="162"/>
      <c r="F13" s="169">
        <f ca="1">NeoGuiInfB!F15</f>
        <v>50.4</v>
      </c>
      <c r="G13" s="162" t="str">
        <f>NeoGuiInfB!G15</f>
        <v>ml/ kg/ 24 uur</v>
      </c>
      <c r="H13" s="162"/>
      <c r="I13" s="162"/>
      <c r="J13" s="154" t="str">
        <f>"= "&amp;NeoGuiInfB!L47&amp;" ml"</f>
        <v>= Advies ml</v>
      </c>
      <c r="P13" s="166"/>
      <c r="Q13" s="167"/>
    </row>
    <row r="14" spans="1:17" x14ac:dyDescent="0.2">
      <c r="B14" s="168"/>
      <c r="C14" s="162"/>
      <c r="D14" s="162"/>
      <c r="E14" s="162"/>
      <c r="F14" s="169"/>
      <c r="G14" s="162"/>
      <c r="H14" s="162"/>
      <c r="I14" s="162"/>
      <c r="P14" s="378"/>
      <c r="Q14" s="379"/>
    </row>
    <row r="15" spans="1:17" x14ac:dyDescent="0.2">
      <c r="B15" s="168"/>
      <c r="C15" s="162"/>
      <c r="D15" s="162"/>
      <c r="E15" s="162"/>
      <c r="F15" s="169"/>
      <c r="G15" s="162"/>
      <c r="H15" s="162"/>
      <c r="I15" s="162"/>
      <c r="J15" s="160" t="s">
        <v>912</v>
      </c>
      <c r="P15" s="378"/>
      <c r="Q15" s="379"/>
    </row>
    <row r="16" spans="1:17" x14ac:dyDescent="0.2">
      <c r="B16" s="157" t="str">
        <f>NeoGuiInfB!C17</f>
        <v>Voeding:</v>
      </c>
      <c r="E16" s="154" t="e">
        <f>INDEX(tbl_Neo_Pos,NeoGuiInfB!F13,1)</f>
        <v>#REF!</v>
      </c>
      <c r="I16" s="154" t="e">
        <f ca="1">IF(OR(J16&lt;&gt;0,J17&lt;&gt;0,J18&lt;&gt;0,J19&lt;&gt;0,J20&lt;&gt;0),"met","")</f>
        <v>#REF!</v>
      </c>
      <c r="J16" s="154" t="str">
        <f ca="1">IF(NeoGuiInfB!M51=0,"","BMF in MM")</f>
        <v>BMF in MM</v>
      </c>
      <c r="M16" s="160" t="str">
        <f ca="1">IF(J16&lt;&gt;0,NeoGuiInfB!M51,0)</f>
        <v/>
      </c>
      <c r="N16" s="154" t="str">
        <f ca="1">IF(M16&lt;&gt;0,"%","")</f>
        <v>%</v>
      </c>
      <c r="P16" s="378"/>
      <c r="Q16" s="379"/>
    </row>
    <row r="17" spans="1:17" x14ac:dyDescent="0.2">
      <c r="B17" s="170" t="str">
        <f>NeoGuiInfB!G17</f>
        <v>Hoeveelheid:</v>
      </c>
      <c r="E17" s="159" t="str">
        <f>NeoGuiInfB!$H$17</f>
        <v/>
      </c>
      <c r="F17" s="154" t="str">
        <f>NeoGuiInfB!I17</f>
        <v>maal</v>
      </c>
      <c r="G17" s="160" t="str">
        <f>NeoGuiInfB!J17</f>
        <v/>
      </c>
      <c r="J17" s="154" t="e">
        <f>INDEX(tbl_Neo_ToevoegingenMMPrint,NeoGuiInfB!D52,1)</f>
        <v>#REF!</v>
      </c>
      <c r="M17" s="160" t="e">
        <f>IF(J17&lt;&gt;0,NeoGuiInfB!M52,0)</f>
        <v>#REF!</v>
      </c>
      <c r="N17" s="154" t="e">
        <f t="shared" ref="N17:N26" si="0">IF(M17&lt;&gt;0,"%","")</f>
        <v>#REF!</v>
      </c>
      <c r="P17" s="378"/>
      <c r="Q17" s="379"/>
    </row>
    <row r="18" spans="1:17" x14ac:dyDescent="0.2">
      <c r="C18" s="171" t="str">
        <f>IF(E18="","","en")</f>
        <v/>
      </c>
      <c r="E18" s="159" t="str">
        <f>IF(NeoGuiInfB!J18&lt;&gt;"0 ml",NeoGuiInfB!$H$18,"")</f>
        <v/>
      </c>
      <c r="F18" s="154" t="str">
        <f>IF(NeoGuiInfB!J18&lt;&gt;"0 ml",NeoGuiInfB!I18,"")</f>
        <v>maal</v>
      </c>
      <c r="G18" s="160" t="str">
        <f>IF(NeoGuiInfB!J18&lt;&gt;"0 ml",NeoGuiInfB!J18,"")</f>
        <v/>
      </c>
      <c r="J18" s="154" t="e">
        <f>INDEX(tbl_Neo_ToevoegingenMMPrint,NeoGuiInfB!D53,1)</f>
        <v>#REF!</v>
      </c>
      <c r="M18" s="160" t="e">
        <f>IF(J18&lt;&gt;0,NeoGuiInfB!M53,0)</f>
        <v>#REF!</v>
      </c>
      <c r="N18" s="154" t="e">
        <f t="shared" si="0"/>
        <v>#REF!</v>
      </c>
      <c r="P18" s="378"/>
      <c r="Q18" s="379"/>
    </row>
    <row r="19" spans="1:17" x14ac:dyDescent="0.2">
      <c r="J19" s="154" t="e">
        <f>INDEX(tbl_Neo_ToevoegingenMMPrint,NeoGuiInfB!D54,1)</f>
        <v>#REF!</v>
      </c>
      <c r="M19" s="160" t="e">
        <f>IF(J19&lt;&gt;0,NeoGuiInfB!M54,0)</f>
        <v>#REF!</v>
      </c>
      <c r="N19" s="154" t="e">
        <f t="shared" si="0"/>
        <v>#REF!</v>
      </c>
      <c r="P19" s="378"/>
      <c r="Q19" s="379"/>
    </row>
    <row r="20" spans="1:17" x14ac:dyDescent="0.2">
      <c r="B20" s="168"/>
      <c r="C20" s="162"/>
      <c r="D20" s="162"/>
      <c r="E20" s="162"/>
      <c r="F20" s="169"/>
      <c r="G20" s="162"/>
      <c r="H20" s="162"/>
      <c r="I20" s="162"/>
      <c r="J20" s="154" t="e">
        <f>INDEX(tbl_Neo_ToevoegingenMMPrint,NeoGuiInfB!D55,1)</f>
        <v>#REF!</v>
      </c>
      <c r="K20" s="162"/>
      <c r="L20" s="172"/>
      <c r="M20" s="160" t="e">
        <f>IF(J20&lt;&gt;0,NeoGuiInfB!M55,0)</f>
        <v>#REF!</v>
      </c>
      <c r="N20" s="154" t="e">
        <f t="shared" si="0"/>
        <v>#REF!</v>
      </c>
      <c r="P20" s="378"/>
      <c r="Q20" s="379"/>
    </row>
    <row r="21" spans="1:17" x14ac:dyDescent="0.2">
      <c r="B21" s="160"/>
      <c r="P21" s="166"/>
      <c r="Q21" s="167"/>
    </row>
    <row r="22" spans="1:17" x14ac:dyDescent="0.2">
      <c r="B22" s="160"/>
      <c r="I22" s="162"/>
      <c r="J22" s="160" t="s">
        <v>913</v>
      </c>
      <c r="P22" s="378"/>
      <c r="Q22" s="379"/>
    </row>
    <row r="23" spans="1:17" x14ac:dyDescent="0.2">
      <c r="B23" s="160"/>
      <c r="I23" s="154" t="e">
        <f>IF(OR(J23&lt;&gt;0,J24&lt;&gt;0,J25&lt;&gt;0,J26&lt;&gt;0),"met","")</f>
        <v>#REF!</v>
      </c>
      <c r="J23" s="154" t="e">
        <f>INDEX(tbl_Neo_ToevoegingenKVPrint,NeoGuiInfB!D57,1)</f>
        <v>#REF!</v>
      </c>
      <c r="M23" s="160" t="e">
        <f>IF(J23&lt;&gt;0,NeoGuiInfB!M57,0)</f>
        <v>#REF!</v>
      </c>
      <c r="N23" s="154" t="e">
        <f t="shared" si="0"/>
        <v>#REF!</v>
      </c>
      <c r="P23" s="378"/>
      <c r="Q23" s="379"/>
    </row>
    <row r="24" spans="1:17" x14ac:dyDescent="0.2">
      <c r="B24" s="160"/>
      <c r="J24" s="154" t="e">
        <f>INDEX(tbl_Neo_ToevoegingenKVPrint,NeoGuiInfB!D58,1)</f>
        <v>#REF!</v>
      </c>
      <c r="M24" s="160" t="e">
        <f>IF(J24&lt;&gt;0,NeoGuiInfB!M58,0)</f>
        <v>#REF!</v>
      </c>
      <c r="N24" s="154" t="e">
        <f t="shared" si="0"/>
        <v>#REF!</v>
      </c>
      <c r="P24" s="378"/>
      <c r="Q24" s="379"/>
    </row>
    <row r="25" spans="1:17" x14ac:dyDescent="0.2">
      <c r="J25" s="154" t="e">
        <f>INDEX(tbl_Neo_ToevoegingenKVPrint,NeoGuiInfB!D59,1)</f>
        <v>#REF!</v>
      </c>
      <c r="M25" s="160" t="e">
        <f>IF(J25&lt;&gt;0,NeoGuiInfB!M59,0)</f>
        <v>#REF!</v>
      </c>
      <c r="N25" s="154" t="e">
        <f t="shared" si="0"/>
        <v>#REF!</v>
      </c>
      <c r="P25" s="166"/>
      <c r="Q25" s="167"/>
    </row>
    <row r="26" spans="1:17" x14ac:dyDescent="0.2">
      <c r="J26" s="154" t="e">
        <f>INDEX(tbl_Neo_ToevoegingenKVPrint,NeoGuiInfB!D60,1)</f>
        <v>#REF!</v>
      </c>
      <c r="M26" s="160" t="e">
        <f>IF(J26&lt;&gt;0,NeoGuiInfB!M60,0)</f>
        <v>#REF!</v>
      </c>
      <c r="N26" s="154" t="e">
        <f t="shared" si="0"/>
        <v>#REF!</v>
      </c>
      <c r="P26" s="166"/>
      <c r="Q26" s="167"/>
    </row>
    <row r="27" spans="1:17" x14ac:dyDescent="0.2">
      <c r="P27" s="166"/>
      <c r="Q27" s="167"/>
    </row>
    <row r="28" spans="1:17" x14ac:dyDescent="0.2">
      <c r="B28" s="173" t="str">
        <f>IF(NeoGuiInfB!L13=1,"De voeding is extra","")</f>
        <v/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74"/>
      <c r="Q28" s="175"/>
    </row>
    <row r="29" spans="1:17" x14ac:dyDescent="0.2">
      <c r="P29" s="166"/>
      <c r="Q29" s="167"/>
    </row>
    <row r="30" spans="1:17" x14ac:dyDescent="0.2">
      <c r="B30" s="157" t="e">
        <f>NeoGuiInfB!#REF!</f>
        <v>#REF!</v>
      </c>
      <c r="G30" s="160" t="e">
        <f>NeoGuiInfB!#REF!</f>
        <v>#REF!</v>
      </c>
      <c r="H30" s="154" t="e">
        <f>NeoGuiInfB!#REF!</f>
        <v>#REF!</v>
      </c>
      <c r="O30" s="167"/>
      <c r="P30" s="162"/>
      <c r="Q30" s="167"/>
    </row>
    <row r="31" spans="1:17" x14ac:dyDescent="0.2">
      <c r="O31" s="167"/>
      <c r="P31" s="176" t="s">
        <v>497</v>
      </c>
      <c r="Q31" s="167"/>
    </row>
    <row r="32" spans="1:17" ht="15.95" customHeight="1" x14ac:dyDescent="0.2">
      <c r="A32" s="154">
        <v>1</v>
      </c>
      <c r="B32" s="177" t="str">
        <f>IF(Var_Neo_InfB_Cont_ArtLijn&gt;0,NeoGuiInfB!D26,"")</f>
        <v/>
      </c>
      <c r="C32" s="177"/>
      <c r="D32" s="177"/>
      <c r="E32" s="177"/>
      <c r="F32" s="177"/>
      <c r="G32" s="177"/>
      <c r="H32" s="177"/>
      <c r="I32" s="177"/>
      <c r="J32" s="177"/>
      <c r="K32" s="178" t="str">
        <f>IF(NeoGuiInfB!K26&lt;&gt; "0 ml/uur",NeoGuiInfB!K26,"")</f>
        <v/>
      </c>
      <c r="L32" s="177"/>
      <c r="M32" s="177"/>
      <c r="N32" s="177"/>
      <c r="O32" s="179"/>
      <c r="P32" s="180" t="str">
        <f>IF(B32="","",IF(NeoGuiInfB!K15,"ja","nee"))</f>
        <v/>
      </c>
      <c r="Q32" s="181"/>
    </row>
    <row r="33" spans="1:17" ht="15.95" customHeight="1" x14ac:dyDescent="0.2">
      <c r="A33" s="154">
        <v>2</v>
      </c>
      <c r="B33" s="182" t="e">
        <f>INDEX(Tbl_Neo_MedIV,NeoGuiInfB!#REF!,1)</f>
        <v>#REF!</v>
      </c>
      <c r="C33" s="177"/>
      <c r="D33" s="182"/>
      <c r="E33" s="183" t="str">
        <f>NeoGuiInfB!G28</f>
        <v>0,01 mg</v>
      </c>
      <c r="F33" s="182"/>
      <c r="G33" s="184" t="str">
        <f>NeoGuiInfB!H28</f>
        <v>12 ml</v>
      </c>
      <c r="H33" s="182"/>
      <c r="I33" s="185" t="e">
        <f>INDEX(Tbl_Neo_OplVlst,NeoGuiInfB!#REF!,1)</f>
        <v>#REF!</v>
      </c>
      <c r="J33" s="182"/>
      <c r="K33" s="183" t="str">
        <f>NeoGuiInfB!K28</f>
        <v>1,6 ml/uur</v>
      </c>
      <c r="L33" s="182"/>
      <c r="M33" s="186">
        <f>NeoGuiInfB!L28</f>
        <v>1.33</v>
      </c>
      <c r="N33" s="187" t="e">
        <f>INDEX(tbl_Neo_Dose,NeoGuiInfB!#REF!,1)</f>
        <v>#REF!</v>
      </c>
      <c r="O33" s="188"/>
      <c r="P33" s="185" t="e">
        <f>IF(B33&lt;&gt;0,IF(NeoGuiInfB!#REF!,"ja","nee"),"")</f>
        <v>#REF!</v>
      </c>
      <c r="Q33" s="189"/>
    </row>
    <row r="34" spans="1:17" ht="15.95" customHeight="1" x14ac:dyDescent="0.2">
      <c r="A34" s="154">
        <v>3</v>
      </c>
      <c r="B34" s="182" t="e">
        <f>INDEX(Tbl_Neo_MedIV,NeoGuiInfB!#REF!,1)</f>
        <v>#REF!</v>
      </c>
      <c r="C34" s="177"/>
      <c r="D34" s="182"/>
      <c r="E34" s="183" t="str">
        <f>NeoGuiInfB!G29</f>
        <v>30 ml</v>
      </c>
      <c r="F34" s="182"/>
      <c r="G34" s="184" t="str">
        <f>NeoGuiInfB!H29</f>
        <v>12 ml</v>
      </c>
      <c r="H34" s="182"/>
      <c r="I34" s="185" t="e">
        <f>INDEX(Tbl_Neo_OplVlst,NeoGuiInfB!H17,1)</f>
        <v>#VALUE!</v>
      </c>
      <c r="J34" s="182"/>
      <c r="K34" s="183" t="str">
        <f>NeoGuiInfB!K29</f>
        <v>0,5 ml/uur</v>
      </c>
      <c r="L34" s="182"/>
      <c r="M34" s="186">
        <f>NeoGuiInfB!L29</f>
        <v>1.25</v>
      </c>
      <c r="N34" s="187" t="e">
        <f>INDEX(tbl_Neo_Dose,NeoGuiInfB!J17,1)</f>
        <v>#REF!</v>
      </c>
      <c r="O34" s="188"/>
      <c r="P34" s="185" t="e">
        <f>IF(B34&lt;&gt;0,IF(NeoGuiInfB!F17,"ja","nee"),"")</f>
        <v>#REF!</v>
      </c>
      <c r="Q34" s="181"/>
    </row>
    <row r="35" spans="1:17" ht="15.95" customHeight="1" x14ac:dyDescent="0.2">
      <c r="A35" s="154">
        <v>4</v>
      </c>
      <c r="B35" s="182" t="e">
        <f>INDEX(Tbl_Neo_MedIV,NeoGuiInfB!#REF!,1)</f>
        <v>#REF!</v>
      </c>
      <c r="C35" s="177"/>
      <c r="D35" s="182"/>
      <c r="E35" s="183" t="str">
        <f>NeoGuiInfB!G30</f>
        <v/>
      </c>
      <c r="F35" s="182"/>
      <c r="G35" s="184" t="str">
        <f>NeoGuiInfB!H30</f>
        <v/>
      </c>
      <c r="H35" s="182"/>
      <c r="I35" s="185" t="e">
        <f>INDEX(Tbl_Neo_OplVlst,NeoGuiInfB!H18,1)</f>
        <v>#VALUE!</v>
      </c>
      <c r="J35" s="182"/>
      <c r="K35" s="183" t="str">
        <f>NeoGuiInfB!K30</f>
        <v/>
      </c>
      <c r="L35" s="182"/>
      <c r="M35" s="186" t="str">
        <f>NeoGuiInfB!L30</f>
        <v/>
      </c>
      <c r="N35" s="187" t="e">
        <f>INDEX(tbl_Neo_Dose,NeoGuiInfB!J18,1)</f>
        <v>#REF!</v>
      </c>
      <c r="O35" s="188"/>
      <c r="P35" s="185" t="e">
        <f>IF(B35&lt;&gt;0,IF(NeoGuiInfB!M17,"ja","nee"),"")</f>
        <v>#REF!</v>
      </c>
      <c r="Q35" s="189"/>
    </row>
    <row r="36" spans="1:17" ht="15.95" customHeight="1" x14ac:dyDescent="0.2">
      <c r="A36" s="154">
        <v>5</v>
      </c>
      <c r="B36" s="182" t="e">
        <f>INDEX(Tbl_Neo_MedIV,NeoGuiInfB!#REF!,1)</f>
        <v>#REF!</v>
      </c>
      <c r="C36" s="177"/>
      <c r="D36" s="182"/>
      <c r="E36" s="183" t="str">
        <f>NeoGuiInfB!G31</f>
        <v/>
      </c>
      <c r="F36" s="182"/>
      <c r="G36" s="184" t="str">
        <f>NeoGuiInfB!H31</f>
        <v/>
      </c>
      <c r="H36" s="182"/>
      <c r="I36" s="185" t="e">
        <f>INDEX(Tbl_Neo_OplVlst,NeoGuiInfB!H19,1)</f>
        <v>#VALUE!</v>
      </c>
      <c r="J36" s="182"/>
      <c r="K36" s="183" t="str">
        <f>NeoGuiInfB!K31</f>
        <v/>
      </c>
      <c r="L36" s="182"/>
      <c r="M36" s="186" t="str">
        <f>NeoGuiInfB!L31</f>
        <v/>
      </c>
      <c r="N36" s="187" t="e">
        <f>INDEX(tbl_Neo_Dose,NeoGuiInfB!J19,1)</f>
        <v>#REF!</v>
      </c>
      <c r="O36" s="188"/>
      <c r="P36" s="185" t="e">
        <f>IF(B36&lt;&gt;0,IF(NeoGuiInfB!M18,"ja","nee"),"")</f>
        <v>#REF!</v>
      </c>
      <c r="Q36" s="181"/>
    </row>
    <row r="37" spans="1:17" ht="15.95" customHeight="1" x14ac:dyDescent="0.2">
      <c r="A37" s="154">
        <v>6</v>
      </c>
      <c r="B37" s="182" t="e">
        <f>INDEX(Tbl_Neo_MedIV,NeoGuiInfB!#REF!,1)</f>
        <v>#REF!</v>
      </c>
      <c r="C37" s="177"/>
      <c r="D37" s="182"/>
      <c r="E37" s="183" t="str">
        <f>NeoGuiInfB!G32</f>
        <v/>
      </c>
      <c r="F37" s="182"/>
      <c r="G37" s="184" t="str">
        <f>NeoGuiInfB!H32</f>
        <v/>
      </c>
      <c r="H37" s="182"/>
      <c r="I37" s="185" t="e">
        <f>INDEX(Tbl_Neo_OplVlst,NeoGuiInfB!E20,1)</f>
        <v>#VALUE!</v>
      </c>
      <c r="J37" s="182"/>
      <c r="K37" s="183" t="str">
        <f>NeoGuiInfB!K32</f>
        <v/>
      </c>
      <c r="L37" s="182"/>
      <c r="M37" s="186" t="str">
        <f>NeoGuiInfB!L32</f>
        <v/>
      </c>
      <c r="N37" s="187" t="e">
        <f>INDEX(tbl_Neo_Dose,NeoGuiInfB!G20,1)</f>
        <v>#REF!</v>
      </c>
      <c r="O37" s="188"/>
      <c r="P37" s="185" t="e">
        <f>IF(B37&lt;&gt;0,IF(NeoGuiInfB!M19,"ja","nee"),"")</f>
        <v>#REF!</v>
      </c>
      <c r="Q37" s="189"/>
    </row>
    <row r="38" spans="1:17" ht="15.95" customHeight="1" x14ac:dyDescent="0.2">
      <c r="A38" s="154">
        <v>7</v>
      </c>
      <c r="B38" s="182" t="e">
        <f>INDEX(Tbl_Neo_MedIV,NeoGuiInfB!#REF!,1)</f>
        <v>#REF!</v>
      </c>
      <c r="C38" s="177"/>
      <c r="D38" s="182"/>
      <c r="E38" s="183" t="str">
        <f>NeoGuiInfB!G33</f>
        <v/>
      </c>
      <c r="F38" s="182"/>
      <c r="G38" s="184" t="str">
        <f>NeoGuiInfB!H33</f>
        <v/>
      </c>
      <c r="H38" s="182"/>
      <c r="I38" s="185" t="e">
        <f>INDEX(Tbl_Neo_OplVlst,NeoGuiInfB!E21,1)</f>
        <v>#VALUE!</v>
      </c>
      <c r="J38" s="182"/>
      <c r="K38" s="183" t="str">
        <f>NeoGuiInfB!K33</f>
        <v/>
      </c>
      <c r="L38" s="182"/>
      <c r="M38" s="186" t="str">
        <f>NeoGuiInfB!L33</f>
        <v/>
      </c>
      <c r="N38" s="187" t="e">
        <f>INDEX(tbl_Neo_Dose,NeoGuiInfB!G21,1)</f>
        <v>#REF!</v>
      </c>
      <c r="O38" s="188"/>
      <c r="P38" s="185" t="e">
        <f>IF(B38&lt;&gt;0,IF(NeoGuiInfB!M20,"ja","nee"),"")</f>
        <v>#REF!</v>
      </c>
      <c r="Q38" s="181"/>
    </row>
    <row r="39" spans="1:17" ht="15.95" customHeight="1" x14ac:dyDescent="0.2">
      <c r="A39" s="154">
        <v>8</v>
      </c>
      <c r="B39" s="182" t="e">
        <f>INDEX(Tbl_Neo_MedIV,NeoGuiInfB!#REF!,1)</f>
        <v>#REF!</v>
      </c>
      <c r="C39" s="177"/>
      <c r="D39" s="182"/>
      <c r="E39" s="183" t="str">
        <f>NeoGuiInfB!G34</f>
        <v/>
      </c>
      <c r="F39" s="182"/>
      <c r="G39" s="184" t="str">
        <f>NeoGuiInfB!H34</f>
        <v/>
      </c>
      <c r="H39" s="182"/>
      <c r="I39" s="185" t="e">
        <f>INDEX(Tbl_Neo_OplVlst,NeoGuiInfB!E22,1)</f>
        <v>#VALUE!</v>
      </c>
      <c r="J39" s="182"/>
      <c r="K39" s="183" t="str">
        <f>NeoGuiInfB!K34</f>
        <v/>
      </c>
      <c r="L39" s="182"/>
      <c r="M39" s="186" t="str">
        <f>NeoGuiInfB!L34</f>
        <v/>
      </c>
      <c r="N39" s="187" t="e">
        <f>INDEX(tbl_Neo_Dose,NeoGuiInfB!#REF!,1)</f>
        <v>#REF!</v>
      </c>
      <c r="O39" s="188"/>
      <c r="P39" s="185" t="e">
        <f>IF(B39&lt;&gt;0,IF(NeoGuiInfB!M21,"ja","nee"),"")</f>
        <v>#REF!</v>
      </c>
      <c r="Q39" s="189"/>
    </row>
    <row r="40" spans="1:17" ht="15.95" customHeight="1" x14ac:dyDescent="0.2">
      <c r="A40" s="154">
        <v>9</v>
      </c>
      <c r="B40" s="182" t="e">
        <f>INDEX(Tbl_Neo_MedIV,NeoGuiInfB!#REF!,1)</f>
        <v>#REF!</v>
      </c>
      <c r="C40" s="177"/>
      <c r="D40" s="182"/>
      <c r="E40" s="183" t="str">
        <f>NeoGuiInfB!G35</f>
        <v/>
      </c>
      <c r="F40" s="182"/>
      <c r="G40" s="184" t="str">
        <f>NeoGuiInfB!H35</f>
        <v/>
      </c>
      <c r="H40" s="182"/>
      <c r="I40" s="185" t="e">
        <f>INDEX(Tbl_Neo_OplVlst,NeoGuiInfB!E24,1)</f>
        <v>#VALUE!</v>
      </c>
      <c r="J40" s="182"/>
      <c r="K40" s="183" t="str">
        <f>NeoGuiInfB!K35</f>
        <v/>
      </c>
      <c r="L40" s="182"/>
      <c r="M40" s="186" t="str">
        <f>NeoGuiInfB!L35</f>
        <v/>
      </c>
      <c r="N40" s="187" t="e">
        <f>INDEX(tbl_Neo_Dose,NeoGuiInfB!G24,1)</f>
        <v>#REF!</v>
      </c>
      <c r="O40" s="188"/>
      <c r="P40" s="185" t="e">
        <f>IF(B40&lt;&gt;0,IF(NeoGuiInfB!M22,"ja","nee"),"")</f>
        <v>#REF!</v>
      </c>
      <c r="Q40" s="181"/>
    </row>
    <row r="41" spans="1:17" ht="15.95" customHeight="1" x14ac:dyDescent="0.2">
      <c r="A41" s="154">
        <v>10</v>
      </c>
      <c r="B41" s="182" t="e">
        <f>INDEX(Tbl_Neo_MedIV,NeoGuiInfB!#REF!,1)</f>
        <v>#REF!</v>
      </c>
      <c r="C41" s="177"/>
      <c r="D41" s="182"/>
      <c r="E41" s="183" t="str">
        <f>NeoGuiInfB!G36</f>
        <v/>
      </c>
      <c r="F41" s="182"/>
      <c r="G41" s="184" t="str">
        <f>NeoGuiInfB!H36</f>
        <v/>
      </c>
      <c r="H41" s="182"/>
      <c r="I41" s="185" t="e">
        <f>INDEX(Tbl_Neo_OplVlst,NeoGuiInfB!#REF!,1)</f>
        <v>#REF!</v>
      </c>
      <c r="J41" s="182"/>
      <c r="K41" s="183" t="str">
        <f>NeoGuiInfB!K36</f>
        <v/>
      </c>
      <c r="L41" s="182"/>
      <c r="M41" s="186" t="str">
        <f>NeoGuiInfB!L36</f>
        <v/>
      </c>
      <c r="N41" s="187" t="e">
        <f>INDEX(tbl_Neo_Dose,NeoGuiInfB!#REF!,1)</f>
        <v>#REF!</v>
      </c>
      <c r="O41" s="188"/>
      <c r="P41" s="185" t="e">
        <f>IF(B41&lt;&gt;0,IF(NeoGuiInfB!#REF!,"ja","nee"),"")</f>
        <v>#REF!</v>
      </c>
      <c r="Q41" s="189"/>
    </row>
    <row r="42" spans="1:17" ht="15.95" customHeight="1" x14ac:dyDescent="0.2">
      <c r="A42" s="154">
        <v>11</v>
      </c>
      <c r="B42" s="182" t="str">
        <f>IF(I42&lt;&gt;"",NeoGuiInfB!D39,"")</f>
        <v/>
      </c>
      <c r="C42" s="177"/>
      <c r="D42" s="182"/>
      <c r="E42" s="183"/>
      <c r="F42" s="182"/>
      <c r="G42" s="183"/>
      <c r="H42" s="182"/>
      <c r="I42" s="185" t="str">
        <f>IFERROR(INDEX(Tbl_Neo_OplVlst,NeoGuiInfB!I25,1),"")</f>
        <v/>
      </c>
      <c r="J42" s="182"/>
      <c r="K42" s="183" t="str">
        <f>NeoGuiInfB!K39</f>
        <v/>
      </c>
      <c r="L42" s="182"/>
      <c r="M42" s="186"/>
      <c r="N42" s="182"/>
      <c r="O42" s="188"/>
      <c r="P42" s="185" t="str">
        <f>IF(B42&lt;&gt;"",IF(NeoGuiInfB!N25,"ja","nee"),"")</f>
        <v/>
      </c>
      <c r="Q42" s="189"/>
    </row>
    <row r="43" spans="1:17" ht="15.95" customHeight="1" x14ac:dyDescent="0.2">
      <c r="A43" s="154">
        <v>12</v>
      </c>
      <c r="B43" s="182" t="str">
        <f>IF(I43&lt;&gt;"",NeoGuiInfB!D40,"")</f>
        <v/>
      </c>
      <c r="C43" s="177"/>
      <c r="D43" s="182"/>
      <c r="E43" s="183"/>
      <c r="F43" s="182"/>
      <c r="G43" s="183"/>
      <c r="H43" s="182"/>
      <c r="I43" s="185" t="str">
        <f>IFERROR(INDEX(Tbl_Neo_OplVlst,NeoGuiInfB!I26,1),"")</f>
        <v/>
      </c>
      <c r="J43" s="182"/>
      <c r="K43" s="183" t="str">
        <f>NeoGuiInfB!K40</f>
        <v/>
      </c>
      <c r="L43" s="182"/>
      <c r="M43" s="186"/>
      <c r="N43" s="182"/>
      <c r="O43" s="188"/>
      <c r="P43" s="185" t="str">
        <f>IF(B43&lt;&gt;"",IF(NeoGuiInfB!N26,"ja","nee"),"")</f>
        <v/>
      </c>
      <c r="Q43" s="189"/>
    </row>
    <row r="44" spans="1:17" ht="15.95" customHeight="1" x14ac:dyDescent="0.2">
      <c r="A44" s="154">
        <v>13</v>
      </c>
      <c r="B44" s="182" t="str">
        <f>IF(I44&lt;&gt;"",NeoGuiInfB!D41,"")</f>
        <v/>
      </c>
      <c r="C44" s="177"/>
      <c r="D44" s="182"/>
      <c r="E44" s="183"/>
      <c r="F44" s="182"/>
      <c r="G44" s="183"/>
      <c r="H44" s="182"/>
      <c r="I44" s="185" t="str">
        <f>IFERROR(INDEX(Tbl_Neo_OplVlst,NeoGuiInfB!I27,1),"")</f>
        <v/>
      </c>
      <c r="J44" s="182"/>
      <c r="K44" s="183" t="str">
        <f>NeoGuiInfB!K41</f>
        <v/>
      </c>
      <c r="L44" s="182"/>
      <c r="M44" s="182"/>
      <c r="N44" s="182"/>
      <c r="O44" s="188"/>
      <c r="P44" s="185" t="str">
        <f>IF(B44&lt;&gt;"",IF(NeoGuiInfB!N27,"ja","nee"),"")</f>
        <v/>
      </c>
      <c r="Q44" s="189"/>
    </row>
    <row r="45" spans="1:17" ht="15.95" customHeight="1" x14ac:dyDescent="0.2">
      <c r="A45" s="154">
        <v>14</v>
      </c>
      <c r="B45" s="182" t="str">
        <f>NeoGuiInfB!D42</f>
        <v/>
      </c>
      <c r="C45" s="177"/>
      <c r="D45" s="182"/>
      <c r="E45" s="183"/>
      <c r="F45" s="182"/>
      <c r="G45" s="183"/>
      <c r="H45" s="182"/>
      <c r="I45" s="182"/>
      <c r="J45" s="182"/>
      <c r="K45" s="183"/>
      <c r="L45" s="182"/>
      <c r="M45" s="182"/>
      <c r="N45" s="182"/>
      <c r="O45" s="188"/>
      <c r="P45" s="182"/>
      <c r="Q45" s="189"/>
    </row>
    <row r="46" spans="1:17" ht="15.95" customHeight="1" x14ac:dyDescent="0.2">
      <c r="A46" s="154">
        <v>15</v>
      </c>
      <c r="B46" s="182" t="str">
        <f>NeoGuiInfB!D43</f>
        <v/>
      </c>
      <c r="C46" s="177"/>
      <c r="D46" s="182"/>
      <c r="E46" s="183"/>
      <c r="F46" s="182"/>
      <c r="G46" s="183"/>
      <c r="H46" s="182"/>
      <c r="I46" s="182"/>
      <c r="J46" s="182"/>
      <c r="K46" s="183"/>
      <c r="L46" s="182"/>
      <c r="M46" s="182"/>
      <c r="N46" s="182"/>
      <c r="O46" s="188"/>
      <c r="P46" s="182"/>
      <c r="Q46" s="189"/>
    </row>
    <row r="47" spans="1:17" ht="15.75" customHeight="1" x14ac:dyDescent="0.2">
      <c r="A47" s="154">
        <v>16</v>
      </c>
      <c r="B47" s="182">
        <f>NeoGuiInfB!D47</f>
        <v>0</v>
      </c>
      <c r="C47" s="177"/>
      <c r="D47" s="182"/>
      <c r="E47" s="183"/>
      <c r="F47" s="182"/>
      <c r="G47" s="183" t="str">
        <f ca="1">NeoGuiInfB!G47</f>
        <v/>
      </c>
      <c r="H47" s="182"/>
      <c r="I47" s="182"/>
      <c r="J47" s="182"/>
      <c r="K47" s="183"/>
      <c r="L47" s="182"/>
      <c r="M47" s="182"/>
      <c r="N47" s="182"/>
      <c r="O47" s="188"/>
      <c r="P47" s="182"/>
      <c r="Q47" s="181"/>
    </row>
    <row r="48" spans="1:17" x14ac:dyDescent="0.2">
      <c r="O48" s="167"/>
      <c r="P48" s="162"/>
      <c r="Q48" s="167"/>
    </row>
    <row r="49" spans="2:17" x14ac:dyDescent="0.2">
      <c r="B49" s="157">
        <f>NeoGuiInfB!D50</f>
        <v>0</v>
      </c>
      <c r="F49" s="154" t="s">
        <v>498</v>
      </c>
      <c r="I49" s="154" t="s">
        <v>499</v>
      </c>
      <c r="L49" s="154" t="s">
        <v>500</v>
      </c>
      <c r="P49" s="166"/>
      <c r="Q49" s="167"/>
    </row>
    <row r="50" spans="2:17" x14ac:dyDescent="0.2">
      <c r="F50" s="190" t="s">
        <v>501</v>
      </c>
      <c r="G50" s="191"/>
      <c r="H50" s="192"/>
      <c r="I50" s="193" t="s">
        <v>502</v>
      </c>
      <c r="J50" s="191"/>
      <c r="K50" s="194"/>
      <c r="L50" s="190" t="s">
        <v>502</v>
      </c>
      <c r="M50" s="191"/>
      <c r="N50" s="194"/>
      <c r="P50" s="166"/>
      <c r="Q50" s="167"/>
    </row>
    <row r="51" spans="2:17" x14ac:dyDescent="0.2">
      <c r="B51" s="193" t="str">
        <f>NeoGuiInfB!D51</f>
        <v>NaCl 2,9%</v>
      </c>
      <c r="C51" s="195"/>
      <c r="D51" s="195"/>
      <c r="E51" s="192"/>
      <c r="F51" s="196" t="str">
        <f ca="1">NeoGuiInfB!G51</f>
        <v>0 ml</v>
      </c>
      <c r="G51" s="197"/>
      <c r="H51" s="198"/>
      <c r="I51" s="196"/>
      <c r="J51" s="197"/>
      <c r="K51" s="198"/>
      <c r="L51" s="196" t="str">
        <f>NeoGuiInfB!K51</f>
        <v/>
      </c>
      <c r="M51" s="197"/>
      <c r="N51" s="198"/>
      <c r="P51" s="199"/>
      <c r="Q51" s="181"/>
    </row>
    <row r="52" spans="2:17" x14ac:dyDescent="0.2">
      <c r="B52" s="193" t="str">
        <f>NeoGuiInfB!D52</f>
        <v>Kacetaat</v>
      </c>
      <c r="C52" s="195"/>
      <c r="D52" s="195"/>
      <c r="E52" s="192"/>
      <c r="F52" s="196" t="str">
        <f ca="1">NeoGuiInfB!G52</f>
        <v>0 ml</v>
      </c>
      <c r="G52" s="197"/>
      <c r="H52" s="198"/>
      <c r="I52" s="196"/>
      <c r="J52" s="197"/>
      <c r="K52" s="198"/>
      <c r="L52" s="196" t="str">
        <f>NeoGuiInfB!K52</f>
        <v/>
      </c>
      <c r="M52" s="197"/>
      <c r="N52" s="198"/>
      <c r="P52" s="200"/>
      <c r="Q52" s="189"/>
    </row>
    <row r="53" spans="2:17" x14ac:dyDescent="0.2">
      <c r="B53" s="193" t="str">
        <f>NeoGuiInfB!D53</f>
        <v>CaCl2</v>
      </c>
      <c r="C53" s="195"/>
      <c r="D53" s="195"/>
      <c r="E53" s="192"/>
      <c r="F53" s="196" t="str">
        <f ca="1">NeoGuiInfB!G53</f>
        <v>0 ml</v>
      </c>
      <c r="G53" s="197"/>
      <c r="H53" s="198"/>
      <c r="I53" s="196"/>
      <c r="J53" s="197"/>
      <c r="K53" s="198"/>
      <c r="L53" s="196"/>
      <c r="M53" s="197"/>
      <c r="N53" s="198"/>
      <c r="P53" s="199"/>
      <c r="Q53" s="181"/>
    </row>
    <row r="54" spans="2:17" x14ac:dyDescent="0.2">
      <c r="B54" s="193" t="str">
        <f>NeoGuiInfB!D54</f>
        <v>MgCl2</v>
      </c>
      <c r="C54" s="195"/>
      <c r="D54" s="195"/>
      <c r="E54" s="192"/>
      <c r="F54" s="196" t="str">
        <f ca="1">NeoGuiInfB!G54</f>
        <v>0 ml</v>
      </c>
      <c r="G54" s="197"/>
      <c r="H54" s="198"/>
      <c r="I54" s="196"/>
      <c r="J54" s="197"/>
      <c r="K54" s="198"/>
      <c r="L54" s="196"/>
      <c r="M54" s="197"/>
      <c r="N54" s="198"/>
      <c r="P54" s="200"/>
      <c r="Q54" s="189"/>
    </row>
    <row r="55" spans="2:17" x14ac:dyDescent="0.2">
      <c r="B55" s="193" t="str">
        <f>NeoGuiInfB!D55</f>
        <v>Soluvit</v>
      </c>
      <c r="C55" s="195"/>
      <c r="D55" s="195"/>
      <c r="E55" s="192"/>
      <c r="F55" s="196" t="str">
        <f ca="1">NeoGuiInfB!G55</f>
        <v>0 ml</v>
      </c>
      <c r="G55" s="197"/>
      <c r="H55" s="198"/>
      <c r="I55" s="196"/>
      <c r="J55" s="197"/>
      <c r="K55" s="198"/>
      <c r="L55" s="196"/>
      <c r="M55" s="197"/>
      <c r="N55" s="198"/>
      <c r="P55" s="199"/>
      <c r="Q55" s="181"/>
    </row>
    <row r="56" spans="2:17" x14ac:dyDescent="0.2">
      <c r="B56" s="193" t="str">
        <f>NeoGuiInfB!D56</f>
        <v>Primene</v>
      </c>
      <c r="C56" s="195"/>
      <c r="D56" s="195"/>
      <c r="E56" s="192"/>
      <c r="F56" s="196" t="str">
        <f ca="1">NeoGuiInfB!G56</f>
        <v>0 ml</v>
      </c>
      <c r="G56" s="197"/>
      <c r="H56" s="198"/>
      <c r="I56" s="196"/>
      <c r="J56" s="197"/>
      <c r="K56" s="198"/>
      <c r="L56" s="196"/>
      <c r="M56" s="197"/>
      <c r="N56" s="198"/>
      <c r="P56" s="200"/>
      <c r="Q56" s="189"/>
    </row>
    <row r="57" spans="2:17" x14ac:dyDescent="0.2">
      <c r="B57" s="193" t="str">
        <f>NeoGuiInfB!D57</f>
        <v>NICU-mix</v>
      </c>
      <c r="C57" s="195"/>
      <c r="D57" s="195"/>
      <c r="E57" s="192"/>
      <c r="F57" s="196"/>
      <c r="G57" s="197"/>
      <c r="H57" s="198"/>
      <c r="I57" s="196" t="str">
        <f>NeoGuiInfB!I57</f>
        <v/>
      </c>
      <c r="J57" s="197"/>
      <c r="K57" s="198"/>
      <c r="L57" s="196"/>
      <c r="M57" s="197"/>
      <c r="N57" s="198"/>
      <c r="P57" s="199"/>
      <c r="Q57" s="181"/>
    </row>
    <row r="58" spans="2:17" x14ac:dyDescent="0.2">
      <c r="B58" s="193" t="str">
        <f>NeoGuiInfB!D58</f>
        <v>Samenstelling B</v>
      </c>
      <c r="C58" s="195"/>
      <c r="D58" s="195"/>
      <c r="E58" s="192"/>
      <c r="F58" s="196"/>
      <c r="G58" s="197"/>
      <c r="H58" s="198"/>
      <c r="I58" s="196"/>
      <c r="J58" s="197"/>
      <c r="K58" s="198"/>
      <c r="L58" s="196" t="str">
        <f>NeoGuiInfB!K58</f>
        <v/>
      </c>
      <c r="M58" s="197"/>
      <c r="N58" s="198"/>
      <c r="P58" s="200"/>
      <c r="Q58" s="189"/>
    </row>
    <row r="59" spans="2:17" x14ac:dyDescent="0.2">
      <c r="B59" s="193">
        <f>INDEX(Tbl_Neo_OplVlst,NeoGuiInfB!F42+1,1)</f>
        <v>0</v>
      </c>
      <c r="C59" s="195"/>
      <c r="D59" s="195"/>
      <c r="E59" s="192"/>
      <c r="F59" s="196" t="str">
        <f>NeoGuiInfB!G59&amp;" "&amp;NeoGuiInfB!H59</f>
        <v>0 ml</v>
      </c>
      <c r="G59" s="197"/>
      <c r="H59" s="198"/>
      <c r="I59" s="196" t="str">
        <f>NeoGuiInfB!I59&amp;" "&amp;NeoGuiInfB!J59</f>
        <v xml:space="preserve"> </v>
      </c>
      <c r="J59" s="197"/>
      <c r="K59" s="198"/>
      <c r="L59" s="196" t="str">
        <f>NeoGuiInfB!K59&amp;" "&amp;NeoGuiInfB!L59</f>
        <v xml:space="preserve"> </v>
      </c>
      <c r="M59" s="197"/>
      <c r="N59" s="198"/>
      <c r="P59" s="201"/>
      <c r="Q59" s="202"/>
    </row>
    <row r="60" spans="2:17" ht="18.75" customHeight="1" x14ac:dyDescent="0.2">
      <c r="B60" s="157" t="str">
        <f>NeoGuiInfB!I15</f>
        <v>Fototherapie</v>
      </c>
      <c r="E60" s="160" t="str">
        <f>IF(NeoGuiInfB!I12=1,"ja","nee")</f>
        <v>nee</v>
      </c>
      <c r="P60" s="162"/>
      <c r="Q60" s="162"/>
    </row>
    <row r="61" spans="2:17" x14ac:dyDescent="0.2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</row>
    <row r="62" spans="2:17" x14ac:dyDescent="0.2">
      <c r="B62" s="164" t="str">
        <f>NeoGuiInfB!D2</f>
        <v>Intake</v>
      </c>
      <c r="C62" s="164"/>
      <c r="D62" s="164" t="str">
        <f>NeoGuiInfB!E2</f>
        <v>Intraveneus</v>
      </c>
      <c r="E62" s="164"/>
      <c r="F62" s="164" t="str">
        <f>NeoGuiInfB!F2</f>
        <v>Oraal</v>
      </c>
      <c r="G62" s="164"/>
      <c r="H62" s="164" t="str">
        <f>NeoGuiInfB!G2</f>
        <v>Totaal</v>
      </c>
      <c r="I62" s="164"/>
      <c r="J62" s="164"/>
      <c r="K62" s="164" t="s">
        <v>348</v>
      </c>
      <c r="L62" s="164"/>
      <c r="M62" s="164" t="str">
        <f>NeoGuiInfB!J2</f>
        <v>Intraveneus</v>
      </c>
      <c r="N62" s="164"/>
      <c r="O62" s="164" t="str">
        <f>NeoGuiInfB!K2</f>
        <v>Oraal</v>
      </c>
      <c r="P62" s="164"/>
      <c r="Q62" s="164" t="str">
        <f>NeoGuiInfB!L2</f>
        <v>Totaal</v>
      </c>
    </row>
    <row r="63" spans="2:17" x14ac:dyDescent="0.2">
      <c r="B63" s="308" t="str">
        <f>NeoGuiInfB!D3</f>
        <v>Volume</v>
      </c>
      <c r="D63" s="642" t="str">
        <f ca="1">NeoGuiInfB!E3</f>
        <v>50 ml/kg</v>
      </c>
      <c r="E63" s="203"/>
      <c r="F63" s="203" t="str">
        <f>NeoGuiInfB!F3</f>
        <v>0 ml/kg</v>
      </c>
      <c r="H63" s="203" t="str">
        <f ca="1">NeoGuiInfB!G3</f>
        <v>50 ml/kg  = 50 ml</v>
      </c>
      <c r="K63" s="154" t="str">
        <f>NeoGuiInfB!I3</f>
        <v>Natrium</v>
      </c>
      <c r="M63" s="203" t="str">
        <f ca="1">NeoGuiInfB!J3</f>
        <v>6 mmol/kg</v>
      </c>
      <c r="N63" s="203"/>
      <c r="O63" s="203" t="str">
        <f>NeoGuiInfB!K3</f>
        <v>0 mmol/kg</v>
      </c>
      <c r="Q63" s="203" t="str">
        <f ca="1">NeoGuiInfB!L3</f>
        <v>6 mmol/kg</v>
      </c>
    </row>
    <row r="64" spans="2:17" x14ac:dyDescent="0.2">
      <c r="B64" s="154" t="str">
        <f>NeoGuiInfB!D4</f>
        <v>Eiwit</v>
      </c>
      <c r="D64" s="203" t="str">
        <f ca="1">NeoGuiInfB!E4</f>
        <v>0 g/kg</v>
      </c>
      <c r="E64" s="203"/>
      <c r="F64" s="203" t="str">
        <f>NeoGuiInfB!F4</f>
        <v>0 g/kg</v>
      </c>
      <c r="H64" s="203" t="str">
        <f ca="1">NeoGuiInfB!G4</f>
        <v>0 g/kg</v>
      </c>
      <c r="K64" s="154" t="str">
        <f>NeoGuiInfB!I4</f>
        <v>Kalium</v>
      </c>
      <c r="M64" s="203" t="str">
        <f ca="1">NeoGuiInfB!J4</f>
        <v>0 mmol/kg</v>
      </c>
      <c r="N64" s="203"/>
      <c r="O64" s="203" t="str">
        <f>NeoGuiInfB!K4</f>
        <v>0 mmol/kg</v>
      </c>
      <c r="Q64" s="203" t="str">
        <f ca="1">NeoGuiInfB!L4</f>
        <v>0 mmol/kg</v>
      </c>
    </row>
    <row r="65" spans="2:17" x14ac:dyDescent="0.2">
      <c r="B65" s="308" t="str">
        <f>NeoGuiInfB!D5</f>
        <v>Vet</v>
      </c>
      <c r="D65" s="203" t="str">
        <f ca="1">NeoGuiInfB!E5</f>
        <v>0 g/kg</v>
      </c>
      <c r="E65" s="203"/>
      <c r="F65" s="203" t="str">
        <f>NeoGuiInfB!F5</f>
        <v>0 g/kg</v>
      </c>
      <c r="H65" s="203" t="str">
        <f ca="1">NeoGuiInfB!G5</f>
        <v>0 g/kg</v>
      </c>
      <c r="K65" s="154" t="str">
        <f>NeoGuiInfB!I5</f>
        <v>Calcium</v>
      </c>
      <c r="M65" s="203" t="str">
        <f ca="1">NeoGuiInfB!J5</f>
        <v>0 mmol/kg</v>
      </c>
      <c r="N65" s="203"/>
      <c r="O65" s="203" t="str">
        <f>NeoGuiInfB!K5</f>
        <v>0 mmol/kg</v>
      </c>
      <c r="Q65" s="203" t="str">
        <f ca="1">NeoGuiInfB!L5</f>
        <v>0 mmol/kg</v>
      </c>
    </row>
    <row r="66" spans="2:17" x14ac:dyDescent="0.2">
      <c r="B66" s="304" t="str">
        <f>NeoGuiInfB!D6</f>
        <v>Glucose</v>
      </c>
      <c r="D66" s="203" t="str">
        <f ca="1">NeoGuiInfB!E6</f>
        <v>0 mg/kg/min</v>
      </c>
      <c r="E66" s="203"/>
      <c r="F66" s="203" t="str">
        <f>NeoGuiInfB!F6</f>
        <v>0 mg/kg/min</v>
      </c>
      <c r="H66" s="203" t="str">
        <f ca="1">NeoGuiInfB!G6</f>
        <v>0 mg/kg/min</v>
      </c>
      <c r="K66" s="154" t="str">
        <f>NeoGuiInfB!I6</f>
        <v>Magnesium</v>
      </c>
      <c r="M66" s="203" t="str">
        <f ca="1">NeoGuiInfB!J6</f>
        <v>0 mmol/kg</v>
      </c>
      <c r="N66" s="203"/>
      <c r="O66" s="203" t="str">
        <f>NeoGuiInfB!K6</f>
        <v>0 mmol/kg</v>
      </c>
      <c r="Q66" s="203" t="str">
        <f ca="1">NeoGuiInfB!L6</f>
        <v>0 mmol/kg</v>
      </c>
    </row>
    <row r="67" spans="2:17" x14ac:dyDescent="0.2">
      <c r="B67" s="154" t="str">
        <f>NeoGuiInfB!D7</f>
        <v>Energie</v>
      </c>
      <c r="D67" s="203" t="str">
        <f ca="1">NeoGuiInfB!E7</f>
        <v>0 kcal/kg</v>
      </c>
      <c r="E67" s="203"/>
      <c r="F67" s="203" t="str">
        <f>NeoGuiInfB!F7</f>
        <v>0 kcal/kg</v>
      </c>
      <c r="H67" s="203" t="str">
        <f ca="1">NeoGuiInfB!G7</f>
        <v>0 kcal/kg</v>
      </c>
      <c r="K67" s="154" t="str">
        <f>NeoGuiInfB!N3</f>
        <v>Chloor</v>
      </c>
      <c r="M67" s="203" t="str">
        <f ca="1">NeoGuiInfB!O3</f>
        <v>6 mmol/kg</v>
      </c>
      <c r="N67" s="203"/>
      <c r="O67" s="203" t="str">
        <f>NeoGuiInfB!P3</f>
        <v>0 mmol/kg</v>
      </c>
      <c r="Q67" s="203" t="str">
        <f ca="1">NeoGuiInfB!Q3</f>
        <v>6 mmol/kg</v>
      </c>
    </row>
    <row r="68" spans="2:17" x14ac:dyDescent="0.2">
      <c r="B68" s="154" t="str">
        <f>NeoGuiInfB!N5</f>
        <v>Vit D</v>
      </c>
      <c r="D68" s="203" t="str">
        <f ca="1">NeoGuiInfB!O5</f>
        <v>0 IE</v>
      </c>
      <c r="E68" s="203"/>
      <c r="F68" s="203" t="str">
        <f>NeoGuiInfB!P5</f>
        <v>0 IE</v>
      </c>
      <c r="H68" s="203" t="str">
        <f ca="1">NeoGuiInfB!Q5</f>
        <v>0 IE</v>
      </c>
      <c r="K68" s="154" t="str">
        <f>NeoGuiInfB!N4</f>
        <v>Fosfaat</v>
      </c>
      <c r="M68" s="203" t="str">
        <f ca="1">NeoGuiInfB!O4</f>
        <v>0 mmol/kg</v>
      </c>
      <c r="N68" s="203"/>
      <c r="O68" s="203" t="str">
        <f>NeoGuiInfB!P4</f>
        <v>0 mmol/kg</v>
      </c>
      <c r="Q68" s="203" t="str">
        <f ca="1">NeoGuiInfB!Q4</f>
        <v>0 mmol/kg</v>
      </c>
    </row>
    <row r="70" spans="2:17" x14ac:dyDescent="0.2">
      <c r="B70" s="915" t="s">
        <v>115</v>
      </c>
      <c r="C70" s="915"/>
      <c r="D70" s="915"/>
      <c r="E70" s="915"/>
      <c r="F70" s="915"/>
      <c r="G70" s="915"/>
      <c r="H70" s="915"/>
      <c r="I70" s="915"/>
      <c r="J70" s="915"/>
      <c r="K70" s="915"/>
      <c r="L70" s="915"/>
      <c r="M70" s="915"/>
      <c r="N70" s="915"/>
      <c r="O70" s="915"/>
      <c r="P70" s="915"/>
      <c r="Q70" s="915"/>
    </row>
    <row r="71" spans="2:17" x14ac:dyDescent="0.2">
      <c r="B71" s="154" t="s">
        <v>371</v>
      </c>
      <c r="D71" s="1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2"/>
      <c r="Q71" s="162"/>
    </row>
    <row r="72" spans="2:17" x14ac:dyDescent="0.2">
      <c r="B72" s="154" t="s">
        <v>679</v>
      </c>
      <c r="D72" s="1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2"/>
      <c r="Q72" s="162"/>
    </row>
    <row r="73" spans="2:17" x14ac:dyDescent="0.2">
      <c r="B73" s="154" t="s">
        <v>680</v>
      </c>
      <c r="D73" s="1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2"/>
      <c r="Q73" s="162"/>
    </row>
    <row r="74" spans="2:17" x14ac:dyDescent="0.2">
      <c r="B74" s="154" t="s">
        <v>681</v>
      </c>
      <c r="D74" s="1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2"/>
      <c r="Q74" s="162"/>
    </row>
    <row r="75" spans="2:17" x14ac:dyDescent="0.2">
      <c r="B75" s="154" t="s">
        <v>146</v>
      </c>
      <c r="D75" s="1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2"/>
      <c r="Q75" s="162"/>
    </row>
    <row r="76" spans="2:17" x14ac:dyDescent="0.2">
      <c r="B76" s="154" t="s">
        <v>682</v>
      </c>
      <c r="D76" s="1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2"/>
      <c r="Q76" s="162"/>
    </row>
    <row r="77" spans="2:17" x14ac:dyDescent="0.2">
      <c r="B77" s="154" t="s">
        <v>686</v>
      </c>
      <c r="D77" s="1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2"/>
      <c r="Q77" s="162"/>
    </row>
    <row r="78" spans="2:17" x14ac:dyDescent="0.2">
      <c r="B78" s="154" t="s">
        <v>285</v>
      </c>
      <c r="D78" s="154" t="str">
        <f>IF(_Neo_Lab_Opm=0,"",_Neo_Lab_Opm)</f>
        <v/>
      </c>
      <c r="P78" s="162"/>
      <c r="Q78" s="162"/>
    </row>
    <row r="79" spans="2:17" x14ac:dyDescent="0.2">
      <c r="P79" s="162"/>
      <c r="Q79" s="162"/>
    </row>
    <row r="80" spans="2:17" x14ac:dyDescent="0.2">
      <c r="P80" s="162"/>
      <c r="Q80" s="162"/>
    </row>
    <row r="81" spans="2:17" x14ac:dyDescent="0.2">
      <c r="B81" s="915" t="s">
        <v>68</v>
      </c>
      <c r="C81" s="915"/>
      <c r="D81" s="915"/>
      <c r="E81" s="915"/>
      <c r="F81" s="915"/>
      <c r="G81" s="915"/>
      <c r="H81" s="915"/>
      <c r="I81" s="915"/>
      <c r="J81" s="915"/>
      <c r="K81" s="915"/>
      <c r="L81" s="915"/>
      <c r="M81" s="915"/>
      <c r="N81" s="915"/>
      <c r="O81" s="915"/>
      <c r="P81" s="915"/>
      <c r="Q81" s="915"/>
    </row>
    <row r="82" spans="2:17" x14ac:dyDescent="0.2">
      <c r="B82" s="154" t="s">
        <v>688</v>
      </c>
      <c r="D82" s="154" t="str">
        <f>IFERROR(LEFT(Var_Neo_AfsprControles,LEN(Var_Neo_AfsprControles)-3),"")</f>
        <v/>
      </c>
      <c r="P82" s="162"/>
      <c r="Q82" s="162"/>
    </row>
    <row r="83" spans="2:17" x14ac:dyDescent="0.2">
      <c r="B83" s="154" t="s">
        <v>694</v>
      </c>
      <c r="D83" s="154" t="str">
        <f>IFERROR(LEFT(Var_Neo_AfsprOnderzoek,LEN(Var_Neo_AfsprOnderzoek)-3),"")</f>
        <v/>
      </c>
      <c r="P83" s="162"/>
      <c r="Q83" s="162"/>
    </row>
    <row r="84" spans="2:17" x14ac:dyDescent="0.2">
      <c r="B84" s="154" t="s">
        <v>627</v>
      </c>
      <c r="D84" s="154" t="str">
        <f>IFERROR(LEFT(Var_Neo_AfsprKweken,LEN(Var_Neo_AfsprKweken)-3),"")</f>
        <v/>
      </c>
      <c r="P84" s="162"/>
      <c r="Q84" s="162"/>
    </row>
    <row r="85" spans="2:17" x14ac:dyDescent="0.2">
      <c r="B85" s="154" t="s">
        <v>892</v>
      </c>
      <c r="D85" s="154" t="str">
        <f>IFERROR(LEFT(Var_Neo_AfsprInstellingen,LEN(Var_Neo_AfsprInstellingen)-3),"")</f>
        <v/>
      </c>
      <c r="P85" s="162"/>
      <c r="Q85" s="162"/>
    </row>
    <row r="86" spans="2:17" x14ac:dyDescent="0.2">
      <c r="B86" s="154" t="s">
        <v>673</v>
      </c>
      <c r="D86" s="154" t="str">
        <f>IFERROR(LEFT(Var_Neo_AfsprOverig,LEN(Var_Neo_AfsprOverig)-3),"")</f>
        <v/>
      </c>
      <c r="P86" s="162"/>
      <c r="Q86" s="162"/>
    </row>
    <row r="87" spans="2:17" x14ac:dyDescent="0.2">
      <c r="P87" s="162"/>
      <c r="Q87" s="162"/>
    </row>
    <row r="88" spans="2:17" x14ac:dyDescent="0.2">
      <c r="P88" s="162"/>
      <c r="Q88" s="162"/>
    </row>
    <row r="89" spans="2:17" x14ac:dyDescent="0.2">
      <c r="P89" s="162"/>
      <c r="Q89" s="162"/>
    </row>
    <row r="90" spans="2:17" x14ac:dyDescent="0.2">
      <c r="P90" s="162"/>
      <c r="Q90" s="162"/>
    </row>
    <row r="91" spans="2:17" x14ac:dyDescent="0.2">
      <c r="P91" s="162"/>
      <c r="Q91" s="162"/>
    </row>
    <row r="92" spans="2:17" x14ac:dyDescent="0.2">
      <c r="P92" s="162"/>
      <c r="Q92" s="162"/>
    </row>
    <row r="93" spans="2:17" x14ac:dyDescent="0.2">
      <c r="P93" s="162"/>
      <c r="Q93" s="162"/>
    </row>
    <row r="94" spans="2:17" x14ac:dyDescent="0.2">
      <c r="P94" s="162"/>
      <c r="Q94" s="162"/>
    </row>
    <row r="95" spans="2:17" x14ac:dyDescent="0.2">
      <c r="P95" s="162"/>
      <c r="Q95" s="162"/>
    </row>
    <row r="96" spans="2:17" x14ac:dyDescent="0.2">
      <c r="P96" s="162"/>
      <c r="Q96" s="162"/>
    </row>
    <row r="97" spans="16:17" x14ac:dyDescent="0.2">
      <c r="P97" s="162"/>
      <c r="Q97" s="162"/>
    </row>
    <row r="98" spans="16:17" x14ac:dyDescent="0.2">
      <c r="P98" s="162"/>
      <c r="Q98" s="162"/>
    </row>
    <row r="99" spans="16:17" x14ac:dyDescent="0.2">
      <c r="P99" s="162"/>
      <c r="Q99" s="162"/>
    </row>
    <row r="100" spans="16:17" x14ac:dyDescent="0.2">
      <c r="P100" s="162"/>
      <c r="Q100" s="162"/>
    </row>
    <row r="101" spans="16:17" x14ac:dyDescent="0.2">
      <c r="P101" s="162"/>
      <c r="Q101" s="162"/>
    </row>
    <row r="102" spans="16:17" x14ac:dyDescent="0.2">
      <c r="P102" s="162"/>
      <c r="Q102" s="162"/>
    </row>
    <row r="103" spans="16:17" x14ac:dyDescent="0.2">
      <c r="P103" s="162"/>
      <c r="Q103" s="162"/>
    </row>
    <row r="104" spans="16:17" x14ac:dyDescent="0.2">
      <c r="P104" s="162"/>
      <c r="Q104" s="162"/>
    </row>
    <row r="105" spans="16:17" x14ac:dyDescent="0.2">
      <c r="P105" s="162"/>
      <c r="Q105" s="162"/>
    </row>
    <row r="106" spans="16:17" x14ac:dyDescent="0.2">
      <c r="P106" s="162"/>
      <c r="Q106" s="162"/>
    </row>
    <row r="107" spans="16:17" x14ac:dyDescent="0.2">
      <c r="P107" s="162"/>
      <c r="Q107" s="162"/>
    </row>
    <row r="108" spans="16:17" x14ac:dyDescent="0.2">
      <c r="P108" s="162"/>
      <c r="Q108" s="162"/>
    </row>
    <row r="109" spans="16:17" x14ac:dyDescent="0.2">
      <c r="P109" s="162"/>
      <c r="Q109" s="162"/>
    </row>
    <row r="110" spans="16:17" x14ac:dyDescent="0.2">
      <c r="P110" s="162"/>
      <c r="Q110" s="162"/>
    </row>
    <row r="111" spans="16:17" x14ac:dyDescent="0.2">
      <c r="P111" s="162"/>
      <c r="Q111" s="162"/>
    </row>
    <row r="112" spans="16:17" x14ac:dyDescent="0.2">
      <c r="P112" s="162"/>
      <c r="Q112" s="162"/>
    </row>
    <row r="113" spans="16:17" x14ac:dyDescent="0.2">
      <c r="P113" s="162"/>
      <c r="Q113" s="162"/>
    </row>
    <row r="114" spans="16:17" x14ac:dyDescent="0.2">
      <c r="P114" s="162"/>
      <c r="Q114" s="162"/>
    </row>
    <row r="115" spans="16:17" x14ac:dyDescent="0.2">
      <c r="P115" s="162"/>
      <c r="Q115" s="162"/>
    </row>
    <row r="116" spans="16:17" x14ac:dyDescent="0.2">
      <c r="P116" s="162"/>
      <c r="Q116" s="162"/>
    </row>
    <row r="117" spans="16:17" x14ac:dyDescent="0.2">
      <c r="P117" s="162"/>
      <c r="Q117" s="162"/>
    </row>
    <row r="118" spans="16:17" x14ac:dyDescent="0.2">
      <c r="P118" s="162"/>
      <c r="Q118" s="162"/>
    </row>
    <row r="119" spans="16:17" x14ac:dyDescent="0.2">
      <c r="P119" s="162"/>
      <c r="Q119" s="162"/>
    </row>
    <row r="120" spans="16:17" x14ac:dyDescent="0.2">
      <c r="P120" s="162"/>
      <c r="Q120" s="162"/>
    </row>
    <row r="121" spans="16:17" x14ac:dyDescent="0.2">
      <c r="P121" s="162"/>
      <c r="Q121" s="162"/>
    </row>
    <row r="122" spans="16:17" x14ac:dyDescent="0.2">
      <c r="P122" s="162"/>
      <c r="Q122" s="162"/>
    </row>
    <row r="123" spans="16:17" x14ac:dyDescent="0.2">
      <c r="P123" s="162"/>
      <c r="Q123" s="162"/>
    </row>
    <row r="124" spans="16:17" x14ac:dyDescent="0.2">
      <c r="P124" s="162"/>
      <c r="Q124" s="162"/>
    </row>
    <row r="125" spans="16:17" x14ac:dyDescent="0.2">
      <c r="P125" s="162"/>
      <c r="Q125" s="162"/>
    </row>
    <row r="126" spans="16:17" x14ac:dyDescent="0.2">
      <c r="P126" s="162"/>
      <c r="Q126" s="162"/>
    </row>
    <row r="127" spans="16:17" x14ac:dyDescent="0.2">
      <c r="P127" s="162"/>
      <c r="Q127" s="162"/>
    </row>
    <row r="128" spans="16:17" x14ac:dyDescent="0.2">
      <c r="P128" s="162"/>
      <c r="Q128" s="162"/>
    </row>
    <row r="129" spans="16:17" x14ac:dyDescent="0.2">
      <c r="P129" s="162"/>
      <c r="Q129" s="162"/>
    </row>
    <row r="130" spans="16:17" x14ac:dyDescent="0.2">
      <c r="P130" s="162"/>
      <c r="Q130" s="162"/>
    </row>
    <row r="131" spans="16:17" x14ac:dyDescent="0.2">
      <c r="P131" s="162"/>
      <c r="Q131" s="162"/>
    </row>
    <row r="132" spans="16:17" x14ac:dyDescent="0.2">
      <c r="P132" s="162"/>
      <c r="Q132" s="162"/>
    </row>
    <row r="133" spans="16:17" x14ac:dyDescent="0.2">
      <c r="P133" s="162"/>
      <c r="Q133" s="162"/>
    </row>
    <row r="134" spans="16:17" x14ac:dyDescent="0.2">
      <c r="P134" s="162"/>
      <c r="Q134" s="162"/>
    </row>
    <row r="135" spans="16:17" x14ac:dyDescent="0.2">
      <c r="P135" s="162"/>
      <c r="Q135" s="162"/>
    </row>
    <row r="136" spans="16:17" x14ac:dyDescent="0.2">
      <c r="P136" s="162"/>
      <c r="Q136" s="162"/>
    </row>
    <row r="137" spans="16:17" x14ac:dyDescent="0.2">
      <c r="P137" s="162"/>
      <c r="Q137" s="162"/>
    </row>
    <row r="138" spans="16:17" x14ac:dyDescent="0.2">
      <c r="P138" s="162"/>
      <c r="Q138" s="162"/>
    </row>
    <row r="139" spans="16:17" x14ac:dyDescent="0.2">
      <c r="P139" s="162"/>
      <c r="Q139" s="162"/>
    </row>
    <row r="140" spans="16:17" x14ac:dyDescent="0.2">
      <c r="P140" s="162"/>
      <c r="Q140" s="162"/>
    </row>
    <row r="141" spans="16:17" x14ac:dyDescent="0.2">
      <c r="P141" s="162"/>
      <c r="Q141" s="162"/>
    </row>
    <row r="142" spans="16:17" x14ac:dyDescent="0.2">
      <c r="P142" s="162"/>
      <c r="Q142" s="162"/>
    </row>
    <row r="143" spans="16:17" x14ac:dyDescent="0.2">
      <c r="P143" s="162"/>
      <c r="Q143" s="162"/>
    </row>
    <row r="144" spans="16:17" x14ac:dyDescent="0.2">
      <c r="P144" s="162"/>
      <c r="Q144" s="162"/>
    </row>
    <row r="145" spans="16:17" x14ac:dyDescent="0.2">
      <c r="P145" s="162"/>
      <c r="Q145" s="162"/>
    </row>
    <row r="146" spans="16:17" x14ac:dyDescent="0.2">
      <c r="P146" s="162"/>
      <c r="Q146" s="162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I5" sqref="I5"/>
    </sheetView>
  </sheetViews>
  <sheetFormatPr defaultColWidth="9.140625" defaultRowHeight="12.75" x14ac:dyDescent="0.2"/>
  <cols>
    <col min="1" max="13" width="5.7109375" style="154" customWidth="1"/>
    <col min="14" max="15" width="11.28515625" style="154" bestFit="1" customWidth="1"/>
    <col min="16" max="17" width="5.7109375" style="154" customWidth="1"/>
    <col min="18" max="16384" width="9.140625" style="154"/>
  </cols>
  <sheetData>
    <row r="1" spans="1:20" x14ac:dyDescent="0.2">
      <c r="A1" s="350"/>
      <c r="B1" s="154" t="s">
        <v>525</v>
      </c>
      <c r="H1" s="154" t="s">
        <v>505</v>
      </c>
      <c r="J1" s="923">
        <f ca="1">TODAY()</f>
        <v>42755</v>
      </c>
      <c r="K1" s="923"/>
      <c r="L1" s="923"/>
      <c r="M1" s="154" t="s">
        <v>490</v>
      </c>
      <c r="N1" s="176">
        <f>__1_Bed</f>
        <v>0</v>
      </c>
    </row>
    <row r="2" spans="1:20" x14ac:dyDescent="0.2">
      <c r="B2" s="154" t="s">
        <v>504</v>
      </c>
      <c r="D2" s="160" t="str">
        <f>__3_VoorNaam&amp;" "&amp;__2_AchterNaam</f>
        <v xml:space="preserve"> </v>
      </c>
      <c r="H2" s="154" t="s">
        <v>508</v>
      </c>
      <c r="J2" s="160" t="e">
        <f>IF(Var_Neo_InfB_Arts&gt;0,Var_Neo_InfB_Arts,"")</f>
        <v>#NAME?</v>
      </c>
      <c r="M2" s="154" t="s">
        <v>506</v>
      </c>
      <c r="N2" s="924">
        <f ca="1">NOW()</f>
        <v>42755.55840277778</v>
      </c>
      <c r="O2" s="924"/>
    </row>
    <row r="3" spans="1:20" x14ac:dyDescent="0.2">
      <c r="B3" s="154" t="s">
        <v>507</v>
      </c>
      <c r="D3" s="160">
        <f>(_Pat_Gewicht/10)</f>
        <v>1</v>
      </c>
      <c r="E3" s="154" t="s">
        <v>601</v>
      </c>
      <c r="J3" s="162"/>
      <c r="K3" s="162"/>
      <c r="L3" s="162"/>
      <c r="M3" s="154" t="s">
        <v>526</v>
      </c>
    </row>
    <row r="4" spans="1:20" ht="9" customHeight="1" x14ac:dyDescent="0.2">
      <c r="H4" s="162"/>
      <c r="I4" s="162"/>
      <c r="J4" s="162"/>
      <c r="K4" s="162"/>
    </row>
    <row r="5" spans="1:20" ht="15.75" x14ac:dyDescent="0.25">
      <c r="A5" s="253">
        <v>1</v>
      </c>
      <c r="B5" s="254">
        <f>IF(NeoPrtWerkbr!C26&lt;&gt;"zijlijn",NeoPrtWerkbr!A26,"")</f>
        <v>1.6</v>
      </c>
      <c r="C5" s="254"/>
      <c r="D5" s="255" t="str">
        <f>NeoPrtWerkbr!C26</f>
        <v>clonidine</v>
      </c>
      <c r="E5" s="256"/>
      <c r="F5" s="257">
        <f>IF(NeoPrtWerkbr!E26&lt;&gt;"",IF(D5&lt;&gt;"lidocaine",IF(NeoPrtWerkbr!M28&lt;25,NeoPrtWerkbr!E26*2,NeoPrtWerkbr!E26),NeoPrtWerkbr!E26*1.5),"")</f>
        <v>0.02</v>
      </c>
      <c r="G5" s="256" t="str">
        <f>NeoPrtWerkbr!F26</f>
        <v>mg</v>
      </c>
      <c r="H5" s="258" t="str">
        <f>NeoPrtWerkbr!G26</f>
        <v>(</v>
      </c>
      <c r="I5" s="256">
        <f>NeoPrtWerkbr!H26</f>
        <v>0.15</v>
      </c>
      <c r="J5" s="256" t="str">
        <f>NeoPrtWerkbr!I26</f>
        <v xml:space="preserve">mg = </v>
      </c>
      <c r="K5" s="256">
        <f>NeoPrtWerkbr!J26</f>
        <v>1</v>
      </c>
      <c r="L5" s="256" t="str">
        <f>NeoPrtWerkbr!K26</f>
        <v>ml)</v>
      </c>
      <c r="M5" s="256"/>
      <c r="N5" s="259">
        <f>IF(B5&lt;&gt;"",IF(B5&gt;0,TRUNC((K5/I5)*F5),0),"")</f>
        <v>0</v>
      </c>
      <c r="O5" s="260">
        <f>IF(B5&lt;&gt;"",(ROUND((K5/I5)*F5,2)-N5)*100,"")</f>
        <v>13</v>
      </c>
      <c r="P5" s="162"/>
      <c r="Q5" s="162"/>
      <c r="R5" s="162"/>
    </row>
    <row r="6" spans="1:20" ht="15.75" x14ac:dyDescent="0.25">
      <c r="A6" s="371"/>
      <c r="B6" s="254"/>
      <c r="C6" s="254"/>
      <c r="D6" s="261" t="str">
        <f>NeoPrtWerkbr!C28</f>
        <v>1,6 ml/uur</v>
      </c>
      <c r="E6" s="262"/>
      <c r="F6" s="262" t="str">
        <f>NeoPrtWerkbr!E28</f>
        <v xml:space="preserve"> = 1,33 microg/kg/uur</v>
      </c>
      <c r="G6" s="262"/>
      <c r="H6" s="263"/>
      <c r="I6" s="262"/>
      <c r="J6" s="262" t="str">
        <f>NeoPrtWerkbr!I27</f>
        <v>in</v>
      </c>
      <c r="K6" s="264" t="str">
        <f>IF(AND(D5&lt;&gt;"Nepresol (dihydralazine)",D5&lt;&gt;"Flolan (epoprostenol)"),NeoPrtWerkbr!J27,"NaCl 0,9%")</f>
        <v>NaCl 0,9%</v>
      </c>
      <c r="L6" s="262"/>
      <c r="M6" s="262"/>
      <c r="N6" s="265">
        <f>IF(B5&lt;&gt;"",TRUNC(N7+O7/100-N5-O5/100),"")</f>
        <v>0</v>
      </c>
      <c r="O6" s="266">
        <f>IF(B5&lt;&gt;"",(N7+O7/100-N5-O5/100-N6)*100,"")</f>
        <v>-13</v>
      </c>
      <c r="P6" s="162"/>
      <c r="Q6" s="162"/>
      <c r="R6" s="162"/>
    </row>
    <row r="7" spans="1:20" ht="15.75" x14ac:dyDescent="0.25">
      <c r="A7" s="253"/>
      <c r="B7" s="254"/>
      <c r="C7" s="254"/>
      <c r="D7" s="267" t="s">
        <v>527</v>
      </c>
      <c r="E7" s="268"/>
      <c r="F7" s="269" t="str">
        <f>IF(D5&lt;&gt;"",INDEX(Tbl_Neo_MedIV,NeoBerInfB!B23,2),"")</f>
        <v>mg</v>
      </c>
      <c r="G7" s="268"/>
      <c r="H7" s="268"/>
      <c r="I7" s="270"/>
      <c r="J7" s="270"/>
      <c r="K7" s="271" t="str">
        <f>NeoPrtWerkbr!J28</f>
        <v>Totaal</v>
      </c>
      <c r="L7" s="270"/>
      <c r="M7" s="270"/>
      <c r="N7" s="272">
        <f>IF(B5&lt;&gt;"",IF(D5&lt;&gt;"lidocaine",IF(_Neo_1700_Cont_OplHoev_01&lt;25,2*TRUNC(_Neo_1700_Cont_OplHoev_01),TRUNC(_Neo_1700_Cont_OplHoev_01)),TRUNC(_Neo_1700_Cont_OplHoev_01*1.5)),"")</f>
        <v>0</v>
      </c>
      <c r="O7" s="273">
        <f>IF(B5&lt;&gt;"",IF(D5&lt;&gt;"lidocaine",IF(_Neo_1700_Cont_OplHoev_01&lt;25,(2*_Neo_1700_Cont_OplHoev_01-N7)*100,(_Neo_1700_Cont_OplHoev_01-N7)*100),1.5*_Neo_1700_Cont_OplHoev_01-N7),"")</f>
        <v>0</v>
      </c>
      <c r="P7" s="162"/>
      <c r="Q7" s="162"/>
      <c r="R7" s="162"/>
    </row>
    <row r="8" spans="1:20" ht="9.9499999999999993" customHeight="1" x14ac:dyDescent="0.25">
      <c r="A8" s="253"/>
      <c r="B8" s="227"/>
      <c r="C8" s="227"/>
      <c r="D8" s="211"/>
      <c r="E8" s="211"/>
      <c r="F8" s="274"/>
      <c r="G8" s="211"/>
      <c r="H8" s="211"/>
      <c r="I8" s="211"/>
      <c r="J8" s="211"/>
      <c r="K8" s="212"/>
      <c r="L8" s="211"/>
      <c r="M8" s="211"/>
      <c r="N8" s="275"/>
      <c r="O8" s="276"/>
      <c r="P8" s="162"/>
      <c r="Q8" s="162"/>
      <c r="R8" s="162"/>
    </row>
    <row r="9" spans="1:20" ht="15.75" x14ac:dyDescent="0.25">
      <c r="A9" s="253">
        <v>2</v>
      </c>
      <c r="B9" s="277">
        <f>IF(NeoPrtWerkbr!C29&lt;&gt;"zijlijn",NeoPrtWerkbr!A29,"")</f>
        <v>0.5</v>
      </c>
      <c r="C9" s="277"/>
      <c r="D9" s="190" t="str">
        <f>NeoPrtWerkbr!C29</f>
        <v>Epi bupi 2,5 mg, sufenta 1 mcg /ml</v>
      </c>
      <c r="E9" s="191"/>
      <c r="F9" s="278">
        <f>IF(NeoPrtWerkbr!E29&lt;&gt;"",IF(D9&lt;&gt;"lidocaine",IF(NeoPrtWerkbr!M31&lt;25,NeoPrtWerkbr!E29*2,NeoPrtWerkbr!E29),NeoPrtWerkbr!E29*1.5),"")</f>
        <v>60</v>
      </c>
      <c r="G9" s="191" t="str">
        <f>NeoPrtWerkbr!F29</f>
        <v>mg</v>
      </c>
      <c r="H9" s="279" t="str">
        <f>NeoPrtWerkbr!G29</f>
        <v>(</v>
      </c>
      <c r="I9" s="191" t="str">
        <f>NeoPrtWerkbr!H29</f>
        <v>ml/uur</v>
      </c>
      <c r="J9" s="191" t="str">
        <f>NeoPrtWerkbr!I29</f>
        <v>mg=</v>
      </c>
      <c r="K9" s="191">
        <f>NeoPrtWerkbr!J29</f>
        <v>2.5</v>
      </c>
      <c r="L9" s="191" t="str">
        <f>NeoPrtWerkbr!K29</f>
        <v>ml)</v>
      </c>
      <c r="M9" s="191"/>
      <c r="N9" s="280" t="e">
        <f>IF(B9&lt;&gt;"",IF(B9&gt;0,TRUNC((K9/I9)*F9),0),"")</f>
        <v>#VALUE!</v>
      </c>
      <c r="O9" s="281" t="e">
        <f>IF(B9&lt;&gt;"",(IF(B9&gt;0,ROUND((K9/I9)*F9,2),0)-N9)*100,"")</f>
        <v>#VALUE!</v>
      </c>
      <c r="P9" s="162"/>
      <c r="Q9" s="162"/>
      <c r="R9" s="162"/>
    </row>
    <row r="10" spans="1:20" ht="15.75" x14ac:dyDescent="0.25">
      <c r="A10" s="253"/>
      <c r="B10" s="277"/>
      <c r="C10" s="277"/>
      <c r="D10" s="282" t="str">
        <f>NeoPrtWerkbr!C31</f>
        <v>0,5 ml/uur</v>
      </c>
      <c r="E10" s="162"/>
      <c r="F10" s="162" t="e">
        <f>NeoPrtWerkbr!E31</f>
        <v>#REF!</v>
      </c>
      <c r="G10" s="162"/>
      <c r="H10" s="283"/>
      <c r="I10" s="162"/>
      <c r="J10" s="162" t="str">
        <f>NeoPrtWerkbr!I30</f>
        <v>in</v>
      </c>
      <c r="K10" s="169" t="e">
        <f>IF(AND(D9&lt;&gt;"Nepresol (dihydralazine)",D9&lt;&gt;"Flolan (epoprostenol)"),NeoPrtWerkbr!J30,"NaCl 0,9%")</f>
        <v>#VALUE!</v>
      </c>
      <c r="L10" s="162"/>
      <c r="M10" s="162"/>
      <c r="N10" s="280" t="e">
        <f>IF(B9&lt;&gt;"",TRUNC(IF(B9&gt;0,N11+O11/100-N9-O9/100,0)),"")</f>
        <v>#VALUE!</v>
      </c>
      <c r="O10" s="281" t="e">
        <f>IF(B9&lt;&gt;"",(IF(B9&gt;0,N11+O11/100-N9-O9/100,0)-N10)*100,"")</f>
        <v>#VALUE!</v>
      </c>
      <c r="P10" s="162"/>
      <c r="Q10" s="162"/>
      <c r="R10" s="162"/>
    </row>
    <row r="11" spans="1:20" ht="15.75" x14ac:dyDescent="0.25">
      <c r="A11" s="253"/>
      <c r="B11" s="277"/>
      <c r="C11" s="277"/>
      <c r="D11" s="284" t="s">
        <v>527</v>
      </c>
      <c r="E11" s="285"/>
      <c r="F11" s="286" t="str">
        <f>IF(D9&lt;&gt;"",INDEX(Tbl_Neo_MedIV,NeoBerInfB!B24,2),"")</f>
        <v>ml</v>
      </c>
      <c r="G11" s="285"/>
      <c r="H11" s="287"/>
      <c r="I11" s="288"/>
      <c r="J11" s="288"/>
      <c r="K11" s="289" t="str">
        <f>NeoPrtWerkbr!J31</f>
        <v>Totaal</v>
      </c>
      <c r="L11" s="288"/>
      <c r="M11" s="288"/>
      <c r="N11" s="290">
        <f>IF(B9&lt;&gt;"",IF(D9&lt;&gt;"lidocaine",IF(_Neo_1700_Cont_OplHoev_02&lt;25,2*TRUNC(_Neo_1700_Cont_OplHoev_02),TRUNC(_Neo_1700_Cont_OplHoev_02)),TRUNC(_Neo_1700_Cont_OplHoev_02*1.5)),"")</f>
        <v>0</v>
      </c>
      <c r="O11" s="291">
        <f>IF(B9&lt;&gt;"",IF(D9&lt;&gt;"lidocaine",IF(_Neo_1700_Cont_OplHoev_02&lt;25,(2*_Neo_1700_Cont_OplHoev_02-N11)*100,(_Neo_1700_Cont_OplHoev_02-N11)*100),1.5*_Neo_1700_Cont_OplHoev_02-N11),"")</f>
        <v>0</v>
      </c>
      <c r="P11" s="162"/>
      <c r="Q11" s="162"/>
      <c r="R11" s="162"/>
    </row>
    <row r="12" spans="1:20" ht="9.9499999999999993" customHeight="1" x14ac:dyDescent="0.25">
      <c r="A12" s="253"/>
      <c r="B12" s="292"/>
      <c r="C12" s="292"/>
      <c r="D12" s="191"/>
      <c r="E12" s="191"/>
      <c r="F12" s="293"/>
      <c r="G12" s="191"/>
      <c r="H12" s="279"/>
      <c r="I12" s="191"/>
      <c r="J12" s="191"/>
      <c r="K12" s="278"/>
      <c r="L12" s="191"/>
      <c r="M12" s="191"/>
      <c r="N12" s="294"/>
      <c r="O12" s="295"/>
      <c r="P12" s="162"/>
      <c r="Q12" s="162"/>
      <c r="R12" s="162"/>
    </row>
    <row r="13" spans="1:20" ht="15.75" x14ac:dyDescent="0.25">
      <c r="A13" s="253">
        <v>3</v>
      </c>
      <c r="B13" s="254" t="str">
        <f>IF(NeoPrtWerkbr!C32&lt;&gt;"zijlijn",NeoPrtWerkbr!A32,"")</f>
        <v/>
      </c>
      <c r="C13" s="254"/>
      <c r="D13" s="255" t="str">
        <f>NeoPrtWerkbr!C32</f>
        <v/>
      </c>
      <c r="E13" s="256"/>
      <c r="F13" s="257" t="str">
        <f>IF(NeoPrtWerkbr!E32&lt;&gt;"",IF(D13&lt;&gt;"lidocaine",IF(NeoPrtWerkbr!M34&lt;25,NeoPrtWerkbr!E32*2,NeoPrtWerkbr!E32),NeoPrtWerkbr!E32*1.5),"")</f>
        <v/>
      </c>
      <c r="G13" s="256" t="str">
        <f>NeoPrtWerkbr!F32</f>
        <v>mg</v>
      </c>
      <c r="H13" s="258" t="str">
        <f>NeoPrtWerkbr!G32</f>
        <v>(</v>
      </c>
      <c r="I13" s="256" t="str">
        <f>NeoPrtWerkbr!H32</f>
        <v/>
      </c>
      <c r="J13" s="256" t="str">
        <f>NeoPrtWerkbr!I32</f>
        <v>mg=</v>
      </c>
      <c r="K13" s="256" t="str">
        <f>NeoPrtWerkbr!J32</f>
        <v/>
      </c>
      <c r="L13" s="256" t="str">
        <f>NeoPrtWerkbr!K32</f>
        <v>ml)</v>
      </c>
      <c r="M13" s="256"/>
      <c r="N13" s="259" t="str">
        <f>IF(B13&lt;&gt;"",IF(B13&gt;0,TRUNC((K13/I13)*F13),0),"")</f>
        <v/>
      </c>
      <c r="O13" s="260" t="str">
        <f>IF(B13&lt;&gt;"",(IF(B13&gt;0,ROUND((K13/I13)*F13,2),0)-N13)*100,"")</f>
        <v/>
      </c>
      <c r="P13" s="162"/>
      <c r="Q13" s="162"/>
      <c r="R13" s="162"/>
      <c r="T13" s="170"/>
    </row>
    <row r="14" spans="1:20" ht="15.75" x14ac:dyDescent="0.25">
      <c r="A14" s="253"/>
      <c r="B14" s="254"/>
      <c r="C14" s="254"/>
      <c r="D14" s="261" t="str">
        <f>NeoPrtWerkbr!C34</f>
        <v/>
      </c>
      <c r="E14" s="262"/>
      <c r="F14" s="262" t="str">
        <f>NeoPrtWerkbr!E34</f>
        <v/>
      </c>
      <c r="G14" s="262"/>
      <c r="H14" s="263"/>
      <c r="I14" s="262"/>
      <c r="J14" s="262" t="str">
        <f>NeoPrtWerkbr!I33</f>
        <v>in</v>
      </c>
      <c r="K14" s="264" t="str">
        <f>IF(AND(D13&lt;&gt;"Nepresol (dihydralazine)",D13&lt;&gt;"Flolan (epoprostenol)"),NeoPrtWerkbr!J33,"NaCl 0,9%")</f>
        <v/>
      </c>
      <c r="L14" s="262"/>
      <c r="M14" s="262"/>
      <c r="N14" s="265" t="str">
        <f>IF(B13&lt;&gt;"",TRUNC(IF(B13&gt;0,N15+O15/100-N13-O13/100,0)),"")</f>
        <v/>
      </c>
      <c r="O14" s="266" t="str">
        <f>IF(B13&lt;&gt;"",(IF(B13&gt;0,N15+O15/100-N13-O13/100,0)-N14)*100,"")</f>
        <v/>
      </c>
      <c r="P14" s="162"/>
      <c r="Q14" s="162"/>
      <c r="R14" s="162"/>
    </row>
    <row r="15" spans="1:20" ht="15.75" x14ac:dyDescent="0.25">
      <c r="A15" s="253"/>
      <c r="B15" s="254"/>
      <c r="C15" s="254"/>
      <c r="D15" s="267" t="s">
        <v>527</v>
      </c>
      <c r="E15" s="268"/>
      <c r="F15" s="269" t="str">
        <f>IF(D13&lt;&gt;"",INDEX(Tbl_Neo_MedIV,NeoBerInfB!B25,2),"")</f>
        <v/>
      </c>
      <c r="G15" s="268"/>
      <c r="H15" s="270"/>
      <c r="I15" s="270"/>
      <c r="J15" s="270"/>
      <c r="K15" s="271" t="str">
        <f>NeoPrtWerkbr!J34</f>
        <v>Totaal</v>
      </c>
      <c r="L15" s="270"/>
      <c r="M15" s="270"/>
      <c r="N15" s="272" t="str">
        <f>IF(B13&lt;&gt;"",IF(D13&lt;&gt;"lidocaine",IF(_Neo_1700_Cont_OplHoev_03&lt;25,2*TRUNC(_Neo_1700_Cont_OplHoev_03),TRUNC(_Neo_1700_Cont_OplHoev_03)),TRUNC(_Neo_1700_Cont_OplHoev_03*1.5)),"")</f>
        <v/>
      </c>
      <c r="O15" s="273" t="str">
        <f>IF(B13&lt;&gt;"",IF(D13&lt;&gt;"lidocaine",IF(_Neo_1700_Cont_OplHoev_03&lt;25,(2*_Neo_1700_Cont_OplHoev_03-N15)*100,(_Neo_1700_Cont_OplHoev_03-N15)*100),1.5*_Neo_1700_Cont_OplHoev_03-N15),"")</f>
        <v/>
      </c>
      <c r="P15" s="162"/>
      <c r="Q15" s="162"/>
      <c r="R15" s="162"/>
    </row>
    <row r="16" spans="1:20" ht="9.9499999999999993" customHeight="1" x14ac:dyDescent="0.25">
      <c r="A16" s="253"/>
      <c r="B16" s="227"/>
      <c r="C16" s="227"/>
      <c r="D16" s="211"/>
      <c r="E16" s="211"/>
      <c r="F16" s="274"/>
      <c r="G16" s="211"/>
      <c r="H16" s="211"/>
      <c r="I16" s="211"/>
      <c r="J16" s="211"/>
      <c r="K16" s="212"/>
      <c r="L16" s="211"/>
      <c r="M16" s="211"/>
      <c r="N16" s="275"/>
      <c r="O16" s="276"/>
      <c r="P16" s="162"/>
      <c r="Q16" s="162"/>
      <c r="R16" s="162"/>
    </row>
    <row r="17" spans="1:18" ht="15.75" x14ac:dyDescent="0.25">
      <c r="A17" s="253">
        <v>4</v>
      </c>
      <c r="B17" s="277" t="str">
        <f>IF(NeoPrtWerkbr!C35&lt;&gt;"zijlijn",NeoPrtWerkbr!A35,"")</f>
        <v/>
      </c>
      <c r="C17" s="277"/>
      <c r="D17" s="190" t="str">
        <f>NeoPrtWerkbr!C35</f>
        <v/>
      </c>
      <c r="E17" s="191"/>
      <c r="F17" s="278" t="str">
        <f>IF(NeoPrtWerkbr!E35&lt;&gt;"",IF(D17&lt;&gt;"lidocaine",IF(NeoPrtWerkbr!M37&lt;25,NeoPrtWerkbr!E35*2,NeoPrtWerkbr!E35),NeoPrtWerkbr!E35*1.5),"")</f>
        <v/>
      </c>
      <c r="G17" s="191" t="str">
        <f>NeoPrtWerkbr!F35</f>
        <v>mg</v>
      </c>
      <c r="H17" s="279" t="str">
        <f>NeoPrtWerkbr!G35</f>
        <v>(</v>
      </c>
      <c r="I17" s="191" t="str">
        <f>NeoPrtWerkbr!H35</f>
        <v/>
      </c>
      <c r="J17" s="191" t="str">
        <f>NeoPrtWerkbr!I35</f>
        <v>mg=</v>
      </c>
      <c r="K17" s="191" t="str">
        <f>NeoPrtWerkbr!J35</f>
        <v/>
      </c>
      <c r="L17" s="191" t="str">
        <f>NeoPrtWerkbr!K35</f>
        <v>ml)</v>
      </c>
      <c r="M17" s="191"/>
      <c r="N17" s="280" t="str">
        <f>IF(B17&lt;&gt;"",IF(B17&gt;0,TRUNC((K17/I17)*F17),0),"")</f>
        <v/>
      </c>
      <c r="O17" s="281" t="str">
        <f>IF(B17&lt;&gt;"",(IF(B17&gt;0,ROUND((K17/I17)*F17,2),0)-N17)*100,"")</f>
        <v/>
      </c>
      <c r="P17" s="162"/>
      <c r="Q17" s="162"/>
      <c r="R17" s="162"/>
    </row>
    <row r="18" spans="1:18" ht="15.75" x14ac:dyDescent="0.25">
      <c r="A18" s="253"/>
      <c r="B18" s="277"/>
      <c r="C18" s="277"/>
      <c r="D18" s="282" t="str">
        <f>NeoPrtWerkbr!C37</f>
        <v/>
      </c>
      <c r="E18" s="162"/>
      <c r="F18" s="162" t="str">
        <f>NeoPrtWerkbr!E37</f>
        <v/>
      </c>
      <c r="G18" s="162"/>
      <c r="H18" s="283"/>
      <c r="I18" s="162"/>
      <c r="J18" s="162" t="str">
        <f>NeoPrtWerkbr!I36</f>
        <v>in</v>
      </c>
      <c r="K18" s="169" t="str">
        <f>IF(AND(D17&lt;&gt;"Nepresol (dihydralazine)",D17&lt;&gt;"Flolan (epoprostenol)"),NeoPrtWerkbr!J36,"NaCl 0,9%")</f>
        <v/>
      </c>
      <c r="L18" s="162"/>
      <c r="M18" s="162"/>
      <c r="N18" s="280" t="str">
        <f>IF(B17&lt;&gt;"",TRUNC(IF(B17&gt;0,N19+O19/100-N17-O17/100,0)),"")</f>
        <v/>
      </c>
      <c r="O18" s="281" t="str">
        <f>IF(B17&lt;&gt;"",(IF(B17&gt;0,N19+O19/100-N17-O17/100,0)-N18)*100,"")</f>
        <v/>
      </c>
      <c r="P18" s="162"/>
      <c r="Q18" s="162"/>
      <c r="R18" s="162"/>
    </row>
    <row r="19" spans="1:18" ht="15.75" x14ac:dyDescent="0.25">
      <c r="A19" s="253"/>
      <c r="B19" s="277"/>
      <c r="C19" s="277"/>
      <c r="D19" s="284" t="s">
        <v>527</v>
      </c>
      <c r="E19" s="285"/>
      <c r="F19" s="286" t="str">
        <f>IF(D17&lt;&gt;"",INDEX(Tbl_Neo_MedIV,NeoBerInfB!B26,2),"")</f>
        <v/>
      </c>
      <c r="G19" s="285"/>
      <c r="H19" s="285"/>
      <c r="I19" s="288"/>
      <c r="J19" s="288"/>
      <c r="K19" s="289" t="str">
        <f>NeoPrtWerkbr!J37</f>
        <v>Totaal</v>
      </c>
      <c r="L19" s="288"/>
      <c r="M19" s="288"/>
      <c r="N19" s="290" t="str">
        <f>IF(B17&lt;&gt;"",IF(D17&lt;&gt;"lidocaine",IF(_Neo_1700_Cont_OplHoev_04&lt;25,2*TRUNC(_Neo_1700_Cont_OplHoev_04),TRUNC(_Neo_1700_Cont_OplHoev_04)),TRUNC(_Neo_1700_Cont_OplHoev_04*1.5)),"")</f>
        <v/>
      </c>
      <c r="O19" s="291" t="str">
        <f>IF(B17&lt;&gt;"",IF(D17&lt;&gt;"lidocaine",IF(_Neo_1700_Cont_OplHoev_04&lt;25,(2*_Neo_1700_Cont_OplHoev_04-N19)*100,(_Neo_1700_Cont_OplHoev_04-N19)*100),1.5*_Neo_1700_Cont_OplHoev_04-N19),"")</f>
        <v/>
      </c>
      <c r="P19" s="162"/>
      <c r="Q19" s="162"/>
      <c r="R19" s="162"/>
    </row>
    <row r="20" spans="1:18" ht="9.9499999999999993" customHeight="1" x14ac:dyDescent="0.25">
      <c r="A20" s="253"/>
      <c r="B20" s="292"/>
      <c r="C20" s="292"/>
      <c r="D20" s="191"/>
      <c r="E20" s="191"/>
      <c r="F20" s="293"/>
      <c r="G20" s="191"/>
      <c r="H20" s="191"/>
      <c r="I20" s="191"/>
      <c r="J20" s="191"/>
      <c r="K20" s="278"/>
      <c r="L20" s="191"/>
      <c r="M20" s="191"/>
      <c r="N20" s="294"/>
      <c r="O20" s="295"/>
      <c r="P20" s="162"/>
      <c r="Q20" s="162"/>
      <c r="R20" s="162"/>
    </row>
    <row r="21" spans="1:18" ht="15.75" x14ac:dyDescent="0.25">
      <c r="A21" s="253">
        <v>5</v>
      </c>
      <c r="B21" s="254" t="str">
        <f>IF(NeoPrtWerkbr!C38&lt;&gt;"zijlijn",NeoPrtWerkbr!A38,"")</f>
        <v/>
      </c>
      <c r="C21" s="254"/>
      <c r="D21" s="255" t="str">
        <f>NeoPrtWerkbr!C38</f>
        <v/>
      </c>
      <c r="E21" s="256"/>
      <c r="F21" s="257" t="str">
        <f>IF(NeoPrtWerkbr!E38&lt;&gt;"",IF(D21&lt;&gt;"lidocaine",IF(NeoPrtWerkbr!M40&lt;25,NeoPrtWerkbr!E38*2,NeoPrtWerkbr!E38),NeoPrtWerkbr!E38*1.5),"")</f>
        <v/>
      </c>
      <c r="G21" s="256" t="str">
        <f>NeoPrtWerkbr!F38</f>
        <v>mg</v>
      </c>
      <c r="H21" s="258" t="str">
        <f>NeoPrtWerkbr!G38</f>
        <v>(</v>
      </c>
      <c r="I21" s="256" t="str">
        <f>NeoPrtWerkbr!H38</f>
        <v/>
      </c>
      <c r="J21" s="256" t="str">
        <f>NeoPrtWerkbr!I38</f>
        <v>mg=</v>
      </c>
      <c r="K21" s="256" t="str">
        <f>NeoPrtWerkbr!J38</f>
        <v/>
      </c>
      <c r="L21" s="256" t="str">
        <f>NeoPrtWerkbr!K38</f>
        <v>ml)</v>
      </c>
      <c r="M21" s="256"/>
      <c r="N21" s="259" t="str">
        <f>IF(B21&lt;&gt;"",IF(B21&gt;0,TRUNC((K21/I21)*F21),0),"")</f>
        <v/>
      </c>
      <c r="O21" s="260" t="str">
        <f>IF(B21&lt;&gt;"",(IF(B21&gt;0,ROUND((K21/I21)*F21,2),0)-N21)*100,"")</f>
        <v/>
      </c>
      <c r="P21" s="162"/>
      <c r="Q21" s="162"/>
      <c r="R21" s="162"/>
    </row>
    <row r="22" spans="1:18" ht="15.75" x14ac:dyDescent="0.25">
      <c r="A22" s="253"/>
      <c r="B22" s="254"/>
      <c r="C22" s="254"/>
      <c r="D22" s="261" t="str">
        <f>NeoPrtWerkbr!C40</f>
        <v/>
      </c>
      <c r="E22" s="262"/>
      <c r="F22" s="262" t="str">
        <f>NeoPrtWerkbr!E40</f>
        <v/>
      </c>
      <c r="G22" s="262"/>
      <c r="H22" s="263"/>
      <c r="I22" s="262"/>
      <c r="J22" s="262" t="str">
        <f>NeoPrtWerkbr!I39</f>
        <v>in</v>
      </c>
      <c r="K22" s="264" t="str">
        <f>IF(AND(D21&lt;&gt;"Nepresol (dihydralazine)",D21&lt;&gt;"Flolan (epoprostenol)"),NeoPrtWerkbr!J39,"NaCl 0,9%")</f>
        <v/>
      </c>
      <c r="L22" s="262"/>
      <c r="M22" s="262"/>
      <c r="N22" s="265" t="str">
        <f>IF(B21&lt;&gt;"",TRUNC(IF(B21&gt;0,N23+O23/100-N21-O21/100,0)),"")</f>
        <v/>
      </c>
      <c r="O22" s="266" t="str">
        <f>IF(B21&lt;&gt;"",(IF(B21&gt;0,N23+O23/100-N21-O21/100,0)-N22)*100,"")</f>
        <v/>
      </c>
      <c r="P22" s="162"/>
      <c r="Q22" s="162"/>
      <c r="R22" s="162"/>
    </row>
    <row r="23" spans="1:18" ht="15.75" x14ac:dyDescent="0.25">
      <c r="A23" s="253"/>
      <c r="B23" s="254"/>
      <c r="C23" s="254"/>
      <c r="D23" s="267" t="s">
        <v>527</v>
      </c>
      <c r="E23" s="268"/>
      <c r="F23" s="269" t="str">
        <f>IF(D21&lt;&gt;"",INDEX(Tbl_Neo_MedIV,NeoBerInfB!B27,2),"")</f>
        <v/>
      </c>
      <c r="G23" s="268"/>
      <c r="H23" s="296"/>
      <c r="I23" s="270"/>
      <c r="J23" s="270"/>
      <c r="K23" s="271" t="str">
        <f>NeoPrtWerkbr!J40</f>
        <v>Totaal</v>
      </c>
      <c r="L23" s="270"/>
      <c r="M23" s="270"/>
      <c r="N23" s="272" t="str">
        <f>IF(B21&lt;&gt;"",IF(D21&lt;&gt;"lidocaine",IF(_Neo_1700_Cont_OplHoev_05&lt;25,2*TRUNC(_Neo_1700_Cont_OplHoev_05),TRUNC(_Neo_1700_Cont_OplHoev_05)),TRUNC(_Neo_1700_Cont_OplHoev_05*1.5)),"")</f>
        <v/>
      </c>
      <c r="O23" s="273" t="str">
        <f>IF(B21&lt;&gt;"",IF(D21&lt;&gt;"lidocaine",IF(_Neo_1700_Cont_OplHoev_05&lt;25,(2*_Neo_1700_Cont_OplHoev_05-N23)*100,(_Neo_1700_Cont_OplHoev_05-N23)*100),1.5*_Neo_1700_Cont_OplHoev_05-N23),"")</f>
        <v/>
      </c>
      <c r="P23" s="162"/>
      <c r="Q23" s="162"/>
      <c r="R23" s="162"/>
    </row>
    <row r="24" spans="1:18" ht="9.9499999999999993" customHeight="1" x14ac:dyDescent="0.25">
      <c r="A24" s="253"/>
      <c r="B24" s="227"/>
      <c r="C24" s="227"/>
      <c r="D24" s="211"/>
      <c r="E24" s="211"/>
      <c r="F24" s="274"/>
      <c r="G24" s="211"/>
      <c r="H24" s="239"/>
      <c r="I24" s="211"/>
      <c r="J24" s="211"/>
      <c r="K24" s="212"/>
      <c r="L24" s="211"/>
      <c r="M24" s="211"/>
      <c r="N24" s="275"/>
      <c r="O24" s="276"/>
      <c r="P24" s="162"/>
      <c r="Q24" s="162"/>
      <c r="R24" s="162"/>
    </row>
    <row r="25" spans="1:18" ht="15.75" x14ac:dyDescent="0.25">
      <c r="A25" s="253">
        <v>6</v>
      </c>
      <c r="B25" s="277" t="str">
        <f>IF(NeoPrtWerkbr!C41&lt;&gt;"zijlijn",NeoPrtWerkbr!A41,"")</f>
        <v/>
      </c>
      <c r="C25" s="277"/>
      <c r="D25" s="190" t="str">
        <f>NeoPrtWerkbr!C41</f>
        <v/>
      </c>
      <c r="E25" s="191"/>
      <c r="F25" s="278" t="str">
        <f>IF(NeoPrtWerkbr!E41&lt;&gt;"",IF(D25&lt;&gt;"lidocaine",IF(NeoPrtWerkbr!M43&lt;25,NeoPrtWerkbr!E41*2,NeoPrtWerkbr!E41),NeoPrtWerkbr!E41*1.5),"")</f>
        <v/>
      </c>
      <c r="G25" s="191" t="str">
        <f>NeoPrtWerkbr!F41</f>
        <v>mg</v>
      </c>
      <c r="H25" s="279" t="str">
        <f>NeoPrtWerkbr!G41</f>
        <v>(</v>
      </c>
      <c r="I25" s="191" t="str">
        <f>NeoPrtWerkbr!H41</f>
        <v/>
      </c>
      <c r="J25" s="191" t="str">
        <f>NeoPrtWerkbr!I41</f>
        <v>mg=</v>
      </c>
      <c r="K25" s="191" t="str">
        <f>NeoPrtWerkbr!J41</f>
        <v/>
      </c>
      <c r="L25" s="191" t="str">
        <f>NeoPrtWerkbr!K41</f>
        <v>ml)</v>
      </c>
      <c r="M25" s="191"/>
      <c r="N25" s="280" t="str">
        <f>IF(B25&lt;&gt;"",IF(B25&gt;0,TRUNC((K25/I25)*F25),0),"")</f>
        <v/>
      </c>
      <c r="O25" s="281" t="str">
        <f>IF(B25&lt;&gt;"",(IF(B25&gt;0,ROUND((K25/I25)*F25,2),0)-N25)*100,"")</f>
        <v/>
      </c>
      <c r="P25" s="162"/>
      <c r="Q25" s="162"/>
      <c r="R25" s="162"/>
    </row>
    <row r="26" spans="1:18" ht="15.75" x14ac:dyDescent="0.25">
      <c r="A26" s="253"/>
      <c r="B26" s="277"/>
      <c r="C26" s="277"/>
      <c r="D26" s="282" t="str">
        <f>NeoPrtWerkbr!C43</f>
        <v/>
      </c>
      <c r="E26" s="162"/>
      <c r="F26" s="162" t="str">
        <f>NeoPrtWerkbr!E43</f>
        <v/>
      </c>
      <c r="G26" s="162"/>
      <c r="H26" s="283"/>
      <c r="I26" s="162"/>
      <c r="J26" s="162" t="str">
        <f>NeoPrtWerkbr!I42</f>
        <v>in</v>
      </c>
      <c r="K26" s="169" t="str">
        <f>IF(AND(D25&lt;&gt;"Nepresol (dihydralazine)",D25&lt;&gt;"Flolan (epoprostenol)"),NeoPrtWerkbr!J42,"NaCl 0,9%")</f>
        <v/>
      </c>
      <c r="L26" s="162"/>
      <c r="M26" s="162"/>
      <c r="N26" s="280" t="str">
        <f>IF(B25&lt;&gt;"",TRUNC(IF(B25&gt;0,N27+O27/100-N25-O25/100,0)),"")</f>
        <v/>
      </c>
      <c r="O26" s="281" t="str">
        <f>IF(B25&lt;&gt;"",(IF(B25&gt;0,N27+O27/100-N25-O25/100,0)-N26)*100,"")</f>
        <v/>
      </c>
      <c r="P26" s="162"/>
      <c r="Q26" s="162"/>
      <c r="R26" s="162"/>
    </row>
    <row r="27" spans="1:18" ht="15.75" x14ac:dyDescent="0.25">
      <c r="A27" s="253"/>
      <c r="B27" s="277"/>
      <c r="C27" s="277"/>
      <c r="D27" s="284" t="s">
        <v>527</v>
      </c>
      <c r="E27" s="285"/>
      <c r="F27" s="286" t="str">
        <f>IF(D25&lt;&gt;"",INDEX(Tbl_Neo_MedIV,NeoBerInfB!B28,2),"")</f>
        <v/>
      </c>
      <c r="G27" s="285"/>
      <c r="H27" s="297"/>
      <c r="I27" s="288"/>
      <c r="J27" s="288"/>
      <c r="K27" s="289" t="str">
        <f>NeoPrtWerkbr!J43</f>
        <v>Totaal</v>
      </c>
      <c r="L27" s="288"/>
      <c r="M27" s="288"/>
      <c r="N27" s="290" t="str">
        <f>IF(B25&lt;&gt;"",IF(D25&lt;&gt;"lidocaine",IF(_Neo_1700_Cont_OplHoev_06&lt;25,2*TRUNC(_Neo_1700_Cont_OplHoev_06),TRUNC(_Neo_1700_Cont_OplHoev_06)),TRUNC(_Neo_1700_Cont_OplHoev_06*1.5)),"")</f>
        <v/>
      </c>
      <c r="O27" s="291" t="str">
        <f>IF(B25&lt;&gt;"",IF(D25&lt;&gt;"lidocaine",IF(_Neo_1700_Cont_OplHoev_06&lt;25,(2*_Neo_1700_Cont_OplHoev_06-N27)*100,(_Neo_1700_Cont_OplHoev_06-N27)*100),1.5*_Neo_1700_Cont_OplHoev_06-N27),"")</f>
        <v/>
      </c>
      <c r="P27" s="162"/>
      <c r="Q27" s="162"/>
      <c r="R27" s="162"/>
    </row>
    <row r="28" spans="1:18" ht="9.9499999999999993" customHeight="1" x14ac:dyDescent="0.25">
      <c r="A28" s="253"/>
      <c r="B28" s="292"/>
      <c r="C28" s="292"/>
      <c r="D28" s="191"/>
      <c r="E28" s="191"/>
      <c r="F28" s="293"/>
      <c r="G28" s="191"/>
      <c r="H28" s="279"/>
      <c r="I28" s="191"/>
      <c r="J28" s="191"/>
      <c r="K28" s="278"/>
      <c r="L28" s="191"/>
      <c r="M28" s="191"/>
      <c r="N28" s="294"/>
      <c r="O28" s="295"/>
      <c r="P28" s="162"/>
      <c r="Q28" s="162"/>
      <c r="R28" s="162"/>
    </row>
    <row r="29" spans="1:18" ht="15.75" x14ac:dyDescent="0.25">
      <c r="A29" s="253">
        <v>7</v>
      </c>
      <c r="B29" s="254" t="str">
        <f>IF(NeoPrtWerkbr!C44&lt;&gt;"zijlijn",NeoPrtWerkbr!A44,"")</f>
        <v/>
      </c>
      <c r="C29" s="254"/>
      <c r="D29" s="255" t="str">
        <f>NeoPrtWerkbr!C44</f>
        <v/>
      </c>
      <c r="E29" s="256"/>
      <c r="F29" s="257" t="str">
        <f>IF(NeoPrtWerkbr!E44&lt;&gt;"",IF(D29&lt;&gt;"lidocaine",IF(NeoPrtWerkbr!M46&lt;25,NeoPrtWerkbr!E44*2,NeoPrtWerkbr!E44),NeoPrtWerkbr!E44*1.5),"")</f>
        <v/>
      </c>
      <c r="G29" s="256" t="str">
        <f>NeoPrtWerkbr!F44</f>
        <v>mg</v>
      </c>
      <c r="H29" s="258" t="str">
        <f>NeoPrtWerkbr!G44</f>
        <v>(</v>
      </c>
      <c r="I29" s="256" t="str">
        <f>NeoPrtWerkbr!H44</f>
        <v/>
      </c>
      <c r="J29" s="256" t="str">
        <f>NeoPrtWerkbr!I44</f>
        <v>mg=</v>
      </c>
      <c r="K29" s="256" t="str">
        <f>NeoPrtWerkbr!J44</f>
        <v/>
      </c>
      <c r="L29" s="256" t="str">
        <f>NeoPrtWerkbr!K44</f>
        <v>ml)</v>
      </c>
      <c r="M29" s="256"/>
      <c r="N29" s="259" t="str">
        <f>IF(B29&lt;&gt;"",IF(B29&gt;0,TRUNC((K29/I29)*F29),0),"")</f>
        <v/>
      </c>
      <c r="O29" s="260" t="str">
        <f>IF(B29&lt;&gt;"",(IF(B29&gt;0,ROUND((K29/I29)*F29,2),0)-N29)*100,"")</f>
        <v/>
      </c>
      <c r="P29" s="162"/>
      <c r="Q29" s="162"/>
      <c r="R29" s="162"/>
    </row>
    <row r="30" spans="1:18" ht="15.75" x14ac:dyDescent="0.25">
      <c r="A30" s="253"/>
      <c r="B30" s="254"/>
      <c r="C30" s="254"/>
      <c r="D30" s="261" t="str">
        <f>NeoPrtWerkbr!C46</f>
        <v/>
      </c>
      <c r="E30" s="262"/>
      <c r="F30" s="262" t="str">
        <f>NeoPrtWerkbr!E46</f>
        <v/>
      </c>
      <c r="G30" s="262"/>
      <c r="H30" s="263"/>
      <c r="I30" s="262"/>
      <c r="J30" s="262" t="str">
        <f>NeoPrtWerkbr!I45</f>
        <v>in</v>
      </c>
      <c r="K30" s="264" t="str">
        <f>IF(AND(D29&lt;&gt;"Nepresol (dihydralazine)",D29&lt;&gt;"Flolan (epoprostenol)"),NeoPrtWerkbr!J45,"NaCl 0,9%")</f>
        <v/>
      </c>
      <c r="L30" s="262"/>
      <c r="M30" s="262"/>
      <c r="N30" s="265" t="str">
        <f>IF(B29&lt;&gt;"",TRUNC(IF(B29&gt;0,N31+O31/100-N29-O29/100,0)),"")</f>
        <v/>
      </c>
      <c r="O30" s="266" t="str">
        <f>IF(B29&lt;&gt;"",(IF(B29&gt;0,N31+O31/100-N29-O29/100,0)-N30)*100,"")</f>
        <v/>
      </c>
      <c r="P30" s="162"/>
      <c r="Q30" s="162"/>
      <c r="R30" s="162"/>
    </row>
    <row r="31" spans="1:18" ht="15.75" x14ac:dyDescent="0.25">
      <c r="A31" s="253"/>
      <c r="B31" s="254"/>
      <c r="C31" s="254"/>
      <c r="D31" s="267" t="s">
        <v>527</v>
      </c>
      <c r="E31" s="268"/>
      <c r="F31" s="268" t="str">
        <f>IF(D29&lt;&gt;"",INDEX(Tbl_Neo_MedIV,NeoBerInfB!B29,2),"")</f>
        <v/>
      </c>
      <c r="G31" s="268"/>
      <c r="H31" s="270"/>
      <c r="I31" s="270"/>
      <c r="J31" s="270"/>
      <c r="K31" s="271" t="str">
        <f>NeoPrtWerkbr!J46</f>
        <v>Totaal</v>
      </c>
      <c r="L31" s="270"/>
      <c r="M31" s="270"/>
      <c r="N31" s="272" t="str">
        <f>IF(B29&lt;&gt;"",IF(D29&lt;&gt;"lidocaine",IF(_Neo_1700_Cont_OplHoev_07&lt;25,2*TRUNC(_Neo_1700_Cont_OplHoev_07),TRUNC(_Neo_1700_Cont_OplHoev_07)),TRUNC(_Neo_1700_Cont_OplHoev_07*1.5)),"")</f>
        <v/>
      </c>
      <c r="O31" s="273" t="str">
        <f>IF(B29&lt;&gt;"",IF(D29&lt;&gt;"lidocaine",IF(_Neo_1700_Cont_OplHoev_07&lt;25,(2*_Neo_1700_Cont_OplHoev_07-N31)*100,(_Neo_1700_Cont_OplHoev_07-N31)*100),1.5*_Neo_1700_Cont_OplHoev_07-N31),"")</f>
        <v/>
      </c>
      <c r="P31" s="162"/>
      <c r="Q31" s="162"/>
      <c r="R31" s="162"/>
    </row>
    <row r="32" spans="1:18" ht="9.9499999999999993" customHeight="1" x14ac:dyDescent="0.25">
      <c r="A32" s="253"/>
      <c r="B32" s="227"/>
      <c r="C32" s="227"/>
      <c r="D32" s="211"/>
      <c r="E32" s="211"/>
      <c r="F32" s="211"/>
      <c r="G32" s="211"/>
      <c r="H32" s="211"/>
      <c r="I32" s="211"/>
      <c r="J32" s="211"/>
      <c r="K32" s="212"/>
      <c r="L32" s="211"/>
      <c r="M32" s="211"/>
      <c r="N32" s="275"/>
      <c r="O32" s="276"/>
      <c r="P32" s="162"/>
      <c r="Q32" s="162"/>
      <c r="R32" s="162"/>
    </row>
    <row r="33" spans="1:18" ht="15.75" x14ac:dyDescent="0.25">
      <c r="A33" s="253">
        <v>8</v>
      </c>
      <c r="B33" s="277" t="str">
        <f>IF(NeoPrtWerkbr!C47&lt;&gt;"zijlijn",NeoPrtWerkbr!A47,"")</f>
        <v/>
      </c>
      <c r="C33" s="277"/>
      <c r="D33" s="190" t="str">
        <f>NeoPrtWerkbr!C47</f>
        <v/>
      </c>
      <c r="E33" s="191"/>
      <c r="F33" s="278" t="str">
        <f>IF(NeoPrtWerkbr!E47&lt;&gt;"",IF(D33&lt;&gt;"lidocaine",IF(NeoPrtWerkbr!M49&lt;25,NeoPrtWerkbr!E47*2,NeoPrtWerkbr!E47),NeoPrtWerkbr!E47*1.5),"")</f>
        <v/>
      </c>
      <c r="G33" s="191" t="str">
        <f>NeoPrtWerkbr!F47</f>
        <v>mg</v>
      </c>
      <c r="H33" s="279" t="str">
        <f>NeoPrtWerkbr!G47</f>
        <v>(</v>
      </c>
      <c r="I33" s="191" t="str">
        <f>NeoPrtWerkbr!H47</f>
        <v/>
      </c>
      <c r="J33" s="191" t="str">
        <f>NeoPrtWerkbr!I47</f>
        <v>mg=</v>
      </c>
      <c r="K33" s="191" t="str">
        <f>NeoPrtWerkbr!J47</f>
        <v/>
      </c>
      <c r="L33" s="191" t="str">
        <f>NeoPrtWerkbr!K47</f>
        <v>ml)</v>
      </c>
      <c r="M33" s="191"/>
      <c r="N33" s="280" t="str">
        <f>IF(B33&lt;&gt;"",IF(B33&gt;0,TRUNC((K33/I33)*F33),0),"")</f>
        <v/>
      </c>
      <c r="O33" s="281" t="str">
        <f>IF(B33&lt;&gt;"",(IF(B33&gt;0,ROUND((K33/I33)*F33,2),0)-N33)*100,"")</f>
        <v/>
      </c>
      <c r="P33" s="162"/>
      <c r="Q33" s="162"/>
      <c r="R33" s="162"/>
    </row>
    <row r="34" spans="1:18" ht="15.75" x14ac:dyDescent="0.25">
      <c r="A34" s="253"/>
      <c r="B34" s="277"/>
      <c r="C34" s="277"/>
      <c r="D34" s="282" t="str">
        <f>NeoPrtWerkbr!C49</f>
        <v/>
      </c>
      <c r="E34" s="162"/>
      <c r="F34" s="162" t="str">
        <f>NeoPrtWerkbr!E49</f>
        <v/>
      </c>
      <c r="G34" s="162"/>
      <c r="H34" s="283"/>
      <c r="I34" s="162"/>
      <c r="J34" s="162" t="str">
        <f>NeoPrtWerkbr!I48</f>
        <v>in</v>
      </c>
      <c r="K34" s="169" t="str">
        <f>IF(AND(D33&lt;&gt;"Nepresol (dihydralazine)",D33&lt;&gt;"Flolan (epoprostenol)"),NeoPrtWerkbr!J48,"NaCl 0,9%")</f>
        <v/>
      </c>
      <c r="L34" s="162"/>
      <c r="M34" s="162"/>
      <c r="N34" s="280" t="str">
        <f>IF(B33&lt;&gt;"",TRUNC(IF(B33&gt;0,N35+O35/100-N33-O33/100,0)),"")</f>
        <v/>
      </c>
      <c r="O34" s="281" t="str">
        <f>IF(B33&lt;&gt;"",(IF(B33&gt;0,N35+O35/100-N33-O33/100,0)-N34)*100,"")</f>
        <v/>
      </c>
      <c r="P34" s="162"/>
      <c r="Q34" s="162"/>
      <c r="R34" s="162"/>
    </row>
    <row r="35" spans="1:18" ht="15.75" x14ac:dyDescent="0.25">
      <c r="A35" s="253"/>
      <c r="B35" s="277"/>
      <c r="C35" s="277"/>
      <c r="D35" s="284" t="s">
        <v>527</v>
      </c>
      <c r="E35" s="285"/>
      <c r="F35" s="285" t="str">
        <f>IF(D33&lt;&gt;"",INDEX(Tbl_Neo_MedIV,NeoBerInfB!B30,2),"")</f>
        <v/>
      </c>
      <c r="G35" s="285"/>
      <c r="H35" s="288"/>
      <c r="I35" s="288"/>
      <c r="J35" s="288"/>
      <c r="K35" s="289" t="str">
        <f>NeoPrtWerkbr!J49</f>
        <v>Totaal</v>
      </c>
      <c r="L35" s="288"/>
      <c r="M35" s="288"/>
      <c r="N35" s="290" t="str">
        <f>IF(B33&lt;&gt;"",IF(D33&lt;&gt;"lidocaine",IF(_Neo_1700_Cont_OplHoev_08&lt;25,2*TRUNC(_Neo_1700_Cont_OplHoev_08),TRUNC(_Neo_1700_Cont_OplHoev_08)),TRUNC(_Neo_1700_Cont_OplHoev_08*1.5)),"")</f>
        <v/>
      </c>
      <c r="O35" s="291" t="str">
        <f>IF(B33&lt;&gt;"",IF(D33&lt;&gt;"lidocaine",IF(_Neo_1700_Cont_OplHoev_08&lt;25,(2*_Neo_1700_Cont_OplHoev_08-N35)*100,(_Neo_1700_Cont_OplHoev_08-N35)*100),1.5*_Neo_1700_Cont_OplHoev_08-N35),"")</f>
        <v/>
      </c>
      <c r="P35" s="162"/>
      <c r="Q35" s="162"/>
      <c r="R35" s="162"/>
    </row>
    <row r="36" spans="1:18" ht="9.9499999999999993" customHeight="1" x14ac:dyDescent="0.25">
      <c r="A36" s="253"/>
      <c r="B36" s="292"/>
      <c r="C36" s="292"/>
      <c r="D36" s="191"/>
      <c r="E36" s="191"/>
      <c r="F36" s="191"/>
      <c r="G36" s="191"/>
      <c r="H36" s="191"/>
      <c r="I36" s="191"/>
      <c r="J36" s="191"/>
      <c r="K36" s="278"/>
      <c r="L36" s="191"/>
      <c r="M36" s="191"/>
      <c r="N36" s="294"/>
      <c r="O36" s="295"/>
      <c r="P36" s="162"/>
      <c r="Q36" s="162"/>
      <c r="R36" s="162"/>
    </row>
    <row r="37" spans="1:18" ht="15.75" x14ac:dyDescent="0.25">
      <c r="A37" s="253">
        <v>9</v>
      </c>
      <c r="B37" s="254" t="str">
        <f>IF(NeoPrtWerkbr!C50&lt;&gt;"zijlijn",NeoPrtWerkbr!A50,"")</f>
        <v/>
      </c>
      <c r="C37" s="254"/>
      <c r="D37" s="255" t="str">
        <f>NeoPrtWerkbr!C50</f>
        <v/>
      </c>
      <c r="E37" s="256"/>
      <c r="F37" s="257" t="str">
        <f>IF(NeoPrtWerkbr!E50&lt;&gt;"",IF(D37&lt;&gt;"lidocaine",IF(NeoPrtWerkbr!M52&lt;25,NeoPrtWerkbr!E50*2,NeoPrtWerkbr!E50),NeoPrtWerkbr!E50*1.5),"")</f>
        <v/>
      </c>
      <c r="G37" s="256" t="str">
        <f>NeoPrtWerkbr!F50</f>
        <v>mg</v>
      </c>
      <c r="H37" s="258" t="str">
        <f>NeoPrtWerkbr!G50</f>
        <v>(</v>
      </c>
      <c r="I37" s="256" t="str">
        <f>NeoPrtWerkbr!H50</f>
        <v/>
      </c>
      <c r="J37" s="256" t="str">
        <f>NeoPrtWerkbr!I50</f>
        <v>mg=</v>
      </c>
      <c r="K37" s="256" t="str">
        <f>NeoPrtWerkbr!J50</f>
        <v/>
      </c>
      <c r="L37" s="256" t="str">
        <f>NeoPrtWerkbr!K50</f>
        <v>ml)</v>
      </c>
      <c r="M37" s="256"/>
      <c r="N37" s="259" t="str">
        <f>IF(B37&lt;&gt;"",IF(B37&gt;0,TRUNC((K37/I37)*F37),0),"")</f>
        <v/>
      </c>
      <c r="O37" s="260" t="str">
        <f>IF(B37&lt;&gt;"",(IF(B37&gt;0,ROUND((K37/I37)*F37,2),0)-N37)*100,"")</f>
        <v/>
      </c>
      <c r="P37" s="162"/>
      <c r="Q37" s="162"/>
      <c r="R37" s="162"/>
    </row>
    <row r="38" spans="1:18" ht="15.75" x14ac:dyDescent="0.25">
      <c r="A38" s="253"/>
      <c r="B38" s="254"/>
      <c r="C38" s="254"/>
      <c r="D38" s="261" t="str">
        <f>NeoPrtWerkbr!C52</f>
        <v/>
      </c>
      <c r="E38" s="262"/>
      <c r="F38" s="262" t="str">
        <f>NeoPrtWerkbr!E52</f>
        <v/>
      </c>
      <c r="G38" s="262"/>
      <c r="H38" s="263"/>
      <c r="I38" s="262"/>
      <c r="J38" s="262" t="str">
        <f>NeoPrtWerkbr!I51</f>
        <v>in</v>
      </c>
      <c r="K38" s="264" t="str">
        <f>IF(AND(D37&lt;&gt;"Nepresol (dihydralazine)",D37&lt;&gt;"Flolan (epoprostenol)"),NeoPrtWerkbr!J51,"NaCl 0,9%")</f>
        <v/>
      </c>
      <c r="L38" s="262"/>
      <c r="M38" s="262"/>
      <c r="N38" s="265" t="str">
        <f>IF(B37&lt;&gt;"",TRUNC(IF(B37&gt;0,N39+O39/100-N37-O37/100,0)),"")</f>
        <v/>
      </c>
      <c r="O38" s="266" t="str">
        <f>IF(B37&lt;&gt;"",(IF(B37&gt;0,N39+O39/100-N37-O37/100,0)-N38)*100,"")</f>
        <v/>
      </c>
      <c r="P38" s="162"/>
      <c r="Q38" s="162"/>
      <c r="R38" s="162"/>
    </row>
    <row r="39" spans="1:18" ht="15.75" x14ac:dyDescent="0.25">
      <c r="A39" s="253"/>
      <c r="B39" s="254"/>
      <c r="C39" s="254"/>
      <c r="D39" s="267" t="s">
        <v>527</v>
      </c>
      <c r="E39" s="268"/>
      <c r="F39" s="268" t="str">
        <f>IF(D37&lt;&gt;"",INDEX(Tbl_Neo_MedIV,NeoBerInfB!B31,2),"")</f>
        <v/>
      </c>
      <c r="G39" s="268"/>
      <c r="H39" s="270"/>
      <c r="I39" s="270"/>
      <c r="J39" s="270"/>
      <c r="K39" s="271" t="str">
        <f>NeoPrtWerkbr!J52</f>
        <v>Totaal</v>
      </c>
      <c r="L39" s="270"/>
      <c r="M39" s="270"/>
      <c r="N39" s="272" t="str">
        <f>IF(B37&lt;&gt;"",IF(D37&lt;&gt;"lidocaine",IF(_Neo_1700_Cont_OplHoev_09&lt;25,2*TRUNC(_Neo_1700_Cont_OplHoev_09),TRUNC(_Neo_1700_Cont_OplHoev_09)),TRUNC(_Neo_1700_Cont_OplHoev_09*1.5)),"")</f>
        <v/>
      </c>
      <c r="O39" s="273" t="str">
        <f>IF(B37&lt;&gt;"",IF(D37&lt;&gt;"lidocaine",IF(_Neo_1700_Cont_OplHoev_09&lt;25,(2*_Neo_1700_Cont_OplHoev_09-N39)*100,(_Neo_1700_Cont_OplHoev_09-N39)*100),1.5*_Neo_1700_Cont_OplHoev_09-N39),"")</f>
        <v/>
      </c>
      <c r="P39" s="162"/>
      <c r="Q39" s="162"/>
      <c r="R39" s="162"/>
    </row>
    <row r="40" spans="1:18" ht="9.75" customHeight="1" x14ac:dyDescent="0.2">
      <c r="A40" s="253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283"/>
      <c r="O40" s="298"/>
      <c r="P40" s="162"/>
      <c r="Q40" s="162"/>
      <c r="R40" s="162"/>
    </row>
    <row r="41" spans="1:18" ht="14.25" x14ac:dyDescent="0.2">
      <c r="A41" s="253">
        <v>10</v>
      </c>
      <c r="B41" s="193" t="str">
        <f>NeoPrtAfspr!B45</f>
        <v/>
      </c>
      <c r="C41" s="195"/>
      <c r="D41" s="299"/>
      <c r="E41" s="195"/>
      <c r="F41" s="195"/>
      <c r="G41" s="195"/>
      <c r="H41" s="298"/>
      <c r="I41" s="195"/>
      <c r="J41" s="195"/>
      <c r="K41" s="195"/>
      <c r="L41" s="195"/>
      <c r="M41" s="195"/>
      <c r="N41" s="298"/>
      <c r="O41" s="300"/>
      <c r="P41" s="162"/>
      <c r="Q41" s="162"/>
      <c r="R41" s="162"/>
    </row>
    <row r="42" spans="1:18" ht="14.25" x14ac:dyDescent="0.2">
      <c r="A42" s="253">
        <v>11</v>
      </c>
      <c r="B42" s="193" t="str">
        <f>NeoPrtAfspr!B46</f>
        <v/>
      </c>
      <c r="C42" s="195"/>
      <c r="D42" s="299"/>
      <c r="E42" s="195"/>
      <c r="F42" s="195"/>
      <c r="G42" s="195"/>
      <c r="H42" s="298"/>
      <c r="I42" s="195"/>
      <c r="J42" s="195"/>
      <c r="K42" s="195"/>
      <c r="L42" s="195"/>
      <c r="M42" s="195"/>
      <c r="N42" s="298"/>
      <c r="O42" s="300"/>
      <c r="P42" s="162"/>
      <c r="Q42" s="162"/>
      <c r="R42" s="162"/>
    </row>
    <row r="43" spans="1:18" ht="14.25" x14ac:dyDescent="0.2">
      <c r="A43" s="253">
        <v>12</v>
      </c>
      <c r="B43" s="193">
        <f>NeoPrtAfspr!B47</f>
        <v>0</v>
      </c>
      <c r="C43" s="195"/>
      <c r="D43" s="299"/>
      <c r="E43" s="195"/>
      <c r="F43" s="195"/>
      <c r="G43" s="195"/>
      <c r="H43" s="298"/>
      <c r="I43" s="195"/>
      <c r="J43" s="195"/>
      <c r="K43" s="195"/>
      <c r="L43" s="195"/>
      <c r="M43" s="195"/>
      <c r="N43" s="298"/>
      <c r="O43" s="300"/>
      <c r="P43" s="162"/>
      <c r="Q43" s="162"/>
      <c r="R43" s="162"/>
    </row>
    <row r="44" spans="1:18" x14ac:dyDescent="0.2">
      <c r="B44" s="162"/>
      <c r="C44" s="162"/>
      <c r="D44" s="168"/>
      <c r="E44" s="162"/>
      <c r="F44" s="162"/>
      <c r="G44" s="162"/>
      <c r="H44" s="283"/>
      <c r="I44" s="162"/>
      <c r="J44" s="162"/>
      <c r="K44" s="162"/>
      <c r="L44" s="162"/>
      <c r="M44" s="162"/>
      <c r="N44" s="283"/>
      <c r="O44" s="283"/>
      <c r="P44" s="162"/>
      <c r="Q44" s="162"/>
      <c r="R44" s="162"/>
    </row>
    <row r="45" spans="1:18" x14ac:dyDescent="0.2">
      <c r="B45" s="162"/>
      <c r="C45" s="162"/>
      <c r="D45" s="168"/>
      <c r="E45" s="162"/>
      <c r="F45" s="162"/>
      <c r="G45" s="162"/>
      <c r="H45" s="283"/>
      <c r="I45" s="162"/>
      <c r="J45" s="162"/>
      <c r="K45" s="162"/>
      <c r="L45" s="162"/>
      <c r="M45" s="162"/>
      <c r="N45" s="283"/>
      <c r="O45" s="283"/>
      <c r="P45" s="162"/>
      <c r="Q45" s="162"/>
      <c r="R45" s="162"/>
    </row>
    <row r="47" spans="1:18" s="203" customFormat="1" ht="9.75" customHeight="1" x14ac:dyDescent="0.2">
      <c r="A47" s="925">
        <f ca="1">TODAY()</f>
        <v>42755</v>
      </c>
      <c r="B47" s="925"/>
      <c r="C47" s="203" t="str">
        <f>"Bed "&amp;__1_Bed</f>
        <v xml:space="preserve">Bed </v>
      </c>
      <c r="E47" s="203">
        <v>1</v>
      </c>
      <c r="G47" s="925">
        <f ca="1">TODAY()</f>
        <v>42755</v>
      </c>
      <c r="H47" s="925"/>
      <c r="I47" s="203" t="str">
        <f>"Bed "&amp;__1_Bed</f>
        <v xml:space="preserve">Bed </v>
      </c>
      <c r="K47" s="203">
        <v>2</v>
      </c>
      <c r="M47" s="925">
        <f ca="1">TODAY()</f>
        <v>42755</v>
      </c>
      <c r="N47" s="926"/>
      <c r="O47" s="203" t="str">
        <f>"Bed "&amp;__1_Bed</f>
        <v xml:space="preserve">Bed </v>
      </c>
      <c r="Q47" s="203">
        <v>3</v>
      </c>
    </row>
    <row r="48" spans="1:18" ht="9.9499999999999993" customHeight="1" x14ac:dyDescent="0.2">
      <c r="A48" s="301" t="str">
        <f>IF(D5&lt;&gt;"",__3_VoorNaam&amp;" "&amp;__2_AchterNaam,"")</f>
        <v xml:space="preserve"> </v>
      </c>
      <c r="B48" s="203"/>
      <c r="C48" s="203"/>
      <c r="E48" s="203"/>
      <c r="F48" s="203"/>
      <c r="G48" s="301" t="str">
        <f>IF(D9&lt;&gt;"",__3_VoorNaam&amp;" "&amp;__2_AchterNaam,"")</f>
        <v xml:space="preserve"> </v>
      </c>
      <c r="H48" s="203"/>
      <c r="I48" s="203"/>
      <c r="J48" s="203"/>
      <c r="K48" s="203"/>
      <c r="L48" s="203"/>
      <c r="M48" s="301" t="str">
        <f>IF(D13&lt;&gt;"",__3_VoorNaam&amp;" "&amp;__2_AchterNaam,"")</f>
        <v/>
      </c>
      <c r="N48" s="203"/>
      <c r="O48" s="203"/>
      <c r="P48" s="203"/>
      <c r="Q48" s="203"/>
    </row>
    <row r="49" spans="1:18" ht="9.9499999999999993" customHeight="1" x14ac:dyDescent="0.2">
      <c r="A49" s="203" t="str">
        <f>IF(D5&lt;&gt;"",D5&amp;" "&amp;NeoPrtWerkbr!E26&amp;" "&amp;G5,"")</f>
        <v>clonidine 0,01 mg</v>
      </c>
      <c r="B49" s="203"/>
      <c r="C49" s="203"/>
      <c r="E49" s="203"/>
      <c r="F49" s="203"/>
      <c r="G49" s="203" t="str">
        <f>IF(D9&lt;&gt;"",D9&amp;" "&amp;NeoPrtWerkbr!E29&amp;" "&amp;G9,"")</f>
        <v>Epi bupi 2,5 mg, sufenta 1 mcg /ml 30 mg</v>
      </c>
      <c r="H49" s="203"/>
      <c r="I49" s="203"/>
      <c r="K49" s="203"/>
      <c r="L49" s="203"/>
      <c r="M49" s="203" t="str">
        <f>IF(D13&lt;&gt;"",D13&amp;" "&amp;NeoPrtWerkbr!E32&amp;" "&amp;G13,"")</f>
        <v/>
      </c>
      <c r="N49" s="203"/>
      <c r="O49" s="203"/>
      <c r="Q49" s="203"/>
    </row>
    <row r="50" spans="1:18" ht="9.9499999999999993" customHeight="1" x14ac:dyDescent="0.2">
      <c r="A50" s="302" t="str">
        <f>NeoPrtAfspr!G33&amp;" "&amp;K6</f>
        <v>12 ml NaCl 0,9%</v>
      </c>
      <c r="B50" s="302"/>
      <c r="C50" s="302"/>
      <c r="D50" s="203" t="str">
        <f>IF(_Neo_1700_Cont_OplHoev_01&gt;0,"("&amp;N7-_Neo_1700_Cont_OplHoev_01&amp;" ml extra)","")</f>
        <v/>
      </c>
      <c r="E50" s="302"/>
      <c r="F50" s="203"/>
      <c r="G50" s="203" t="e">
        <f>NeoPrtAfspr!G34&amp;" "&amp;K10</f>
        <v>#VALUE!</v>
      </c>
      <c r="H50" s="203"/>
      <c r="I50" s="203"/>
      <c r="J50" s="203" t="str">
        <f>IF(_Neo_1700_Cont_OplHoev_02&gt;0,"("&amp;N11-_Neo_1700_Cont_OplHoev_02&amp;" ml extra)","")</f>
        <v/>
      </c>
      <c r="K50" s="203"/>
      <c r="L50" s="203"/>
      <c r="M50" s="203" t="str">
        <f>NeoPrtAfspr!G35&amp;" "&amp;K14</f>
        <v xml:space="preserve"> </v>
      </c>
      <c r="N50" s="203"/>
      <c r="O50" s="203"/>
      <c r="P50" s="203" t="str">
        <f>IF(_Neo_1700_Cont_OplHoev_03&gt;0,"("&amp;N15-_Neo_1700_Cont_OplHoev_03&amp;" ml extra)","")</f>
        <v/>
      </c>
      <c r="Q50" s="203"/>
    </row>
    <row r="51" spans="1:18" ht="9.9499999999999993" customHeight="1" x14ac:dyDescent="0.2">
      <c r="A51" s="203" t="str">
        <f>IF(D6&lt;&gt;"",D6,"")</f>
        <v>1,6 ml/uur</v>
      </c>
      <c r="B51" s="203"/>
      <c r="C51" s="203" t="str">
        <f>F6</f>
        <v xml:space="preserve"> = 1,33 microg/kg/uur</v>
      </c>
      <c r="D51" s="203"/>
      <c r="E51" s="203"/>
      <c r="F51" s="203"/>
      <c r="G51" s="203" t="str">
        <f>IF(D10&lt;&gt;"",D10,"")</f>
        <v>0,5 ml/uur</v>
      </c>
      <c r="H51" s="203"/>
      <c r="I51" s="203" t="e">
        <f>IF(F10&lt;&gt;"",F10,"")</f>
        <v>#REF!</v>
      </c>
      <c r="J51" s="203"/>
      <c r="K51" s="203"/>
      <c r="L51" s="203"/>
      <c r="M51" s="203" t="str">
        <f>IF(D14&lt;&gt;"",$D$14,"")</f>
        <v/>
      </c>
      <c r="N51" s="203"/>
      <c r="O51" s="203" t="str">
        <f>IF(F14&lt;&gt;"",$F$14,"")</f>
        <v/>
      </c>
      <c r="P51" s="203"/>
      <c r="Q51" s="203"/>
    </row>
    <row r="52" spans="1:18" ht="9.9499999999999993" customHeight="1" x14ac:dyDescent="0.2">
      <c r="A52" s="203"/>
      <c r="B52" s="203"/>
      <c r="D52" s="203" t="str">
        <f>"Exp: "</f>
        <v xml:space="preserve">Exp: </v>
      </c>
      <c r="E52" s="925">
        <f ca="1">TODAY()+1</f>
        <v>42756</v>
      </c>
      <c r="F52" s="925"/>
      <c r="G52" s="203"/>
      <c r="H52" s="203"/>
      <c r="I52" s="203"/>
      <c r="J52" s="203" t="str">
        <f>"Exp: "</f>
        <v xml:space="preserve">Exp: </v>
      </c>
      <c r="K52" s="925">
        <f ca="1">TODAY()+1</f>
        <v>42756</v>
      </c>
      <c r="L52" s="925"/>
      <c r="M52" s="203"/>
      <c r="N52" s="203"/>
      <c r="O52" s="203"/>
      <c r="P52" s="203" t="str">
        <f>"Exp: "</f>
        <v xml:space="preserve">Exp: </v>
      </c>
      <c r="Q52" s="925">
        <f ca="1">TODAY()+1</f>
        <v>42756</v>
      </c>
      <c r="R52" s="925"/>
    </row>
    <row r="53" spans="1:18" ht="9.9499999999999993" customHeight="1" x14ac:dyDescent="0.2"/>
    <row r="54" spans="1:18" ht="9.9499999999999993" customHeight="1" x14ac:dyDescent="0.2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</row>
    <row r="55" spans="1:18" ht="9.9499999999999993" customHeight="1" x14ac:dyDescent="0.2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</row>
    <row r="56" spans="1:18" ht="9.9499999999999993" customHeight="1" x14ac:dyDescent="0.2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</row>
    <row r="57" spans="1:18" ht="15.75" customHeight="1" x14ac:dyDescent="0.2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</row>
    <row r="58" spans="1:18" ht="9.75" customHeight="1" x14ac:dyDescent="0.2">
      <c r="A58" s="925">
        <f ca="1">TODAY()</f>
        <v>42755</v>
      </c>
      <c r="B58" s="926"/>
      <c r="C58" s="203" t="str">
        <f>"Bed "&amp;__1_Bed</f>
        <v xml:space="preserve">Bed </v>
      </c>
      <c r="D58" s="203"/>
      <c r="E58" s="203">
        <v>4</v>
      </c>
      <c r="F58" s="203"/>
      <c r="G58" s="925">
        <f ca="1">TODAY()</f>
        <v>42755</v>
      </c>
      <c r="H58" s="926"/>
      <c r="I58" s="203" t="str">
        <f>"Bed "&amp;__1_Bed</f>
        <v xml:space="preserve">Bed </v>
      </c>
      <c r="J58" s="203"/>
      <c r="K58" s="203">
        <v>5</v>
      </c>
      <c r="L58" s="203"/>
      <c r="M58" s="925">
        <f ca="1">TODAY()</f>
        <v>42755</v>
      </c>
      <c r="N58" s="926"/>
      <c r="O58" s="203" t="str">
        <f>"Bed "&amp;__1_Bed</f>
        <v xml:space="preserve">Bed </v>
      </c>
      <c r="P58" s="203"/>
      <c r="Q58" s="203">
        <v>6</v>
      </c>
    </row>
    <row r="59" spans="1:18" ht="9.9499999999999993" customHeight="1" x14ac:dyDescent="0.2">
      <c r="A59" s="301" t="str">
        <f>IF(D17&lt;&gt;"",__3_VoorNaam&amp;" "&amp;__2_AchterNaam,"")</f>
        <v/>
      </c>
      <c r="B59" s="203"/>
      <c r="C59" s="203"/>
      <c r="D59" s="203"/>
      <c r="E59" s="203"/>
      <c r="F59" s="203"/>
      <c r="G59" s="301" t="str">
        <f>IF(D21&lt;&gt;"",__3_VoorNaam&amp;" "&amp;__2_AchterNaam,"")</f>
        <v/>
      </c>
      <c r="H59" s="203"/>
      <c r="I59" s="203"/>
      <c r="J59" s="203"/>
      <c r="K59" s="203"/>
      <c r="L59" s="203"/>
      <c r="M59" s="301" t="str">
        <f>IF(D25&lt;&gt;"",__3_VoorNaam&amp;" "&amp;__2_AchterNaam,"")</f>
        <v/>
      </c>
      <c r="N59" s="203"/>
      <c r="O59" s="203"/>
      <c r="P59" s="203"/>
      <c r="Q59" s="203"/>
    </row>
    <row r="60" spans="1:18" ht="9.9499999999999993" customHeight="1" x14ac:dyDescent="0.2">
      <c r="A60" s="203" t="str">
        <f>IF(D17&lt;&gt;"",D17&amp;" "&amp;NeoPrtWerkbr!E35&amp;" "&amp;G17,"")</f>
        <v/>
      </c>
      <c r="B60" s="203"/>
      <c r="C60" s="203"/>
      <c r="E60" s="203"/>
      <c r="F60" s="203"/>
      <c r="G60" s="203" t="str">
        <f>IF(D21&lt;&gt;"",D21&amp;" "&amp;NeoPrtWerkbr!E38&amp;" "&amp;G21,"")</f>
        <v/>
      </c>
      <c r="H60" s="203"/>
      <c r="I60" s="203"/>
      <c r="K60" s="203"/>
      <c r="L60" s="203"/>
      <c r="M60" s="203" t="str">
        <f>IF(D25&lt;&gt;"",D25&amp;" "&amp;NeoPrtWerkbr!E41&amp;" "&amp;G25,"")</f>
        <v/>
      </c>
      <c r="N60" s="203"/>
      <c r="O60" s="203"/>
      <c r="Q60" s="203"/>
    </row>
    <row r="61" spans="1:18" ht="9.9499999999999993" customHeight="1" x14ac:dyDescent="0.2">
      <c r="A61" s="203" t="str">
        <f>NeoPrtAfspr!G36&amp;" "&amp;K18</f>
        <v xml:space="preserve"> </v>
      </c>
      <c r="B61" s="203"/>
      <c r="C61" s="203"/>
      <c r="D61" s="203" t="str">
        <f>IF(_Neo_1700_Cont_OplHoev_04&gt;0,"("&amp;N19-_Neo_1700_Cont_OplHoev_04&amp;" ml extra)","")</f>
        <v/>
      </c>
      <c r="E61" s="203"/>
      <c r="F61" s="203"/>
      <c r="G61" s="203" t="str">
        <f>NeoPrtAfspr!G37&amp;" "&amp;K22</f>
        <v xml:space="preserve"> </v>
      </c>
      <c r="H61" s="203"/>
      <c r="I61" s="203"/>
      <c r="J61" s="203" t="str">
        <f>IF(_Neo_1700_Cont_OplHoev_05&gt;0,"("&amp;N23-_Neo_1700_Cont_OplHoev_05&amp;" ml extra)","")</f>
        <v/>
      </c>
      <c r="K61" s="203"/>
      <c r="L61" s="203"/>
      <c r="M61" s="203" t="str">
        <f>NeoPrtAfspr!G38&amp;" "&amp;K26</f>
        <v xml:space="preserve"> </v>
      </c>
      <c r="N61" s="203"/>
      <c r="O61" s="203"/>
      <c r="P61" s="203" t="str">
        <f>IF(_Neo_1700_Cont_OplHoev_06&gt;0,"("&amp;N27-_Neo_1700_Cont_OplHoev_06&amp;" ml extra)","")</f>
        <v/>
      </c>
      <c r="Q61" s="203"/>
    </row>
    <row r="62" spans="1:18" ht="9.9499999999999993" customHeight="1" x14ac:dyDescent="0.2">
      <c r="A62" s="203" t="str">
        <f>IF(D18&lt;&gt;"",D18,"")</f>
        <v/>
      </c>
      <c r="B62" s="203"/>
      <c r="C62" s="203" t="str">
        <f>F18</f>
        <v/>
      </c>
      <c r="D62" s="203"/>
      <c r="E62" s="203"/>
      <c r="F62" s="203"/>
      <c r="G62" s="203" t="str">
        <f>IF(D22&lt;&gt;"",D22,"")</f>
        <v/>
      </c>
      <c r="H62" s="203"/>
      <c r="I62" s="203" t="str">
        <f>IF(F22&lt;&gt;"",F22,"")</f>
        <v/>
      </c>
      <c r="J62" s="203"/>
      <c r="K62" s="203"/>
      <c r="L62" s="203"/>
      <c r="M62" s="203" t="str">
        <f>IF(D26&lt;&gt;"",$D$26,"")</f>
        <v/>
      </c>
      <c r="N62" s="203"/>
      <c r="O62" s="203" t="str">
        <f>IF(F26&lt;&gt;"",$F$26,"")</f>
        <v/>
      </c>
      <c r="P62" s="203"/>
      <c r="Q62" s="203"/>
    </row>
    <row r="63" spans="1:18" ht="9.9499999999999993" customHeight="1" x14ac:dyDescent="0.2">
      <c r="A63" s="203"/>
      <c r="B63" s="203"/>
      <c r="C63" s="203"/>
      <c r="D63" s="203" t="str">
        <f>"Exp: "</f>
        <v xml:space="preserve">Exp: </v>
      </c>
      <c r="E63" s="925">
        <f ca="1">TODAY()+1</f>
        <v>42756</v>
      </c>
      <c r="F63" s="925"/>
      <c r="G63" s="203"/>
      <c r="H63" s="203"/>
      <c r="I63" s="203"/>
      <c r="J63" s="203" t="str">
        <f>"Exp: "</f>
        <v xml:space="preserve">Exp: </v>
      </c>
      <c r="K63" s="925">
        <f ca="1">TODAY()+1</f>
        <v>42756</v>
      </c>
      <c r="L63" s="925"/>
      <c r="M63" s="203"/>
      <c r="N63" s="203"/>
      <c r="O63" s="203"/>
      <c r="P63" s="203" t="str">
        <f>"Exp: "</f>
        <v xml:space="preserve">Exp: </v>
      </c>
      <c r="Q63" s="925">
        <f ca="1">TODAY()+1</f>
        <v>42756</v>
      </c>
      <c r="R63" s="925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435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1889</vt:i4>
      </vt:variant>
    </vt:vector>
  </HeadingPairs>
  <TitlesOfParts>
    <vt:vector size="1953" baseType="lpstr">
      <vt:lpstr>Global--&gt;</vt:lpstr>
      <vt:lpstr>GlobGuiFront</vt:lpstr>
      <vt:lpstr>GlobGuiMedDisc</vt:lpstr>
      <vt:lpstr>GlobBerMedDisc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Tbl_Glob_ParEnt</vt:lpstr>
      <vt:lpstr>tbl_Glob_Patient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tbl_Ped_LiquorDrain</vt:lpstr>
      <vt:lpstr>Tbl_Ped_MedContIV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2017-01-20T12:24:48Z</dcterms:modified>
</cp:coreProperties>
</file>