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drawings/drawing2.xml" ContentType="application/vnd.openxmlformats-officedocument.drawing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drawings/drawing3.xml" ContentType="application/vnd.openxmlformats-officedocument.drawing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drawings/drawing4.xml" ContentType="application/vnd.openxmlformats-officedocument.drawing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drawings/drawing5.xml" ContentType="application/vnd.openxmlformats-officedocument.drawing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drawings/drawing6.xml" ContentType="application/vnd.openxmlformats-officedocument.drawing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drawings/drawing10.xml" ContentType="application/vnd.openxmlformats-officedocument.drawing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drawings/drawing13.xml" ContentType="application/vnd.openxmlformats-officedocument.drawing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2729" tabRatio="912" firstSheet="11" activeTab="11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GuiMedIV" sheetId="10" r:id="rId14"/>
    <sheet name="Pediatrie--&gt;" sheetId="63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PrtWerkbrAct" sheetId="74" r:id="rId46"/>
    <sheet name="NeoGui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PatData!$A$1:$P$574</definedName>
    <definedName name="_Glob_MedDisc_ATC_01">GlobBerMedDisc!$AF$2</definedName>
    <definedName name="_Glob_MedDisc_ATC_02">GlobBerMedDisc!$AF$3</definedName>
    <definedName name="_Glob_MedDisc_ATC_03">GlobBerMedDisc!$AF$4</definedName>
    <definedName name="_Glob_MedDisc_ATC_04">GlobBerMedDisc!$AF$5</definedName>
    <definedName name="_Glob_MedDisc_ATC_05">GlobBerMedDisc!$AF$6</definedName>
    <definedName name="_Glob_MedDisc_ATC_06">GlobBerMedDisc!$AF$7</definedName>
    <definedName name="_Glob_MedDisc_ATC_07">GlobBerMedDisc!$AF$8</definedName>
    <definedName name="_Glob_MedDisc_ATC_08">GlobBerMedDisc!$AF$9</definedName>
    <definedName name="_Glob_MedDisc_ATC_09">GlobBerMedDisc!$AF$10</definedName>
    <definedName name="_Glob_MedDisc_ATC_10">GlobBerMedDisc!$AF$11</definedName>
    <definedName name="_Glob_MedDisc_ATC_11">GlobBerMedDisc!$AF$12</definedName>
    <definedName name="_Glob_MedDisc_ATC_12">GlobBerMedDisc!$AF$13</definedName>
    <definedName name="_Glob_MedDisc_ATC_13">GlobBerMedDisc!$AF$14</definedName>
    <definedName name="_Glob_MedDisc_ATC_14">GlobBerMedDisc!$AF$15</definedName>
    <definedName name="_Glob_MedDisc_ATC_15">GlobBerMedDisc!$AF$16</definedName>
    <definedName name="_Glob_MedDisc_ATC_16">GlobBerMedDisc!$AF$17</definedName>
    <definedName name="_Glob_MedDisc_ATC_17">GlobBerMedDisc!$AF$18</definedName>
    <definedName name="_Glob_MedDisc_ATC_18">GlobBerMedDisc!$AF$19</definedName>
    <definedName name="_Glob_MedDisc_ATC_19">GlobBerMedDisc!$AF$20</definedName>
    <definedName name="_Glob_MedDisc_ATC_20">GlobBerMedDisc!$AF$21</definedName>
    <definedName name="_Glob_MedDisc_ATC_21">GlobBerMedDisc!$AF$22</definedName>
    <definedName name="_Glob_MedDisc_ATC_22">GlobBerMedDisc!$AF$23</definedName>
    <definedName name="_Glob_MedDisc_ATC_23">GlobBerMedDisc!$AF$24</definedName>
    <definedName name="_Glob_MedDisc_ATC_24">GlobBerMedDisc!$AF$25</definedName>
    <definedName name="_Glob_MedDisc_ATC_25">GlobBerMedDisc!$AF$26</definedName>
    <definedName name="_Glob_MedDisc_ATC_26">GlobBerMedDisc!$AF$27</definedName>
    <definedName name="_Glob_MedDisc_ATC_27">GlobBerMedDisc!$AF$28</definedName>
    <definedName name="_Glob_MedDisc_ATC_28">GlobBerMedDisc!$AF$29</definedName>
    <definedName name="_Glob_MedDisc_ATC_29">GlobBerMedDisc!$AF$30</definedName>
    <definedName name="_Glob_MedDisc_ATC_30">GlobBerMedDisc!$AF$31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GlobBerMedDisc!$AI$2</definedName>
    <definedName name="_Glob_MedDisc_Etiket_02">GlobBerMedDisc!$AI$3</definedName>
    <definedName name="_Glob_MedDisc_Etiket_03">GlobBerMedDisc!$AI$4</definedName>
    <definedName name="_Glob_MedDisc_Etiket_04">GlobBerMedDisc!$AI$5</definedName>
    <definedName name="_Glob_MedDisc_Etiket_05">GlobBerMedDisc!$AI$6</definedName>
    <definedName name="_Glob_MedDisc_Etiket_06">GlobBerMedDisc!$AI$7</definedName>
    <definedName name="_Glob_MedDisc_Etiket_07">GlobBerMedDisc!$AI$8</definedName>
    <definedName name="_Glob_MedDisc_Etiket_08">GlobBerMedDisc!$AI$9</definedName>
    <definedName name="_Glob_MedDisc_Etiket_09">GlobBerMedDisc!$AI$10</definedName>
    <definedName name="_Glob_MedDisc_Etiket_10">GlobBerMedDisc!$AI$11</definedName>
    <definedName name="_Glob_MedDisc_Etiket_11">GlobBerMedDisc!$AI$12</definedName>
    <definedName name="_Glob_MedDisc_Etiket_12">GlobBerMedDisc!$AI$13</definedName>
    <definedName name="_Glob_MedDisc_Etiket_13">GlobBerMedDisc!$AI$14</definedName>
    <definedName name="_Glob_MedDisc_Etiket_14">GlobBerMedDisc!$AI$15</definedName>
    <definedName name="_Glob_MedDisc_Etiket_15">GlobBerMedDisc!$AI$16</definedName>
    <definedName name="_Glob_MedDisc_Etiket_16">GlobBerMedDisc!$AI$17</definedName>
    <definedName name="_Glob_MedDisc_Etiket_17">GlobBerMedDisc!$AI$18</definedName>
    <definedName name="_Glob_MedDisc_Etiket_18">GlobBerMedDisc!$AI$19</definedName>
    <definedName name="_Glob_MedDisc_Etiket_19">GlobBerMedDisc!$AI$20</definedName>
    <definedName name="_Glob_MedDisc_Etiket_20">GlobBerMedDisc!$AI$21</definedName>
    <definedName name="_Glob_MedDisc_Etiket_21">GlobBerMedDisc!$AI$22</definedName>
    <definedName name="_Glob_MedDisc_Etiket_22">GlobBerMedDisc!$AI$23</definedName>
    <definedName name="_Glob_MedDisc_Etiket_23">GlobBerMedDisc!$AI$24</definedName>
    <definedName name="_Glob_MedDisc_Etiket_24">GlobBerMedDisc!$AI$25</definedName>
    <definedName name="_Glob_MedDisc_Etiket_25">GlobBerMedDisc!$AI$26</definedName>
    <definedName name="_Glob_MedDisc_Etiket_26">GlobBerMedDisc!$AI$27</definedName>
    <definedName name="_Glob_MedDisc_Etiket_27">GlobBerMedDisc!$AI$28</definedName>
    <definedName name="_Glob_MedDisc_Etiket_28">GlobBerMedDisc!$AI$29</definedName>
    <definedName name="_Glob_MedDisc_Etiket_29">GlobBerMedDisc!$AI$30</definedName>
    <definedName name="_Glob_MedDisc_Etiket_30">GlobBerMedDisc!$AI$31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Keuze_01">GlobBerMedDisc!$C$2</definedName>
    <definedName name="_Glob_MedDisc_Keuze_02">GlobBerMedDisc!$C$3</definedName>
    <definedName name="_Glob_MedDisc_Keuze_03">GlobBerMedDisc!$C$4</definedName>
    <definedName name="_Glob_MedDisc_Keuze_04">GlobBerMedDisc!$C$5</definedName>
    <definedName name="_Glob_MedDisc_Keuze_05">GlobBerMedDisc!$C$6</definedName>
    <definedName name="_Glob_MedDisc_Keuze_06">GlobBerMedDisc!$C$7</definedName>
    <definedName name="_Glob_MedDisc_Keuze_07">GlobBerMedDisc!$C$8</definedName>
    <definedName name="_Glob_MedDisc_Keuze_08">GlobBerMedDisc!$C$9</definedName>
    <definedName name="_Glob_MedDisc_Keuze_09">GlobBerMedDisc!$C$10</definedName>
    <definedName name="_Glob_MedDisc_Keuze_10">GlobBerMedDisc!$C$11</definedName>
    <definedName name="_Glob_MedDisc_Keuze_11">GlobBerMedDisc!$C$12</definedName>
    <definedName name="_Glob_MedDisc_Keuze_12">GlobBerMedDisc!$C$13</definedName>
    <definedName name="_Glob_MedDisc_Keuze_13">GlobBerMedDisc!$C$14</definedName>
    <definedName name="_Glob_MedDisc_Keuze_14">GlobBerMedDisc!$C$15</definedName>
    <definedName name="_Glob_MedDisc_Keuze_15">GlobBerMedDisc!$C$16</definedName>
    <definedName name="_Glob_MedDisc_Keuze_16">GlobBerMedDisc!$C$17</definedName>
    <definedName name="_Glob_MedDisc_Keuze_17">GlobBerMedDisc!$C$18</definedName>
    <definedName name="_Glob_MedDisc_Keuze_18">GlobBerMedDisc!$C$19</definedName>
    <definedName name="_Glob_MedDisc_Keuze_19">GlobBerMedDisc!$C$20</definedName>
    <definedName name="_Glob_MedDisc_Keuze_20">GlobBerMedDisc!$C$21</definedName>
    <definedName name="_Glob_MedDisc_Keuze_21">GlobBerMedDisc!$C$22</definedName>
    <definedName name="_Glob_MedDisc_Keuze_22">GlobBerMedDisc!$C$23</definedName>
    <definedName name="_Glob_MedDisc_Keuze_23">GlobBerMedDisc!$C$24</definedName>
    <definedName name="_Glob_MedDisc_Keuze_24">GlobBerMedDisc!$C$25</definedName>
    <definedName name="_Glob_MedDisc_Keuze_25">GlobBerMedDisc!$C$26</definedName>
    <definedName name="_Glob_MedDisc_Keuze_26">GlobBerMedDisc!$C$27</definedName>
    <definedName name="_Glob_MedDisc_Keuze_27">GlobBerMedDisc!$C$28</definedName>
    <definedName name="_Glob_MedDisc_Keuze_28">GlobBerMedDisc!$C$29</definedName>
    <definedName name="_Glob_MedDisc_Keuze_29">GlobBerMedDisc!$C$30</definedName>
    <definedName name="_Glob_MedDisc_Keuze_30">GlobBerMedDisc!$C$31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GlobBerMedDisc!$AG$2</definedName>
    <definedName name="_Glob_MedDisc_Sterkte_02">GlobBerMedDisc!$AG$3</definedName>
    <definedName name="_Glob_MedDisc_Sterkte_03">GlobBerMedDisc!$AG$4</definedName>
    <definedName name="_Glob_MedDisc_Sterkte_04">GlobBerMedDisc!$AG$5</definedName>
    <definedName name="_Glob_MedDisc_Sterkte_05">GlobBerMedDisc!$AG$6</definedName>
    <definedName name="_Glob_MedDisc_Sterkte_06">GlobBerMedDisc!$AG$7</definedName>
    <definedName name="_Glob_MedDisc_Sterkte_07">GlobBerMedDisc!$AG$8</definedName>
    <definedName name="_Glob_MedDisc_Sterkte_08">GlobBerMedDisc!$AG$9</definedName>
    <definedName name="_Glob_MedDisc_Sterkte_09">GlobBerMedDisc!$AG$10</definedName>
    <definedName name="_Glob_MedDisc_Sterkte_10">GlobBerMedDisc!$AG$11</definedName>
    <definedName name="_Glob_MedDisc_Sterkte_11">GlobBerMedDisc!$AG$12</definedName>
    <definedName name="_Glob_MedDisc_Sterkte_12">GlobBerMedDisc!$AG$13</definedName>
    <definedName name="_Glob_MedDisc_Sterkte_13">GlobBerMedDisc!$AG$14</definedName>
    <definedName name="_Glob_MedDisc_Sterkte_14">GlobBerMedDisc!$AG$15</definedName>
    <definedName name="_Glob_MedDisc_Sterkte_15">GlobBerMedDisc!$AG$16</definedName>
    <definedName name="_Glob_MedDisc_Sterkte_16">GlobBerMedDisc!$AG$17</definedName>
    <definedName name="_Glob_MedDisc_Sterkte_17">GlobBerMedDisc!$AG$18</definedName>
    <definedName name="_Glob_MedDisc_Sterkte_18">GlobBerMedDisc!$AG$19</definedName>
    <definedName name="_Glob_MedDisc_Sterkte_19">GlobBerMedDisc!$AG$20</definedName>
    <definedName name="_Glob_MedDisc_Sterkte_20">GlobBerMedDisc!$AG$21</definedName>
    <definedName name="_Glob_MedDisc_Sterkte_21">GlobBerMedDisc!$AG$22</definedName>
    <definedName name="_Glob_MedDisc_Sterkte_22">GlobBerMedDisc!$AG$23</definedName>
    <definedName name="_Glob_MedDisc_Sterkte_23">GlobBerMedDisc!$AG$24</definedName>
    <definedName name="_Glob_MedDisc_Sterkte_24">GlobBerMedDisc!$AG$25</definedName>
    <definedName name="_Glob_MedDisc_Sterkte_25">GlobBerMedDisc!$AG$26</definedName>
    <definedName name="_Glob_MedDisc_Sterkte_26">GlobBerMedDisc!$AG$27</definedName>
    <definedName name="_Glob_MedDisc_Sterkte_27">GlobBerMedDisc!$AG$28</definedName>
    <definedName name="_Glob_MedDisc_Sterkte_28">GlobBerMedDisc!$AG$29</definedName>
    <definedName name="_Glob_MedDisc_Sterkte_29">GlobBerMedDisc!$AG$30</definedName>
    <definedName name="_Glob_MedDisc_Sterkte_30">GlobBerMedDisc!$AG$31</definedName>
    <definedName name="_Glob_MedDisc_SterkteEenh_01">GlobBerMedDisc!$AH$2</definedName>
    <definedName name="_Glob_MedDisc_SterkteEenh_02">GlobBerMedDisc!$AH$3</definedName>
    <definedName name="_Glob_MedDisc_SterkteEenh_03">GlobBerMedDisc!$AH$4</definedName>
    <definedName name="_Glob_MedDisc_SterkteEenh_04">GlobBerMedDisc!$AH$5</definedName>
    <definedName name="_Glob_MedDisc_SterkteEenh_05">GlobBerMedDisc!$AH$6</definedName>
    <definedName name="_Glob_MedDisc_SterkteEenh_06">GlobBerMedDisc!$AH$7</definedName>
    <definedName name="_Glob_MedDisc_SterkteEenh_07">GlobBerMedDisc!$AH$8</definedName>
    <definedName name="_Glob_MedDisc_SterkteEenh_08">GlobBerMedDisc!$AH$9</definedName>
    <definedName name="_Glob_MedDisc_SterkteEenh_09">GlobBerMedDisc!$AH$10</definedName>
    <definedName name="_Glob_MedDisc_SterkteEenh_10">GlobBerMedDisc!$AH$11</definedName>
    <definedName name="_Glob_MedDisc_SterkteEenh_11">GlobBerMedDisc!$AH$12</definedName>
    <definedName name="_Glob_MedDisc_SterkteEenh_12">GlobBerMedDisc!$AH$13</definedName>
    <definedName name="_Glob_MedDisc_SterkteEenh_13">GlobBerMedDisc!$AH$14</definedName>
    <definedName name="_Glob_MedDisc_SterkteEenh_14">GlobBerMedDisc!$AH$15</definedName>
    <definedName name="_Glob_MedDisc_SterkteEenh_15">GlobBerMedDisc!$AH$16</definedName>
    <definedName name="_Glob_MedDisc_SterkteEenh_16">GlobBerMedDisc!$AH$17</definedName>
    <definedName name="_Glob_MedDisc_SterkteEenh_17">GlobBerMedDisc!$AH$18</definedName>
    <definedName name="_Glob_MedDisc_SterkteEenh_18">GlobBerMedDisc!$AH$19</definedName>
    <definedName name="_Glob_MedDisc_SterkteEenh_19">GlobBerMedDisc!$AH$20</definedName>
    <definedName name="_Glob_MedDisc_SterkteEenh_20">GlobBerMedDisc!$AH$21</definedName>
    <definedName name="_Glob_MedDisc_SterkteEenh_21">GlobBerMedDisc!$AH$22</definedName>
    <definedName name="_Glob_MedDisc_SterkteEenh_22">GlobBerMedDisc!$AH$23</definedName>
    <definedName name="_Glob_MedDisc_SterkteEenh_23">GlobBerMedDisc!$AH$24</definedName>
    <definedName name="_Glob_MedDisc_SterkteEenh_24">GlobBerMedDisc!$AH$25</definedName>
    <definedName name="_Glob_MedDisc_SterkteEenh_25">GlobBerMedDisc!$AH$26</definedName>
    <definedName name="_Glob_MedDisc_SterkteEenh_26">GlobBerMedDisc!$AH$27</definedName>
    <definedName name="_Glob_MedDisc_SterkteEenh_27">GlobBerMedDisc!$AH$28</definedName>
    <definedName name="_Glob_MedDisc_SterkteEenh_28">GlobBerMedDisc!$AH$29</definedName>
    <definedName name="_Glob_MedDisc_SterkteEenh_29">GlobBerMedDisc!$AH$30</definedName>
    <definedName name="_Glob_MedDisc_SterkteEenh_30">GlobBerMedDisc!$AH$31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PatDetails!$D$2</definedName>
    <definedName name="Var_Glob_Versie">PatDetails!$E$2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12" i="8" l="1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" i="6"/>
  <c r="F2" i="6" l="1"/>
  <c r="H4" i="10" l="1"/>
  <c r="E4" i="60"/>
  <c r="H4" i="58"/>
  <c r="G4" i="20"/>
  <c r="F4" i="17"/>
  <c r="J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G4" i="60"/>
  <c r="G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5" i="21"/>
  <c r="F5" i="21"/>
  <c r="G18" i="20" s="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D25" i="3"/>
  <c r="E5" i="3"/>
  <c r="F3" i="60"/>
  <c r="J2" i="58"/>
  <c r="J35" i="20"/>
  <c r="J34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17" i="32" l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H2" i="60"/>
  <c r="D5" i="58"/>
  <c r="D5" i="20"/>
  <c r="J2" i="17"/>
  <c r="O2" i="13"/>
  <c r="D5" i="10"/>
  <c r="V18" i="12" l="1"/>
  <c r="U18" i="12"/>
  <c r="V17" i="12"/>
  <c r="U17" i="12"/>
  <c r="V16" i="12"/>
  <c r="U16" i="12"/>
  <c r="V15" i="12"/>
  <c r="U15" i="12"/>
  <c r="V14" i="12"/>
  <c r="U14" i="12"/>
  <c r="V13" i="12"/>
  <c r="U13" i="12"/>
  <c r="H2" i="12"/>
  <c r="H14" i="12" l="1"/>
  <c r="H21" i="10" s="1"/>
  <c r="H13" i="12"/>
  <c r="H20" i="10" s="1"/>
  <c r="H15" i="12"/>
  <c r="H22" i="10" s="1"/>
  <c r="H16" i="12"/>
  <c r="H23" i="10" s="1"/>
  <c r="H17" i="12"/>
  <c r="H24" i="10" s="1"/>
  <c r="D4" i="56" l="1"/>
  <c r="H3" i="56"/>
  <c r="D3" i="56"/>
  <c r="H2" i="56"/>
  <c r="D4" i="58"/>
  <c r="H3" i="58"/>
  <c r="D3" i="58"/>
  <c r="H2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E3" i="60"/>
  <c r="C3" i="60"/>
  <c r="E2" i="60"/>
  <c r="C44" i="60"/>
  <c r="C55" i="9" s="1"/>
  <c r="C41" i="60"/>
  <c r="C52" i="9" s="1"/>
  <c r="C42" i="60" l="1"/>
  <c r="C53" i="9" s="1"/>
  <c r="C2" i="60"/>
  <c r="F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H15" i="39" s="1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E13" i="24" s="1"/>
  <c r="D9" i="24"/>
  <c r="E9" i="24" s="1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L12" i="12" l="1"/>
  <c r="R12" i="12"/>
  <c r="S34" i="11"/>
  <c r="S32" i="11"/>
  <c r="S30" i="11"/>
  <c r="S28" i="11"/>
  <c r="S26" i="11"/>
  <c r="S24" i="11"/>
  <c r="S22" i="11"/>
  <c r="S20" i="11"/>
  <c r="S18" i="11"/>
  <c r="S15" i="11"/>
  <c r="S13" i="11"/>
  <c r="S10" i="11"/>
  <c r="H8" i="12" s="1"/>
  <c r="S8" i="11"/>
  <c r="H6" i="12" s="1"/>
  <c r="S33" i="11"/>
  <c r="H9" i="12" s="1"/>
  <c r="S31" i="11"/>
  <c r="S29" i="11"/>
  <c r="S27" i="11"/>
  <c r="S25" i="11"/>
  <c r="H10" i="12" s="1"/>
  <c r="S23" i="11"/>
  <c r="S21" i="11"/>
  <c r="H12" i="12" s="1"/>
  <c r="S19" i="11"/>
  <c r="S17" i="11"/>
  <c r="S14" i="11"/>
  <c r="S9" i="11"/>
  <c r="H7" i="12" s="1"/>
  <c r="S7" i="11"/>
  <c r="H5" i="12" s="1"/>
  <c r="S5" i="11"/>
  <c r="H11" i="12" s="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4" i="12" s="1"/>
  <c r="H10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H3" i="12" l="1"/>
  <c r="H9" i="10" s="1"/>
  <c r="F100" i="5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E21" i="20" s="1"/>
  <c r="F7" i="21"/>
  <c r="E3" i="2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H26" i="20" s="1"/>
  <c r="D9" i="21"/>
  <c r="F9" i="21" s="1"/>
  <c r="F17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I26" i="10"/>
  <c r="I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I28" i="10"/>
  <c r="C29" i="10"/>
  <c r="E29" i="10"/>
  <c r="G29" i="10"/>
  <c r="I29" i="10"/>
  <c r="C30" i="10"/>
  <c r="E30" i="10"/>
  <c r="G30" i="10"/>
  <c r="I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31" i="32" l="1"/>
  <c r="G23" i="20"/>
  <c r="G33" i="28"/>
  <c r="M17" i="12"/>
  <c r="N17" i="12"/>
  <c r="G29" i="28"/>
  <c r="G27" i="32"/>
  <c r="M11" i="21"/>
  <c r="G26" i="20"/>
  <c r="F18" i="21"/>
  <c r="G18" i="21" s="1"/>
  <c r="N18" i="21" s="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K2" i="13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F83" i="5" l="1"/>
  <c r="M24" i="2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AC2" i="14" s="1"/>
  <c r="C22" i="9" s="1"/>
  <c r="M2" i="14"/>
  <c r="C3" i="61" s="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21" i="29" s="1"/>
  <c r="G22" i="29" s="1"/>
  <c r="A14" i="29" s="1"/>
  <c r="C31" i="24"/>
  <c r="C30" i="24" s="1"/>
  <c r="I38" i="20" s="1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21" i="30" l="1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H29" i="10"/>
  <c r="D88" i="5"/>
  <c r="L88" i="5" s="1"/>
  <c r="C13" i="24"/>
  <c r="I35" i="20" s="1"/>
  <c r="B13" i="24"/>
  <c r="G24" i="21" l="1"/>
  <c r="B8" i="24" s="1"/>
  <c r="B5" i="24" s="1"/>
  <c r="F70" i="5"/>
  <c r="E70" i="5"/>
  <c r="D70" i="5" s="1"/>
  <c r="C66" i="9" s="1"/>
  <c r="B23" i="24"/>
  <c r="H96" i="5"/>
  <c r="C83" i="9" s="1"/>
  <c r="D30" i="10"/>
  <c r="C22" i="24"/>
  <c r="C17" i="24" s="1"/>
  <c r="D37" i="20" s="1"/>
  <c r="A27" i="32"/>
  <c r="E77" i="5" s="1"/>
  <c r="F77" i="5"/>
  <c r="D77" i="5" s="1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<sst xmlns="http://schemas.openxmlformats.org/spreadsheetml/2006/main" count="10181" uniqueCount="5078">
  <si>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</si>
  <si>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</si>
  <si>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</si>
  <si>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</si>
  <si>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</si>
  <si>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</si>
  <si>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</si>
  <si>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</si>
  <si>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</si>
  <si>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</si>
  <si>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</si>
  <si>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</si>
  <si>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</si>
  <si>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</si>
  <si>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</si>
  <si>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</si>
  <si>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</si>
  <si>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</si>
  <si>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</si>
  <si>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</si>
  <si>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</si>
  <si>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</si>
  <si>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</si>
  <si>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</si>
  <si>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</si>
  <si>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</si>
  <si>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</si>
  <si>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</si>
  <si>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</si>
  <si>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</si>
  <si>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</si>
  <si>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</si>
  <si>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</si>
  <si>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</si>
  <si>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</si>
  <si>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</si>
  <si>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</si>
  <si>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</si>
  <si>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</si>
  <si>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</si>
  <si>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</si>
  <si>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</si>
  <si>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</si>
  <si>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</si>
  <si>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</si>
  <si>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</si>
  <si>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</si>
  <si>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</si>
  <si>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</si>
  <si>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</si>
  <si>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</si>
  <si>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</si>
  <si>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</si>
  <si>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</si>
  <si>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</si>
  <si>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</si>
  <si>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</si>
  <si>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</si>
  <si>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</si>
  <si>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</si>
  <si>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</si>
  <si>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</si>
  <si>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</si>
  <si>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</si>
  <si>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</si>
  <si>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</si>
  <si>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</si>
  <si>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</si>
  <si>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</si>
  <si>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</si>
  <si>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</si>
  <si>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</si>
  <si>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</si>
  <si>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</si>
  <si>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</si>
  <si>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</si>
  <si>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</si>
  <si>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</si>
  <si>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</si>
  <si>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</si>
  <si>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</si>
  <si>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</si>
  <si>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</si>
  <si>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</si>
  <si>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</si>
  <si>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</si>
  <si>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</si>
  <si>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</si>
  <si>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</si>
  <si>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</si>
  <si>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</si>
  <si>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</si>
  <si>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</si>
  <si>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</si>
  <si>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</si>
  <si>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</si>
  <si>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</si>
  <si>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</si>
  <si>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</si>
  <si>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</si>
  <si>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</si>
  <si>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</si>
  <si>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</si>
  <si>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</si>
  <si>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</si>
  <si>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</si>
  <si>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</si>
  <si>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</si>
  <si>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</si>
  <si>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</si>
  <si>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</si>
  <si>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</si>
  <si>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</si>
  <si>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</si>
  <si>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</si>
  <si>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</si>
  <si>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</si>
  <si>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</si>
  <si>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</si>
  <si>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</si>
  <si>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</si>
  <si>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</si>
  <si>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</si>
  <si>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</si>
  <si>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</si>
  <si>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</si>
  <si>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</si>
  <si>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</si>
  <si>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</si>
  <si>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</si>
  <si>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</si>
  <si>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</si>
  <si>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</si>
  <si>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</si>
  <si>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</si>
  <si>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</si>
  <si>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</si>
  <si>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</si>
  <si>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</si>
  <si>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</si>
  <si>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</si>
  <si>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</si>
  <si>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</si>
  <si>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</si>
  <si>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</si>
  <si>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</si>
  <si>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</si>
  <si>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</si>
  <si>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</si>
  <si>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</si>
  <si>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</si>
  <si>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</si>
  <si>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</si>
  <si>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</si>
  <si>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</si>
  <si>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</si>
  <si>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</si>
  <si>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</si>
  <si>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</si>
  <si>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</si>
  <si>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</si>
  <si>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</si>
  <si>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</si>
  <si>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</si>
  <si>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</si>
  <si>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</si>
  <si>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</si>
  <si>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</si>
  <si>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</si>
  <si>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</si>
  <si>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</si>
  <si>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</si>
  <si>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</si>
  <si>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</si>
  <si>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</si>
  <si>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</si>
  <si>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</si>
  <si>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</si>
  <si>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</si>
  <si>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</si>
  <si>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</si>
  <si>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</si>
  <si>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</si>
  <si>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</si>
  <si>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</si>
  <si>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</si>
  <si>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</si>
  <si>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</si>
  <si>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</si>
  <si>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</si>
  <si>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</si>
  <si>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</si>
  <si>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</si>
  <si>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</si>
  <si>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</si>
  <si>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</si>
  <si>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</si>
  <si>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</si>
  <si>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</si>
  <si>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</si>
  <si>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</si>
  <si>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</si>
  <si>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</si>
  <si>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</si>
  <si>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</si>
  <si>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</si>
  <si>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</si>
  <si>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</si>
  <si>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</si>
  <si>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</si>
  <si>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</si>
  <si>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</si>
  <si>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</si>
  <si>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</si>
  <si>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</si>
  <si>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</si>
  <si>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</si>
  <si>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</si>
  <si>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</si>
  <si>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</si>
  <si>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</si>
  <si>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</si>
  <si>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</si>
  <si>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</si>
  <si>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</si>
  <si>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</si>
  <si>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</si>
  <si>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</si>
  <si>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</si>
  <si>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</si>
  <si>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</si>
  <si>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</si>
  <si>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</si>
  <si>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</si>
  <si>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</si>
  <si>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</si>
  <si>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</si>
  <si>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</si>
  <si>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</si>
  <si>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</si>
  <si>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</si>
  <si>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</si>
  <si>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</si>
  <si>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</si>
  <si>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</si>
  <si>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</si>
  <si>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</si>
  <si>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</si>
  <si>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</si>
  <si>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</si>
  <si>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</si>
  <si>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</si>
  <si>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</si>
  <si>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</si>
  <si>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</si>
  <si>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</si>
  <si>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</si>
  <si>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</si>
  <si>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</si>
  <si>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</si>
  <si>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</si>
  <si>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</si>
  <si>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</si>
  <si>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</si>
  <si>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</si>
  <si>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</si>
  <si>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</si>
  <si>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</si>
  <si>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</si>
  <si>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</si>
  <si>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</si>
  <si>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</si>
  <si>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</si>
  <si>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</si>
  <si>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</si>
  <si>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</si>
  <si>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</si>
  <si>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</si>
  <si>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</si>
  <si>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</si>
  <si>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</si>
  <si>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</si>
  <si>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</si>
  <si>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</si>
  <si>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</si>
  <si>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</si>
  <si>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</si>
  <si>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</si>
  <si>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</si>
  <si>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</si>
  <si>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</si>
  <si>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</si>
  <si>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</si>
  <si>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</si>
  <si>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</si>
  <si>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</si>
  <si>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</si>
  <si>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</si>
  <si>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</si>
  <si>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</si>
  <si>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</si>
  <si>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</si>
  <si>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</si>
  <si>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</si>
  <si>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</si>
  <si>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</si>
  <si>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</si>
  <si>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</si>
  <si>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</si>
  <si>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</si>
  <si>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</si>
  <si>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</si>
  <si>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</si>
  <si>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</si>
  <si>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</si>
  <si>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</si>
  <si>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</si>
  <si>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</si>
  <si>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</si>
  <si>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</si>
  <si>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</si>
  <si>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</si>
  <si>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</si>
  <si>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</si>
  <si>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</si>
  <si>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</si>
  <si>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</si>
  <si>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</si>
  <si>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</si>
  <si>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</si>
  <si>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</si>
  <si>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</si>
  <si>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</si>
  <si>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</si>
  <si>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</si>
  <si>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</si>
  <si>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</si>
  <si>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</si>
  <si>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</si>
  <si>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</si>
  <si>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</si>
  <si>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</si>
  <si>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</si>
  <si>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</si>
  <si>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</si>
  <si>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</si>
  <si>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</si>
  <si>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</si>
  <si>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</si>
  <si>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</si>
  <si>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</si>
  <si>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</si>
  <si>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</si>
  <si>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</si>
  <si>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</si>
  <si>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</si>
  <si>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</si>
  <si>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</si>
  <si>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</si>
  <si>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</si>
  <si>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</si>
  <si>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</si>
  <si>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</si>
  <si>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</si>
  <si>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</si>
  <si>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</si>
  <si>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</si>
  <si>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</si>
  <si>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</si>
  <si>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</si>
  <si>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</si>
  <si>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</si>
  <si>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</si>
  <si>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</si>
  <si>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</si>
  <si>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</si>
  <si>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</si>
  <si>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</si>
  <si>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</si>
  <si>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</si>
  <si>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</si>
  <si>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</si>
  <si>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</si>
  <si>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</si>
  <si>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</si>
  <si>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</si>
  <si>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</si>
  <si>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</si>
  <si>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</si>
  <si>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</si>
  <si>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</si>
  <si>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</si>
  <si>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</si>
  <si>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</si>
  <si>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</si>
  <si>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</si>
  <si>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</si>
  <si>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</si>
  <si>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</si>
  <si>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</si>
  <si>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</si>
  <si>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</si>
  <si>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</si>
  <si>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</si>
  <si>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</si>
  <si>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</si>
  <si>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</si>
  <si>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</si>
  <si>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</si>
  <si>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</si>
  <si>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</si>
  <si>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</si>
  <si>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</si>
  <si>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</si>
  <si>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</si>
  <si>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</si>
  <si>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</si>
  <si>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</si>
  <si>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</si>
  <si>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</si>
  <si>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</si>
  <si>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</si>
  <si>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</si>
  <si>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</si>
  <si>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</si>
  <si>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</si>
  <si>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</si>
  <si>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</si>
  <si>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</si>
  <si>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</si>
  <si>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</si>
  <si>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</si>
  <si>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</si>
  <si>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</si>
  <si>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</si>
  <si>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</si>
  <si>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</si>
  <si>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</si>
  <si>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</si>
  <si>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</si>
  <si>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</si>
  <si>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</si>
  <si>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</si>
  <si>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</si>
  <si>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</si>
  <si>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</si>
  <si>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</si>
  <si>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</si>
  <si>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</si>
  <si>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</si>
  <si>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</si>
  <si>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</si>
  <si>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</si>
  <si>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</si>
  <si>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</si>
  <si>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</si>
  <si>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</si>
  <si>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</si>
  <si>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</si>
  <si>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</si>
  <si>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</si>
  <si>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</si>
  <si>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</si>
  <si>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</si>
  <si>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</si>
  <si>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</si>
  <si>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</si>
  <si>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</si>
  <si>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</si>
  <si>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</si>
  <si>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</si>
  <si>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</si>
  <si>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</si>
  <si>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</si>
  <si>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</si>
  <si>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</si>
  <si>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</si>
  <si>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</si>
  <si>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</si>
  <si>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</si>
  <si>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</si>
  <si>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</si>
  <si>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</si>
  <si>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</si>
  <si>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</si>
  <si>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</si>
  <si>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</si>
  <si>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</si>
  <si>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</si>
  <si>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</si>
  <si>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</si>
  <si>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</si>
  <si>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</si>
  <si>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</si>
  <si>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</si>
  <si>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</si>
  <si>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</si>
  <si>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</si>
  <si>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</si>
  <si>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</si>
  <si>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</si>
  <si>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</si>
  <si>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</si>
  <si>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</si>
  <si>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</si>
  <si>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</si>
  <si>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</si>
  <si>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</si>
  <si>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</si>
  <si>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</si>
  <si>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</si>
  <si>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</si>
  <si>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</si>
  <si>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</si>
  <si>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</si>
  <si>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</si>
  <si>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</si>
  <si>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</si>
  <si>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</si>
  <si>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</si>
  <si>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</si>
  <si>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</si>
  <si>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</si>
  <si>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</si>
  <si>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</si>
  <si>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</si>
  <si>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</si>
  <si>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</si>
  <si>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</si>
  <si>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</si>
  <si>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</si>
  <si>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</si>
  <si>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</si>
  <si>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</si>
  <si>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</si>
  <si>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</si>
  <si>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</si>
  <si>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</si>
  <si>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</si>
  <si>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</si>
  <si>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</si>
  <si>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</si>
  <si>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</si>
  <si>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</si>
  <si>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</si>
  <si>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</si>
  <si>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</si>
  <si>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</si>
  <si>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</si>
  <si>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</si>
  <si>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</si>
  <si>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</si>
  <si>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</si>
  <si>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</si>
  <si>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</si>
  <si>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</si>
  <si>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</si>
  <si>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</si>
  <si>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</si>
  <si>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</si>
  <si>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</si>
  <si>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</si>
  <si>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</si>
  <si>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</si>
  <si>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</si>
  <si>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</si>
  <si>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</si>
  <si>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</si>
  <si>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</si>
  <si>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</si>
  <si>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</si>
  <si>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</si>
  <si>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</si>
  <si>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</si>
  <si>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</si>
  <si>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</si>
  <si>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</si>
  <si>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</si>
  <si>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</si>
  <si>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</si>
  <si>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</si>
  <si>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</si>
  <si>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</si>
  <si>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</si>
  <si>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</si>
  <si>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</si>
  <si>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</si>
  <si>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</si>
  <si>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</si>
  <si>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</si>
  <si>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</si>
  <si>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</si>
  <si>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</si>
  <si>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</si>
  <si>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</si>
  <si>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</si>
  <si>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</si>
  <si>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</si>
  <si>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</si>
  <si>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</si>
  <si>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</si>
  <si>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</si>
  <si>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</si>
  <si>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</si>
  <si>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</si>
  <si>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</si>
  <si>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</si>
  <si>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</si>
  <si>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</si>
  <si>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</si>
  <si>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</si>
  <si>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</si>
  <si>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</si>
  <si>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</si>
  <si>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</si>
  <si>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</si>
  <si>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</si>
  <si>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</si>
  <si>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</si>
  <si>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</si>
  <si>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</si>
  <si>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</si>
  <si>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</si>
  <si>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</si>
  <si>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</si>
  <si>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</si>
  <si>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</si>
  <si>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</si>
  <si>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</si>
  <si>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</si>
  <si>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</si>
  <si>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</si>
  <si>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</si>
  <si>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</si>
  <si>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</si>
  <si>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</si>
  <si>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</si>
  <si>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</si>
  <si>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</si>
  <si>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</si>
  <si>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</si>
  <si>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</si>
  <si>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</si>
  <si>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</si>
  <si>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</si>
  <si>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</si>
  <si>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</si>
  <si>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</si>
  <si>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</si>
  <si>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</si>
  <si>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</si>
  <si>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</si>
  <si>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</si>
  <si>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</si>
  <si>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</si>
  <si>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</si>
  <si>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</si>
  <si>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</si>
  <si>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</si>
  <si>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</si>
  <si>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</si>
  <si>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</si>
  <si>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</si>
  <si>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</si>
  <si>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</si>
  <si>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</si>
  <si>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</si>
  <si>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</si>
  <si>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</si>
  <si>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</si>
  <si>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</si>
  <si>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</si>
  <si>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</si>
  <si>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</si>
  <si>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</si>
  <si>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</si>
  <si>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</si>
  <si>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</si>
  <si>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</si>
  <si>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</si>
  <si>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</si>
  <si>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</si>
  <si>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</si>
  <si>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</si>
  <si>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</si>
  <si>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</si>
  <si>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</si>
  <si>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</si>
  <si>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</si>
  <si>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</si>
  <si>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</si>
  <si>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</si>
  <si>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</si>
  <si>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</si>
  <si>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</si>
  <si>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</si>
  <si>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</si>
  <si>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</si>
  <si>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</si>
  <si>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</si>
  <si>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</si>
  <si>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</si>
  <si>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</si>
  <si>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</si>
  <si>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</si>
  <si>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</si>
  <si>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</si>
  <si>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</si>
  <si>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</si>
  <si>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</si>
  <si>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</si>
  <si>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</si>
  <si>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</si>
  <si>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</si>
  <si>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</si>
  <si>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</si>
  <si>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</si>
  <si>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</si>
  <si>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</si>
  <si>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</si>
  <si>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</si>
  <si>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</si>
  <si>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</si>
  <si>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</si>
  <si>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</si>
  <si>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</si>
  <si>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</si>
  <si>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</si>
  <si>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</si>
  <si>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</si>
  <si>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</si>
  <si>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</si>
  <si>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</si>
  <si>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</si>
  <si>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</si>
  <si>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</si>
  <si>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</si>
  <si>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</si>
  <si>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</si>
  <si>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</si>
  <si>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</si>
  <si>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</si>
  <si>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</si>
  <si>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</si>
  <si>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</si>
  <si>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</si>
  <si>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</si>
  <si>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</si>
  <si>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</si>
  <si>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</si>
  <si>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</si>
  <si>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</si>
  <si>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</si>
  <si>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</si>
  <si>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</si>
  <si>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</si>
  <si>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</si>
  <si>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</si>
  <si>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</si>
  <si>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</si>
  <si>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</si>
  <si>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</si>
  <si>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</si>
  <si>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</si>
  <si>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</si>
  <si>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</si>
  <si>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</si>
  <si>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</si>
  <si>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</si>
  <si>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</si>
  <si>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</si>
  <si>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</si>
  <si>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</si>
  <si>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</si>
  <si>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</si>
  <si>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</si>
  <si>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</si>
  <si>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</si>
  <si>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</si>
  <si>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</si>
  <si>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</si>
  <si>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</si>
  <si>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</si>
  <si>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</si>
  <si>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</si>
  <si>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</si>
  <si>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</si>
  <si>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</si>
  <si>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</si>
  <si>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</si>
  <si>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</si>
  <si>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</si>
  <si>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</si>
  <si>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</si>
  <si>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</si>
  <si>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</si>
  <si>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</si>
  <si>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</si>
  <si>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</si>
  <si>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</si>
  <si>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</si>
  <si>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</si>
  <si>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</si>
  <si>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</si>
  <si>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</si>
  <si>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</si>
  <si>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</si>
  <si>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</si>
  <si>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</si>
  <si>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</si>
  <si>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</si>
  <si>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</si>
  <si>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</si>
  <si>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</si>
  <si>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</si>
  <si>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</si>
  <si>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</si>
  <si>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</si>
  <si>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</si>
  <si>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</si>
  <si>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</si>
  <si>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</si>
  <si>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</si>
  <si>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</si>
  <si>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</si>
  <si>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</si>
  <si>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</si>
  <si>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</si>
  <si>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</si>
  <si>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</si>
  <si>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</si>
  <si>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</si>
  <si>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</si>
  <si>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</si>
  <si>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</si>
  <si>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</si>
  <si>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</si>
  <si>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</si>
  <si>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</si>
  <si>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</si>
  <si>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</si>
  <si>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</si>
  <si>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</si>
  <si>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</si>
  <si>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</si>
  <si>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</si>
  <si>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</si>
  <si>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</si>
  <si>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</si>
  <si>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</si>
  <si>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</si>
  <si>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</si>
  <si>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</si>
  <si>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</si>
  <si>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</si>
  <si>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</si>
  <si>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</si>
  <si>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</si>
  <si>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</si>
  <si>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</si>
  <si>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</si>
  <si>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</si>
  <si>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</si>
  <si>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</si>
  <si>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</si>
  <si>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</si>
  <si>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</si>
  <si>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</si>
  <si>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</si>
  <si>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</si>
  <si>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</si>
  <si>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</si>
  <si>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</si>
  <si>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</si>
  <si>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</si>
  <si>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</si>
  <si>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</si>
  <si>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</si>
  <si>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</si>
  <si>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</si>
  <si>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</si>
  <si>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</si>
  <si>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</si>
  <si>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</si>
  <si>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</si>
  <si>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</si>
  <si>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</si>
  <si>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</si>
  <si>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</si>
  <si>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</si>
  <si>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</si>
  <si>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</si>
  <si>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</si>
  <si>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</si>
  <si>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</si>
  <si>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</si>
  <si>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</si>
  <si>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</si>
  <si>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</si>
  <si>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</si>
  <si>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</si>
  <si>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</si>
  <si>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</si>
  <si>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</si>
  <si>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</si>
  <si>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</si>
  <si>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</si>
  <si>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</si>
  <si>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</si>
  <si>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</si>
  <si>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</si>
  <si>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</si>
  <si>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</si>
  <si>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</si>
  <si>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</si>
  <si>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</si>
  <si>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</si>
  <si>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</si>
  <si>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</si>
  <si>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</si>
  <si>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</si>
  <si>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</si>
  <si>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</si>
  <si>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</si>
  <si>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</si>
  <si>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</si>
  <si>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</si>
  <si>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</si>
  <si>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</si>
  <si>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</si>
  <si>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</si>
  <si>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</si>
  <si>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</si>
  <si>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</si>
  <si>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</si>
  <si>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</si>
  <si>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</si>
  <si>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</si>
  <si>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</si>
  <si>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</si>
  <si>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</si>
  <si>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</si>
  <si>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</si>
  <si>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</si>
  <si>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</si>
  <si>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</si>
  <si>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</si>
  <si>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</si>
  <si>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</si>
  <si>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</si>
  <si>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</si>
  <si>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</si>
  <si>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</si>
  <si>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</si>
  <si>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</si>
  <si>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</si>
  <si>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</si>
  <si>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</si>
  <si>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</si>
  <si>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</si>
  <si>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</si>
  <si>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</si>
  <si>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</si>
  <si>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</si>
  <si>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</si>
  <si>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</si>
  <si>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</si>
  <si>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</si>
  <si>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</si>
  <si>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</si>
  <si>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</si>
  <si>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</si>
  <si>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</si>
  <si>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</si>
  <si>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</si>
  <si>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</si>
  <si>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</si>
  <si>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</si>
  <si>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</si>
  <si>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</si>
  <si>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</si>
  <si>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</si>
  <si>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</si>
  <si>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</si>
  <si>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</si>
  <si>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</si>
  <si>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</si>
  <si>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</si>
  <si>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</si>
  <si>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</si>
  <si>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</si>
  <si>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</si>
  <si>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</si>
  <si>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</si>
  <si>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</si>
  <si>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</si>
  <si>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</si>
  <si>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</si>
  <si>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</si>
  <si>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</si>
  <si>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</si>
  <si>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</si>
  <si>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</si>
  <si>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</si>
  <si>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</si>
  <si>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</si>
  <si>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</si>
  <si>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</si>
  <si>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</si>
  <si>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</si>
  <si>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</si>
  <si>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</si>
  <si>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</si>
  <si>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</si>
  <si>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</si>
  <si>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</si>
  <si>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</si>
  <si>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</si>
  <si>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</si>
  <si>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</si>
  <si>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</si>
  <si>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</si>
  <si>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</si>
  <si>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</si>
  <si>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</si>
  <si>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</si>
  <si>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</si>
  <si>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</si>
  <si>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</si>
  <si>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</si>
  <si>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</si>
  <si>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</si>
  <si>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</si>
  <si>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</si>
  <si>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</si>
  <si>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</si>
  <si>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</si>
  <si>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</si>
  <si>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</si>
  <si>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</si>
  <si>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</si>
  <si>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</si>
  <si>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</si>
  <si>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</si>
  <si>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</si>
  <si>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</si>
  <si>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</si>
  <si>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</si>
  <si>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</si>
  <si>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</si>
  <si>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</si>
  <si>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</si>
  <si>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</si>
  <si>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</si>
  <si>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</si>
  <si>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</si>
  <si>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</si>
  <si>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</si>
  <si>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</si>
  <si>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</si>
  <si>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</si>
  <si>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</si>
  <si>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</si>
  <si>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</si>
  <si>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</si>
  <si>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</si>
  <si>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</si>
  <si>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</si>
  <si>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</si>
  <si>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</si>
  <si>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</si>
  <si>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</si>
  <si>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</si>
  <si>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</si>
  <si>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</si>
  <si>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</si>
  <si>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</si>
  <si>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</si>
  <si>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</si>
  <si>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</si>
  <si>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</si>
  <si>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</si>
  <si>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</si>
  <si>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</si>
  <si>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</si>
  <si>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</si>
  <si>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</si>
  <si>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</si>
  <si>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</si>
  <si>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</si>
  <si>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</si>
  <si>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</si>
  <si>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</si>
  <si>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</si>
  <si>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</si>
  <si>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</si>
  <si>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</si>
  <si>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</si>
  <si>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</si>
  <si>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</si>
  <si>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</si>
  <si>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</si>
  <si>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</si>
  <si>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</si>
  <si>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</si>
  <si>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</si>
  <si>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</si>
  <si>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</si>
  <si>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</si>
  <si>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</si>
  <si>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</si>
  <si>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</si>
  <si>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</si>
  <si>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</si>
  <si>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</si>
  <si>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</si>
  <si>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</si>
  <si>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</si>
  <si>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</si>
  <si>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</si>
  <si>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</si>
  <si>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</si>
  <si>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</si>
  <si>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</si>
  <si>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</si>
  <si>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</si>
  <si>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</si>
  <si>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</si>
  <si>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</si>
  <si>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</si>
  <si>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</si>
  <si>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</si>
  <si>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</si>
  <si>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</si>
  <si>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</si>
  <si>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</si>
  <si>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</si>
  <si>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</si>
  <si>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</si>
  <si>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</si>
  <si>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</si>
  <si>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</si>
  <si>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</si>
  <si>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</si>
  <si>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</si>
  <si>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</si>
  <si>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</si>
  <si>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</si>
  <si>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</si>
  <si>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</si>
  <si>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</si>
  <si>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</si>
  <si>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</si>
  <si>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</si>
  <si>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</si>
  <si>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</si>
  <si>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</si>
  <si>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</si>
  <si>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</si>
  <si>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</si>
  <si>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</si>
  <si>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</si>
  <si>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</si>
  <si>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</si>
  <si>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</si>
  <si>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</si>
  <si>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</si>
  <si>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</si>
  <si>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</si>
  <si>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</si>
  <si>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</si>
  <si>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</si>
  <si>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</si>
  <si>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</si>
  <si>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</si>
  <si>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</si>
  <si>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</si>
  <si>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</si>
  <si>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</si>
  <si>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</si>
  <si>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</si>
  <si>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</si>
  <si>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</si>
  <si>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</si>
  <si>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</si>
  <si>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</si>
  <si>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</si>
  <si>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</si>
  <si>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</si>
  <si>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</si>
  <si>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</si>
  <si>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</si>
  <si>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</si>
  <si>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</si>
  <si>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</si>
  <si>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</si>
  <si>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</si>
  <si>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</si>
  <si>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</si>
  <si>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</si>
  <si>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</si>
  <si>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</si>
  <si>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</si>
  <si>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</si>
  <si>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</si>
  <si>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</si>
  <si>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</si>
  <si>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</si>
  <si>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</si>
  <si>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</si>
  <si>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</si>
  <si>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</si>
  <si>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</si>
  <si>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</si>
  <si>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</si>
  <si>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</si>
  <si>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</si>
  <si>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</si>
  <si>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</si>
  <si>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</si>
  <si>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</si>
  <si>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</si>
  <si>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</si>
  <si>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</si>
  <si>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</si>
  <si>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</si>
  <si>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</si>
  <si>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</si>
  <si>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</si>
  <si>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</si>
  <si>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</si>
  <si>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</si>
  <si>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</si>
  <si>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</si>
  <si>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</si>
  <si>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</si>
  <si>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</si>
  <si>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</si>
  <si>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</si>
  <si>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</si>
  <si>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</si>
  <si>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</si>
  <si>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</si>
  <si>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</si>
  <si>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</si>
  <si>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</si>
  <si>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</si>
  <si>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</si>
  <si>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</si>
  <si>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</si>
  <si>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</si>
  <si>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</si>
  <si>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</si>
  <si>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</si>
  <si>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</si>
  <si>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</si>
  <si>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</si>
  <si>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</si>
  <si>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</si>
  <si>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</si>
  <si>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</si>
  <si>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</si>
  <si>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</si>
  <si>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</si>
  <si>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</si>
  <si>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</si>
  <si>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</si>
  <si>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</si>
  <si>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</si>
  <si>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</si>
  <si>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</si>
  <si>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</si>
  <si>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</si>
  <si>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</si>
  <si>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</si>
  <si>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</si>
  <si>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</si>
  <si>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</si>
  <si>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</si>
  <si>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</si>
  <si>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</si>
  <si>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</si>
  <si>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</si>
  <si>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</si>
  <si>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</si>
  <si>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</si>
  <si>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</si>
  <si>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</si>
  <si>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</si>
  <si>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</si>
  <si>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</si>
  <si>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</si>
  <si>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</si>
  <si>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</si>
  <si>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</si>
  <si>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</si>
  <si>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</si>
  <si>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</si>
  <si>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</si>
  <si>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</si>
  <si>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PatDetails!$D$2</t>
  </si>
  <si>
    <t>PatDetails!$E$2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</si>
  <si>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</si>
  <si>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</si>
  <si>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</si>
  <si>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</si>
  <si>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</si>
  <si>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</si>
  <si>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</si>
  <si>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</si>
  <si>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</si>
  <si>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</si>
  <si>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</si>
  <si>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</si>
  <si>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</si>
  <si>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</si>
  <si>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</si>
  <si>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</si>
  <si>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</si>
  <si>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</si>
  <si>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</si>
  <si>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</si>
  <si>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</si>
  <si>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</si>
  <si>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</si>
  <si>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</si>
  <si>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</si>
  <si>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</si>
  <si>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</si>
  <si>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</si>
  <si>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</si>
  <si>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</si>
  <si>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</si>
  <si>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</si>
  <si>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</si>
  <si>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</si>
  <si>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</si>
  <si>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</si>
  <si>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</si>
  <si>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</si>
  <si>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</si>
  <si>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</si>
  <si>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</si>
  <si>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</si>
  <si>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</si>
  <si>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</si>
  <si>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</si>
  <si>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</si>
  <si>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</si>
  <si>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</si>
  <si>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</si>
  <si>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</si>
  <si>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</si>
  <si>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</si>
  <si>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</si>
  <si>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</si>
  <si>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</si>
  <si>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</si>
  <si>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</si>
  <si>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</si>
  <si>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</si>
  <si>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</si>
  <si>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</si>
  <si>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</si>
  <si>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</si>
  <si>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</si>
  <si>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</si>
  <si>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</si>
  <si>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</si>
  <si>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</si>
  <si>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</si>
  <si>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</si>
  <si>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</si>
  <si>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</si>
  <si>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</si>
  <si>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</si>
  <si>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</si>
  <si>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</si>
  <si>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</si>
  <si>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</si>
  <si>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</si>
  <si>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</si>
  <si>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</si>
  <si>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</si>
  <si>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</si>
  <si>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</si>
  <si>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</si>
  <si>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</si>
  <si>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</si>
  <si>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</si>
  <si>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</si>
  <si>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</si>
  <si>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</si>
  <si>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</si>
  <si>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</si>
  <si>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</si>
  <si>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</si>
  <si>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</si>
  <si>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</si>
  <si>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</si>
  <si>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</si>
  <si>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</si>
  <si>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</si>
  <si>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</si>
  <si>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</si>
  <si>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</si>
  <si>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</si>
  <si>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</si>
  <si>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</si>
  <si>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</si>
  <si>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</si>
  <si>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</si>
  <si>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</si>
  <si>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</si>
  <si>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</si>
  <si>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</si>
  <si>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</si>
  <si>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</si>
  <si>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</si>
  <si>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</si>
  <si>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</si>
  <si>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</si>
  <si>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</si>
  <si>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</si>
  <si>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</si>
  <si>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</si>
  <si>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</si>
  <si>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</si>
  <si>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</si>
  <si>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</si>
  <si>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</si>
  <si>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</si>
  <si>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</si>
  <si>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</si>
  <si>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</si>
  <si>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</si>
  <si>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</si>
  <si>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</si>
  <si>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</si>
  <si>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</si>
  <si>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</si>
  <si>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</si>
  <si>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</si>
  <si>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</si>
  <si>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</si>
  <si>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</si>
  <si>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</si>
  <si>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</si>
  <si>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</si>
  <si>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</si>
  <si>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</si>
  <si>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</si>
  <si>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</si>
  <si>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</si>
  <si>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</si>
  <si>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</si>
  <si>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</si>
  <si>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</si>
  <si>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</si>
  <si>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</si>
  <si>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</si>
  <si>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</si>
  <si>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</si>
  <si>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</si>
  <si>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</si>
  <si>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</si>
  <si>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</si>
  <si>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</si>
  <si>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</si>
  <si>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</si>
  <si>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</si>
  <si>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</si>
  <si>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</si>
  <si>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</si>
  <si>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</si>
  <si>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</si>
  <si>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</si>
  <si>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</si>
  <si>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</si>
  <si>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</si>
  <si>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</si>
  <si>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</si>
  <si>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</si>
  <si>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</si>
  <si>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</si>
  <si>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</si>
  <si>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</si>
  <si>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</si>
  <si>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</si>
  <si>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</si>
  <si>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</si>
  <si>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</si>
  <si>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</si>
  <si>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</si>
  <si>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</si>
  <si>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</si>
  <si>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</si>
  <si>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</si>
  <si>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</si>
  <si>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</si>
  <si>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</si>
  <si>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</si>
  <si>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</si>
  <si>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</si>
  <si>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</si>
  <si>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</si>
  <si>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</si>
  <si>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</si>
  <si>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</si>
  <si>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</si>
  <si>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</si>
  <si>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</si>
  <si>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</si>
  <si>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</si>
  <si>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</si>
  <si>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</si>
  <si>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</si>
  <si>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</si>
  <si>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</si>
  <si>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</si>
  <si>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</si>
  <si>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</si>
  <si>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</si>
  <si>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</si>
  <si>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</si>
  <si>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</si>
  <si>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</si>
  <si>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</si>
  <si>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</si>
  <si>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</si>
  <si>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</si>
  <si>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</si>
  <si>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</si>
  <si>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</si>
  <si>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</si>
  <si>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</si>
  <si>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</si>
  <si>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</si>
  <si>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</si>
  <si>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</si>
  <si>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</si>
  <si>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</si>
  <si>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</si>
  <si>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</si>
  <si>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</si>
  <si>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</si>
  <si>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</si>
  <si>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</si>
  <si>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</si>
  <si>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</si>
  <si>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</si>
  <si>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</si>
  <si>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</si>
  <si>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</si>
  <si>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</si>
  <si>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</si>
  <si>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</si>
  <si>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</si>
  <si>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</si>
  <si>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</si>
  <si>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</si>
  <si>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</si>
  <si>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</si>
  <si>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</si>
  <si>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</si>
  <si>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</si>
  <si>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</si>
  <si>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</si>
  <si>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</si>
  <si>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</si>
  <si>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</si>
  <si>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</si>
  <si>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</si>
  <si>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</si>
  <si>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</si>
  <si>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</si>
  <si>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</si>
  <si>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</si>
  <si>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</si>
  <si>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</si>
  <si>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</si>
  <si>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</si>
  <si>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</si>
  <si>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</si>
  <si>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</si>
  <si>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</si>
  <si>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</si>
  <si>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</si>
  <si>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</si>
  <si>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</si>
  <si>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</si>
  <si>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</si>
  <si>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</si>
  <si>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</si>
  <si>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</si>
  <si>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</si>
  <si>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</si>
  <si>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</si>
  <si>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</si>
  <si>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</si>
  <si>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</si>
  <si>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</si>
  <si>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</si>
  <si>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</si>
  <si>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</si>
  <si>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</si>
  <si>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</si>
  <si>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</si>
  <si>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</si>
  <si>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</si>
  <si>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</si>
  <si>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</si>
  <si>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</si>
  <si>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</si>
  <si>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</si>
  <si>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</si>
  <si>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</si>
  <si>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</si>
  <si>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</si>
  <si>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</si>
  <si>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</si>
  <si>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</si>
  <si>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</si>
  <si>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</si>
  <si>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</si>
  <si>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</si>
  <si>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</si>
  <si>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</si>
  <si>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</si>
  <si>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</si>
  <si>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</si>
  <si>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</si>
  <si>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</si>
  <si>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</si>
  <si>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</si>
  <si>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</si>
  <si>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</si>
  <si>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</si>
  <si>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</si>
  <si>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</si>
  <si>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</si>
  <si>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</si>
  <si>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</si>
  <si>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</si>
  <si>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</si>
  <si>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</si>
  <si>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</si>
  <si>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</si>
  <si>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</si>
  <si>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</si>
  <si>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</si>
  <si>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</si>
  <si>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</si>
  <si>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</si>
  <si>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</si>
  <si>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</si>
  <si>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</si>
  <si>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</si>
  <si>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</si>
  <si>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</si>
  <si>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</si>
  <si>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</si>
  <si>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</si>
  <si>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</si>
  <si>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</si>
  <si>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</si>
  <si>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</si>
  <si>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</si>
  <si>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</si>
  <si>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</si>
  <si>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</si>
  <si>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</si>
  <si>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</si>
  <si>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</si>
  <si>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</si>
  <si>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</si>
  <si>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</si>
  <si>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</si>
  <si>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</si>
  <si>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</si>
  <si>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</si>
  <si>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</si>
  <si>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</si>
  <si>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</si>
  <si>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</si>
  <si>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</si>
  <si>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</si>
  <si>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</si>
  <si>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</si>
  <si>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</si>
  <si>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</si>
  <si>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</si>
  <si>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</si>
  <si>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</si>
  <si>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</si>
  <si>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</si>
  <si>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</si>
  <si>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</si>
  <si>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</si>
  <si>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</si>
  <si>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</si>
  <si>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</si>
  <si>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</si>
  <si>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</si>
  <si>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</si>
  <si>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</si>
  <si>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</si>
  <si>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</si>
  <si>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</si>
  <si>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</si>
  <si>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</si>
  <si>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</si>
  <si>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</si>
  <si>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</si>
  <si>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</si>
  <si>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</si>
  <si>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</si>
  <si>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</si>
  <si>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</si>
  <si>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</si>
  <si>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</si>
  <si>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</si>
  <si>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</si>
  <si>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</si>
  <si>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</si>
  <si>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</si>
  <si>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</si>
  <si>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</si>
  <si>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</si>
  <si>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</si>
  <si>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</si>
  <si>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</si>
  <si>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</si>
  <si>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</si>
  <si>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</si>
  <si>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</si>
  <si>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</si>
  <si>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</si>
  <si>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</si>
  <si>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</si>
  <si>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</si>
  <si>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</si>
  <si>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</si>
  <si>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</si>
  <si>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</si>
  <si>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</si>
  <si>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</si>
  <si>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</si>
  <si>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</si>
  <si>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</si>
  <si>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</si>
  <si>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</si>
  <si>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</si>
  <si>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</si>
  <si>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</si>
  <si>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</si>
  <si>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</si>
  <si>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</si>
  <si>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</si>
  <si>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</si>
  <si>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</si>
  <si>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</si>
  <si>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</si>
  <si>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</si>
  <si>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</si>
  <si>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</si>
  <si>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</si>
  <si>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</si>
  <si>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</si>
  <si>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</si>
  <si>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</si>
  <si>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</si>
  <si>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</si>
  <si>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</si>
  <si>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</si>
  <si>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</si>
  <si>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</si>
  <si>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</si>
  <si>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</si>
  <si>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</si>
  <si>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</si>
  <si>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</si>
  <si>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</si>
  <si>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</si>
  <si>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</si>
  <si>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</si>
  <si>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</si>
  <si>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</si>
  <si>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</si>
  <si>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</si>
  <si>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</si>
  <si>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</si>
  <si>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</si>
  <si>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</si>
  <si>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</si>
  <si>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</si>
  <si>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</si>
  <si>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</si>
  <si>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</si>
  <si>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</si>
  <si>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</si>
  <si>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</si>
  <si>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</si>
  <si>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</si>
  <si>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</si>
  <si>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</si>
  <si>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</si>
  <si>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</si>
  <si>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</si>
  <si>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</si>
  <si>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</si>
  <si>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</si>
  <si>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</si>
  <si>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</si>
  <si>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</si>
  <si>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</si>
  <si>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</si>
  <si>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</si>
  <si>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</si>
  <si>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</si>
  <si>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</si>
  <si>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</si>
  <si>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</si>
  <si>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</si>
  <si>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</si>
  <si>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</si>
  <si>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</si>
  <si>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</si>
  <si>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</si>
  <si>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</si>
  <si>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</si>
  <si>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</si>
  <si>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</si>
  <si>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</si>
  <si>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</si>
  <si>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</si>
  <si>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</si>
  <si>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</si>
  <si>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</si>
  <si>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</si>
  <si>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</si>
  <si>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</si>
  <si>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</si>
  <si>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</si>
  <si>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</si>
  <si>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</si>
  <si>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</si>
  <si>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</si>
  <si>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</si>
  <si>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</si>
  <si>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</si>
  <si>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</si>
  <si>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</si>
  <si>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</si>
  <si>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</si>
  <si>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</si>
  <si>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</si>
  <si>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</si>
  <si>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</si>
  <si>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</si>
  <si>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</si>
  <si>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</si>
  <si>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</si>
  <si>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</si>
  <si>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</si>
  <si>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</si>
  <si>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</si>
  <si>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</si>
  <si>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</si>
  <si>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</si>
  <si>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</si>
  <si>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</si>
  <si>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</si>
  <si>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</si>
  <si>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</si>
  <si>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</si>
  <si>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</si>
  <si>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</si>
  <si>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</si>
  <si>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</si>
  <si>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</si>
  <si>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</si>
  <si>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</si>
  <si>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</si>
  <si>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</si>
  <si>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</si>
  <si>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</si>
  <si>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</si>
  <si>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</si>
  <si>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</si>
  <si>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</si>
  <si>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</si>
  <si>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</si>
  <si>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</si>
  <si>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</si>
  <si>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</si>
  <si>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</si>
  <si>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</si>
  <si>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</si>
  <si>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</si>
  <si>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</si>
  <si>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</si>
  <si>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</si>
  <si>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</si>
  <si>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</si>
  <si>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</si>
  <si>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</si>
  <si>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</si>
  <si>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</si>
  <si>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</si>
  <si>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</si>
  <si>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</si>
  <si>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</si>
  <si>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</si>
  <si>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</si>
  <si>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</si>
  <si>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</si>
  <si>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</si>
  <si>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</si>
  <si>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</si>
  <si>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</si>
  <si>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</si>
  <si>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</si>
  <si>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</si>
  <si>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</si>
  <si>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</si>
  <si>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</si>
  <si>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</si>
  <si>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</si>
  <si>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</si>
  <si>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</si>
  <si>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</si>
  <si>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</si>
  <si>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</si>
  <si>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</si>
  <si>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</si>
  <si>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</si>
  <si>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</si>
  <si>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</si>
  <si>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</si>
  <si>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</si>
  <si>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</si>
  <si>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</si>
  <si>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</si>
  <si>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</si>
  <si>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</si>
  <si>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</si>
  <si>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</si>
  <si>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</si>
  <si>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</si>
  <si>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</si>
  <si>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</si>
  <si>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</si>
  <si>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</si>
  <si>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</si>
  <si>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</si>
  <si>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</si>
  <si>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</si>
  <si>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</si>
  <si>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</si>
  <si>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</si>
  <si>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</si>
  <si>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</si>
  <si>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</si>
  <si>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</si>
  <si>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</si>
  <si>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</si>
  <si>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</si>
  <si>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</si>
  <si>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</si>
  <si>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</si>
  <si>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</si>
  <si>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</si>
  <si>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</si>
  <si>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</si>
  <si>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</si>
  <si>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</si>
  <si>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</si>
  <si>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</si>
  <si>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</si>
  <si>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</si>
  <si>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</si>
  <si>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</si>
  <si>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</si>
  <si>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</si>
  <si>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</si>
  <si>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</si>
  <si>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</si>
  <si>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</si>
  <si>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</si>
  <si>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</si>
  <si>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</si>
  <si>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</si>
  <si>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</si>
  <si>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</si>
  <si>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</si>
  <si>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</si>
  <si>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</si>
  <si>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</si>
  <si>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</si>
  <si>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</si>
  <si>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</si>
  <si>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</si>
  <si>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</si>
  <si>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</si>
  <si>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</si>
  <si>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</si>
  <si>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</si>
  <si>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</si>
  <si>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</si>
  <si>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</si>
  <si>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</si>
  <si>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</si>
  <si>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</si>
  <si>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</si>
  <si>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</si>
  <si>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</si>
  <si>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</si>
  <si>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</si>
  <si>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</si>
  <si>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</si>
  <si>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</si>
  <si>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</si>
  <si>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</si>
  <si>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</si>
  <si>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</si>
  <si>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</si>
  <si>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</si>
  <si>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</si>
  <si>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</si>
  <si>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</si>
  <si>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</si>
  <si>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</si>
  <si>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</si>
  <si>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</si>
  <si>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</si>
  <si>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</si>
  <si>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</si>
  <si>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</si>
  <si>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</si>
  <si>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</si>
  <si>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</si>
  <si>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</si>
  <si>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</si>
  <si>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</si>
  <si>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</si>
  <si>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</si>
  <si>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</si>
  <si>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</si>
  <si>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</si>
  <si>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</si>
  <si>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</si>
  <si>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</si>
  <si>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</si>
  <si>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</si>
  <si>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</si>
  <si>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</si>
  <si>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</si>
  <si>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</si>
  <si>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</si>
  <si>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</si>
  <si>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</si>
  <si>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</si>
  <si>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</si>
  <si>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</si>
  <si>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</si>
  <si>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</si>
  <si>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</si>
  <si>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</si>
  <si>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</si>
  <si>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</si>
  <si>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</si>
  <si>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</si>
  <si>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</si>
  <si>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</si>
  <si>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</si>
  <si>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</si>
  <si>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</si>
  <si>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</si>
  <si>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</si>
  <si>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</si>
  <si>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</si>
  <si>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</si>
  <si>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</si>
  <si>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</si>
  <si>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</si>
  <si>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</si>
  <si>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</si>
  <si>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</si>
  <si>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</si>
  <si>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</si>
  <si>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</si>
  <si>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</si>
  <si>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</si>
  <si>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</si>
  <si>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</si>
  <si>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</si>
  <si>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</si>
  <si>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</si>
  <si>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</si>
  <si>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</si>
  <si>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</si>
  <si>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</si>
  <si>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</si>
  <si>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</si>
  <si>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</si>
  <si>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</si>
  <si>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</si>
  <si>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</si>
  <si>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</si>
  <si>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</si>
  <si>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</si>
  <si>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</si>
  <si>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</si>
  <si>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</si>
  <si>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</si>
  <si>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</si>
  <si>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</si>
  <si>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</si>
  <si>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</si>
  <si>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</si>
  <si>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</si>
  <si>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</si>
  <si>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</si>
  <si>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</si>
  <si>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</si>
  <si>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</si>
  <si>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</si>
  <si>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</si>
  <si>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</si>
  <si>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</si>
  <si>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</si>
  <si>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</si>
  <si>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</si>
  <si>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</si>
  <si>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</si>
  <si>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</si>
  <si>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</si>
  <si>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</si>
  <si>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</si>
  <si>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</si>
  <si>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</si>
  <si>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</si>
  <si>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</si>
  <si>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</si>
  <si>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</si>
  <si>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</si>
  <si>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</si>
  <si>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</si>
  <si>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</si>
  <si>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</si>
  <si>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</si>
  <si>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</si>
  <si>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</si>
  <si>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</si>
  <si>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</si>
  <si>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</si>
  <si>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</si>
  <si>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</si>
  <si>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</si>
  <si>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</si>
  <si>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</si>
  <si>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</si>
  <si>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</si>
  <si>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</si>
  <si>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</si>
  <si>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</si>
  <si>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</si>
  <si>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</si>
  <si>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</si>
  <si>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</si>
  <si>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</si>
  <si>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</si>
  <si>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</si>
  <si>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</si>
  <si>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</si>
  <si>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</si>
  <si>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</si>
  <si>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</si>
  <si>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</si>
  <si>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</si>
  <si>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</si>
  <si>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</si>
  <si>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</si>
  <si>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</si>
  <si>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</si>
  <si>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</si>
  <si>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</si>
  <si>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</si>
  <si>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</si>
  <si>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</si>
  <si>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</si>
  <si>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</si>
  <si>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</si>
  <si>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</si>
  <si>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</si>
  <si>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</si>
  <si>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</si>
  <si>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</si>
  <si>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</si>
  <si>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</si>
  <si>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</si>
  <si>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</si>
  <si>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</si>
  <si>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</si>
  <si>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</si>
  <si>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</si>
  <si>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</si>
  <si>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</si>
  <si>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</si>
  <si>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</si>
  <si>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</si>
  <si>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</si>
  <si>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</si>
  <si>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</si>
  <si>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</si>
  <si>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</si>
  <si>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</si>
  <si>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</si>
  <si>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</si>
  <si>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</si>
  <si>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</si>
  <si>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</si>
  <si>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</si>
  <si>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</si>
  <si>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</si>
  <si>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</si>
  <si>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</si>
  <si>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</si>
  <si>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</si>
  <si>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</si>
  <si>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</si>
  <si>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</si>
  <si>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</si>
  <si>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</si>
  <si>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</si>
  <si>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</si>
  <si>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</si>
  <si>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</si>
  <si>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</si>
  <si>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</si>
  <si>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</si>
  <si>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</si>
  <si>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</si>
  <si>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</si>
  <si>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</si>
  <si>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</si>
  <si>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</si>
  <si>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</si>
  <si>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</si>
  <si>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</si>
  <si>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</si>
  <si>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</si>
  <si>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</si>
  <si>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</si>
  <si>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</si>
  <si>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</si>
  <si>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</si>
  <si>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</si>
  <si>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</si>
  <si>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</si>
  <si>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</si>
  <si>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</si>
  <si>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</si>
  <si>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</si>
  <si>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</si>
  <si>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</si>
  <si>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</si>
  <si>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</si>
  <si>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</si>
  <si>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</si>
  <si>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</si>
  <si>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</si>
  <si>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</si>
  <si>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</si>
  <si>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</si>
  <si>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</si>
  <si>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</si>
  <si>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</si>
  <si>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</si>
  <si>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</si>
  <si>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</si>
  <si>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</si>
  <si>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</si>
  <si>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</si>
  <si>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</si>
  <si>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</si>
  <si>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</si>
  <si>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</si>
  <si>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</si>
  <si>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</si>
  <si>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</si>
  <si>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</si>
  <si>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</si>
  <si>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</si>
  <si>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</si>
  <si>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</si>
  <si>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</si>
  <si>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</si>
  <si>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</si>
  <si>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</si>
  <si>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</si>
  <si>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</si>
  <si>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</si>
  <si>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</si>
  <si>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</si>
  <si>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</si>
  <si>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</si>
  <si>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</si>
  <si>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</si>
  <si>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</si>
  <si>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</si>
  <si>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</si>
  <si>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</si>
  <si>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</si>
  <si>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</si>
  <si>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</si>
  <si>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</si>
  <si>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</si>
  <si>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</si>
  <si>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</si>
  <si>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</si>
  <si>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</si>
  <si>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</si>
  <si>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</si>
  <si>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</si>
  <si>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</si>
  <si>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</si>
  <si>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</si>
  <si>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</si>
  <si>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</si>
  <si>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</si>
  <si>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</si>
  <si>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</si>
  <si>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</si>
  <si>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</si>
  <si>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</si>
  <si>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</si>
  <si>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</si>
  <si>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</si>
  <si>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</si>
  <si>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</si>
  <si>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</si>
  <si>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</si>
  <si>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</si>
  <si>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</si>
  <si>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</si>
  <si>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</si>
  <si>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</si>
  <si>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</si>
  <si>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</si>
  <si>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</si>
  <si>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</si>
  <si>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</si>
  <si>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</si>
  <si>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</si>
  <si>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</si>
  <si>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</si>
  <si>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</si>
  <si>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</si>
  <si>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</si>
  <si>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</si>
  <si>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</si>
  <si>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</si>
  <si>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</si>
  <si>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</si>
  <si>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</si>
  <si>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</si>
  <si>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</si>
  <si>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</si>
  <si>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</si>
  <si>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</si>
  <si>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</si>
  <si>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</si>
  <si>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</si>
  <si>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</si>
  <si>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</si>
  <si>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</si>
  <si>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</si>
  <si>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</si>
  <si>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</si>
  <si>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</si>
  <si>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</si>
  <si>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</si>
  <si>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</si>
  <si>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</si>
  <si>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</si>
  <si>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</si>
  <si>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</si>
  <si>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</si>
  <si>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</si>
  <si>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</si>
  <si>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</si>
  <si>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</si>
  <si>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</si>
  <si>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</si>
  <si>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</si>
  <si>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</si>
  <si>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</si>
  <si>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</si>
  <si>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</si>
  <si>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</si>
  <si>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</si>
  <si>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</si>
  <si>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</si>
  <si>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</si>
  <si>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</si>
  <si>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</si>
  <si>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</si>
  <si>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</si>
  <si>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</si>
  <si>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</si>
  <si>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</si>
  <si>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</si>
  <si>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</si>
  <si>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</si>
  <si>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</si>
  <si>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</si>
  <si>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</si>
  <si>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</si>
  <si>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</si>
  <si>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</si>
  <si>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</si>
  <si>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</si>
  <si>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</si>
  <si>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</si>
  <si>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</si>
  <si>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</si>
  <si>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</si>
  <si>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</si>
  <si>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</si>
  <si>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</si>
  <si>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</si>
  <si>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</si>
  <si>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</si>
  <si>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</si>
  <si>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</si>
  <si>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</si>
  <si>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</si>
  <si>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</si>
  <si>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</si>
  <si>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</si>
  <si>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</si>
  <si>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</si>
  <si>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</si>
  <si>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</si>
  <si>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</si>
  <si>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</si>
  <si>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</si>
  <si>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</si>
  <si>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</si>
  <si>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</si>
  <si>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</si>
  <si>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</si>
  <si>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</si>
  <si>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</si>
  <si>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</si>
  <si>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</si>
  <si>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</si>
  <si>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</si>
  <si>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</si>
  <si>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</si>
  <si>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</si>
  <si>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</si>
  <si>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</si>
  <si>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</si>
  <si>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</si>
  <si>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</si>
  <si>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</si>
  <si>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</si>
  <si>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</si>
  <si>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</si>
  <si>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</si>
  <si>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</si>
  <si>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</si>
  <si>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</si>
  <si>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</si>
  <si>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</si>
  <si>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</si>
  <si>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</si>
  <si>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</si>
  <si>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</si>
  <si>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</si>
  <si>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</si>
  <si>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</si>
  <si>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</si>
  <si>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</si>
  <si>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</si>
  <si>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</si>
  <si>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</si>
  <si>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</si>
  <si>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</si>
  <si>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</si>
  <si>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</si>
  <si>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</si>
  <si>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</si>
  <si>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</si>
  <si>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</si>
  <si>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</si>
  <si>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</si>
  <si>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</si>
  <si>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</si>
  <si>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</si>
  <si>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</si>
  <si>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</si>
  <si>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</si>
  <si>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</si>
  <si>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</si>
  <si>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</si>
  <si>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</si>
  <si>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</si>
  <si>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</si>
  <si>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</si>
  <si>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</si>
  <si>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</si>
  <si>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</si>
  <si>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</si>
  <si>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</si>
  <si>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</si>
  <si>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</si>
  <si>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</si>
  <si>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</si>
  <si>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</si>
  <si>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</si>
  <si>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</si>
  <si>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</si>
  <si>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</si>
  <si>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</si>
  <si>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</si>
  <si>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</si>
  <si>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</si>
  <si>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</si>
  <si>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</si>
  <si>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</si>
  <si>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</si>
  <si>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</si>
  <si>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</si>
  <si>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</si>
  <si>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</si>
  <si>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</si>
  <si>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</si>
  <si>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</si>
  <si>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</si>
  <si>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</si>
  <si>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</si>
  <si>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</si>
  <si>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</si>
  <si>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</si>
  <si>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</si>
  <si>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</si>
  <si>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</si>
  <si>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</si>
  <si>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</si>
  <si>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</si>
  <si>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</si>
  <si>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</si>
  <si>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</si>
  <si>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</si>
  <si>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</si>
  <si>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</si>
  <si>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</si>
  <si>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</si>
  <si>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</si>
  <si>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</si>
  <si>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</si>
  <si>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</si>
  <si>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</si>
  <si>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</si>
  <si>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</si>
  <si>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</si>
  <si>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</si>
  <si>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</si>
  <si>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</si>
  <si>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</si>
  <si>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</si>
  <si>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</si>
  <si>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</si>
  <si>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</si>
  <si>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</si>
  <si>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</si>
  <si>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</si>
  <si>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</si>
  <si>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</si>
  <si>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</si>
  <si>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</si>
  <si>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</si>
  <si>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</si>
  <si>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</si>
  <si>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</si>
  <si>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</si>
  <si>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</si>
  <si>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</si>
  <si>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</si>
  <si>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</si>
  <si>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</si>
  <si>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</si>
  <si>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</si>
  <si>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</si>
  <si>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</si>
  <si>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</si>
  <si>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</si>
  <si>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</si>
  <si>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</si>
  <si>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</si>
  <si>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</si>
  <si>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</si>
  <si>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</si>
  <si>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</si>
  <si>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</si>
  <si>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</si>
  <si>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</si>
  <si>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</si>
  <si>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</si>
  <si>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</si>
  <si>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</si>
  <si>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</si>
  <si>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</si>
  <si>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</si>
  <si>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</si>
  <si>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</si>
  <si>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</si>
  <si>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</si>
  <si>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</si>
  <si>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</si>
  <si>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</si>
  <si>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</si>
  <si>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</si>
  <si>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</si>
  <si>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</si>
  <si>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</si>
  <si>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</si>
  <si>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</si>
  <si>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</si>
  <si>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</si>
  <si>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</si>
  <si>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</si>
  <si>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</si>
  <si>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</si>
  <si>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</si>
  <si>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</si>
  <si>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</si>
  <si>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</si>
  <si>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</si>
  <si>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</si>
  <si>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</si>
  <si>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</si>
  <si>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</si>
  <si>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</si>
  <si>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</si>
  <si>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</si>
  <si>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</si>
  <si>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</si>
  <si>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</si>
  <si>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</si>
  <si>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</si>
  <si>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</si>
  <si>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</si>
  <si>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</si>
  <si>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</si>
  <si>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</si>
  <si>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</si>
  <si>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</si>
  <si>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</si>
  <si>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</si>
  <si>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</si>
  <si>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</si>
  <si>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</si>
  <si>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</si>
  <si>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</si>
  <si>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</si>
  <si>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</si>
  <si>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</si>
  <si>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</si>
  <si>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</si>
  <si>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</si>
  <si>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</si>
  <si>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</si>
  <si>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</si>
  <si>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</si>
  <si>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</si>
  <si>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</si>
  <si>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</si>
  <si>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</si>
  <si>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</si>
  <si>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</si>
  <si>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</si>
  <si>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</si>
  <si>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</si>
  <si>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</si>
  <si>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</si>
  <si>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</si>
  <si>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</si>
  <si>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</si>
  <si>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</si>
  <si>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</si>
  <si>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</si>
  <si>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</si>
  <si>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</si>
  <si>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</si>
  <si>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</si>
  <si>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</si>
  <si>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</si>
  <si>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</si>
  <si>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</si>
  <si>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</si>
  <si>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</si>
  <si>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</si>
  <si>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</si>
  <si>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</si>
  <si>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</si>
  <si>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</si>
  <si>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</si>
  <si>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</si>
  <si>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</si>
  <si>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</si>
  <si>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</si>
  <si>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</si>
  <si>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</si>
  <si>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</si>
  <si>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</si>
  <si>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</si>
  <si>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</si>
  <si>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</si>
  <si>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</si>
  <si>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</si>
  <si>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</si>
  <si>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</si>
  <si>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</si>
  <si>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</si>
  <si>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</si>
  <si>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</si>
  <si>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</si>
  <si>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</si>
  <si>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</si>
  <si>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</si>
  <si>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</si>
  <si>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</si>
  <si>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</si>
  <si>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</si>
  <si>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</si>
  <si>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</si>
  <si>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</si>
  <si>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</si>
  <si>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</si>
  <si>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</si>
  <si>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</si>
  <si>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</si>
  <si>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</si>
  <si>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</si>
  <si>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</si>
  <si>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</si>
  <si>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</si>
  <si>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</si>
  <si>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</si>
  <si>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</si>
  <si>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</si>
  <si>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</si>
  <si>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</si>
  <si>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</si>
  <si>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</si>
  <si>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</si>
  <si>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</si>
  <si>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</si>
  <si>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</si>
  <si>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</si>
  <si>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</si>
  <si>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</si>
  <si>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</si>
  <si>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</si>
  <si>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</si>
  <si>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</si>
  <si>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</si>
  <si>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</si>
  <si>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</si>
  <si>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</si>
  <si>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</si>
  <si>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</si>
  <si>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</si>
  <si>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</si>
  <si>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</si>
  <si>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</si>
  <si>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</si>
  <si>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</si>
  <si>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</si>
  <si>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</si>
  <si>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</si>
  <si>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</si>
  <si>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</si>
  <si>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</si>
  <si>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</si>
  <si>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</si>
  <si>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</si>
  <si>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</si>
  <si>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</si>
  <si>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</si>
  <si>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</si>
  <si>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</si>
  <si>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</si>
  <si>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</si>
  <si>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</si>
  <si>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</si>
  <si>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</si>
  <si>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</si>
  <si>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</si>
  <si>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</si>
  <si>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</si>
  <si>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</si>
  <si>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</si>
  <si>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</si>
  <si>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</si>
  <si>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</si>
  <si>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</si>
  <si>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</si>
  <si>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</si>
  <si>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</si>
  <si>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</si>
  <si>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</si>
  <si>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</si>
  <si>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</si>
  <si>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</si>
  <si>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</si>
  <si>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</si>
  <si>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</si>
  <si>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</si>
  <si>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</si>
  <si>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</si>
  <si>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</si>
  <si>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</si>
  <si>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</si>
  <si>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</si>
  <si>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</si>
  <si>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</si>
  <si>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</si>
  <si>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</si>
  <si>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</si>
  <si>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</si>
  <si>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</si>
  <si>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</si>
  <si>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</si>
  <si>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</si>
  <si>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</si>
  <si>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</si>
  <si>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</si>
  <si>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</si>
  <si>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</si>
  <si>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</si>
  <si>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</si>
  <si>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</si>
  <si>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</si>
  <si>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</si>
  <si>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</si>
  <si>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</si>
  <si>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</si>
  <si>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</si>
  <si>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</si>
  <si>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</si>
  <si>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</si>
  <si>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</si>
  <si>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</si>
  <si>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</si>
  <si>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</si>
  <si>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</si>
  <si>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</si>
  <si>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</si>
  <si>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</si>
  <si>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</si>
  <si>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</si>
  <si>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</si>
  <si>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</si>
  <si>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</si>
  <si>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</si>
  <si>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</si>
  <si>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</si>
  <si>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</si>
  <si>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</si>
  <si>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</si>
  <si>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</si>
  <si>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</si>
  <si>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</si>
  <si>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</si>
  <si>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</si>
  <si>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</si>
  <si>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</si>
  <si>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</si>
  <si>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</si>
  <si>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</si>
  <si>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</si>
  <si>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</si>
  <si>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</si>
  <si>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</si>
  <si>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</si>
  <si>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</si>
  <si>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</si>
  <si>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</si>
  <si>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</si>
  <si>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</si>
  <si>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</si>
  <si>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</si>
  <si>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</si>
  <si>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</si>
  <si>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</si>
  <si>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</si>
  <si>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</si>
  <si>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</si>
  <si>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</si>
  <si>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</si>
  <si>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</si>
  <si>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</si>
  <si>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</si>
  <si>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</si>
  <si>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</si>
  <si>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</si>
  <si>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</si>
  <si>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</si>
  <si>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</si>
  <si>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</si>
  <si>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</si>
  <si>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</si>
  <si>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</si>
  <si>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</si>
  <si>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</si>
  <si>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</si>
  <si>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</si>
  <si>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</si>
  <si>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</si>
  <si>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</si>
  <si>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</si>
  <si>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</si>
  <si>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</si>
  <si>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</si>
  <si>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</si>
  <si>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</si>
  <si>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</si>
  <si>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</si>
  <si>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</si>
  <si>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</si>
  <si>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</si>
  <si>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</si>
  <si>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</si>
  <si>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</si>
  <si>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</si>
  <si>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</si>
  <si>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</si>
  <si>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</si>
  <si>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</si>
  <si>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</si>
  <si>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</si>
  <si>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</si>
  <si>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</si>
  <si>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</si>
  <si>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</si>
  <si>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</si>
  <si>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</si>
  <si>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</si>
  <si>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</si>
  <si>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</si>
  <si>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</si>
  <si>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</si>
  <si>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</si>
  <si>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</si>
  <si>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</si>
  <si>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</si>
  <si>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</si>
  <si>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</si>
  <si>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</si>
  <si>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</si>
  <si>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</si>
  <si>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</si>
  <si>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</si>
  <si>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</si>
  <si>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</si>
  <si>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</si>
  <si>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</si>
  <si>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</si>
  <si>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</si>
  <si>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</si>
  <si>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</si>
  <si>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</si>
  <si>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</si>
  <si>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</si>
  <si>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</si>
  <si>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</si>
  <si>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</si>
  <si>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</si>
  <si>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</si>
  <si>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</si>
  <si>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</si>
  <si>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</si>
  <si>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</si>
  <si>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</si>
  <si>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</si>
  <si>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</si>
  <si>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</si>
  <si>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</si>
  <si>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</si>
  <si>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</si>
  <si>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</si>
  <si>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</si>
  <si>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</si>
  <si>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</si>
  <si>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</si>
  <si>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</si>
  <si>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</si>
  <si>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</si>
  <si>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</si>
  <si>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</si>
  <si>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</si>
  <si>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</si>
  <si>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</si>
  <si>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</si>
  <si>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</si>
  <si>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</si>
  <si>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</si>
  <si>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</si>
  <si>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</si>
  <si>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</si>
  <si>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</si>
  <si>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</si>
  <si>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</si>
  <si>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</si>
  <si>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</si>
  <si>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</si>
  <si>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</si>
  <si>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</si>
  <si>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</si>
  <si>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</si>
  <si>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</si>
  <si>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</si>
  <si>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</si>
  <si>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</si>
  <si>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</si>
  <si>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</si>
  <si>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</si>
  <si>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</si>
  <si>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</si>
  <si>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</si>
  <si>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</si>
  <si>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</si>
  <si>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</si>
  <si>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</si>
  <si>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</si>
  <si>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</si>
  <si>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</si>
  <si>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</si>
  <si>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</si>
  <si>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</si>
  <si>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</si>
  <si>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</si>
  <si>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</si>
  <si>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</si>
  <si>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</si>
  <si>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</si>
  <si>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</si>
  <si>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</si>
  <si>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</si>
  <si>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</si>
  <si>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</si>
  <si>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</si>
  <si>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</si>
  <si>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</si>
  <si>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</si>
  <si>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</si>
  <si>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</si>
  <si>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</si>
  <si>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</si>
  <si>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</si>
  <si>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</si>
  <si>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</si>
  <si>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</si>
  <si>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</si>
  <si>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</si>
  <si>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</si>
  <si>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</si>
  <si>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</si>
  <si>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</si>
  <si>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</si>
  <si>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</si>
  <si>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</si>
  <si>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</si>
  <si>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</si>
  <si>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</si>
  <si>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</si>
  <si>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</si>
  <si>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</si>
  <si>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</si>
  <si>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</si>
  <si>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</si>
  <si>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</si>
  <si>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</si>
  <si>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</si>
  <si>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</si>
  <si>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</si>
  <si>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</si>
  <si>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</si>
  <si>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</si>
  <si>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</si>
  <si>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</si>
  <si>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</si>
  <si>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</si>
  <si>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</si>
  <si>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</si>
  <si>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</si>
  <si>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</si>
  <si>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</si>
  <si>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</si>
  <si>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</si>
  <si>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</si>
  <si>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</si>
  <si>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</si>
  <si>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</si>
  <si>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</si>
  <si>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</si>
  <si>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</si>
  <si>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</si>
  <si>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</si>
  <si>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</si>
  <si>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</si>
  <si>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</si>
  <si>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</si>
  <si>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</si>
  <si>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</si>
  <si>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</si>
  <si>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</si>
  <si>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</si>
  <si>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</si>
  <si>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</si>
  <si>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</si>
  <si>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</si>
  <si>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</si>
  <si>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</si>
  <si>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</si>
  <si>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</si>
  <si>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</si>
  <si>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</si>
  <si>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</si>
  <si>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</si>
  <si>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</si>
  <si>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</si>
  <si>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</si>
  <si>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</si>
  <si>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</si>
  <si>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</si>
  <si>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</si>
  <si>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</si>
  <si>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</si>
  <si>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</si>
  <si>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</si>
  <si>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</si>
  <si>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</si>
  <si>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</si>
  <si>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</si>
  <si>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</si>
  <si>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</si>
  <si>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</si>
  <si>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</si>
  <si>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</si>
  <si>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</si>
  <si>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</si>
  <si>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</si>
  <si>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</si>
  <si>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</si>
  <si>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</si>
  <si>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</si>
  <si>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</si>
  <si>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</si>
  <si>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</si>
  <si>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</si>
  <si>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</si>
  <si>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</si>
  <si>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</si>
  <si>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</si>
  <si>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</si>
  <si>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</si>
  <si>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</si>
  <si>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</si>
  <si>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</si>
  <si>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</si>
  <si>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</si>
  <si>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</si>
  <si>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</si>
  <si>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</si>
  <si>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</si>
  <si>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</si>
  <si>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</si>
  <si>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</si>
  <si>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</si>
  <si>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</si>
  <si>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</si>
  <si>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</si>
  <si>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</si>
  <si>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</si>
  <si>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</si>
  <si>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</si>
  <si>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</si>
  <si>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</si>
  <si>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</si>
  <si>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</si>
  <si>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</si>
  <si>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</si>
  <si>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</si>
  <si>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</si>
  <si>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</si>
  <si>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</si>
  <si>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</si>
  <si>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</si>
  <si>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</si>
  <si>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</si>
  <si>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</si>
  <si>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</si>
  <si>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</si>
  <si>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</si>
  <si>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</si>
  <si>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</si>
  <si>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</si>
  <si>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</si>
  <si>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</si>
  <si>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</si>
  <si>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</si>
  <si>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</si>
  <si>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</si>
  <si>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</si>
  <si>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</si>
  <si>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</si>
  <si>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</si>
  <si>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</si>
  <si>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</si>
  <si>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</si>
  <si>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</si>
  <si>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</si>
  <si>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</si>
  <si>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</si>
  <si>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</si>
  <si>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</si>
  <si>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</si>
  <si>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</si>
  <si>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</si>
  <si>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</si>
  <si>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</si>
  <si>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</si>
  <si>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</si>
  <si>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</si>
  <si>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</si>
  <si>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</si>
  <si>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</si>
  <si>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</si>
  <si>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</si>
  <si>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</si>
  <si>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</si>
  <si>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</si>
  <si>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</si>
  <si>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</si>
  <si>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</si>
  <si>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</si>
  <si>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</si>
  <si>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</si>
  <si>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</si>
  <si>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</si>
  <si>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</si>
  <si>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</si>
  <si>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</si>
  <si>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</si>
  <si>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</si>
  <si>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</si>
  <si>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</si>
  <si>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</si>
  <si>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</si>
  <si>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</si>
  <si>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</si>
  <si>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</si>
  <si>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</si>
  <si>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</si>
  <si>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</si>
  <si>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</si>
  <si>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</si>
  <si>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</si>
  <si>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</si>
  <si>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</si>
  <si>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</si>
  <si>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</si>
  <si>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</si>
  <si>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</si>
  <si>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</si>
  <si>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</si>
  <si>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</si>
  <si>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</si>
  <si>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</si>
  <si>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</si>
  <si>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</si>
  <si>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</si>
  <si>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</si>
  <si>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</si>
  <si>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</si>
  <si>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</si>
  <si>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</si>
  <si>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</si>
  <si>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</si>
  <si>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</si>
  <si>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</si>
  <si>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</si>
  <si>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</si>
  <si>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</si>
  <si>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</si>
  <si>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</si>
  <si>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</si>
  <si>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</si>
  <si>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</si>
  <si>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</si>
  <si>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</si>
  <si>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</si>
  <si>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</si>
  <si>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</si>
  <si>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</si>
  <si>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</si>
  <si>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</si>
  <si>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</si>
  <si>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</si>
  <si>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</si>
  <si>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</si>
  <si>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</si>
  <si>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</si>
  <si>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</si>
  <si>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</si>
  <si>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</si>
  <si>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</si>
  <si>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</si>
  <si>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</si>
  <si>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</si>
  <si>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</si>
  <si>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</si>
  <si>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</si>
  <si>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</si>
  <si>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</si>
  <si>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</si>
  <si>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</si>
  <si>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</si>
  <si>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</si>
  <si>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</si>
  <si>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</si>
  <si>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</si>
  <si>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</si>
  <si>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</si>
  <si>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</si>
  <si>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</si>
  <si>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</si>
  <si>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</si>
  <si>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</si>
  <si>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</si>
  <si>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</si>
  <si>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</si>
  <si>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</si>
  <si>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</si>
  <si>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</si>
  <si>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</si>
  <si>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</si>
  <si>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</si>
  <si>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</si>
  <si>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</si>
  <si>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</si>
  <si>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</si>
  <si>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</si>
  <si>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</si>
  <si>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</si>
  <si>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</si>
  <si>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</si>
  <si>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</si>
  <si>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</si>
  <si>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</si>
  <si>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</si>
  <si>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</si>
  <si>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</si>
  <si>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</si>
  <si>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</si>
  <si>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</si>
  <si>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</si>
  <si>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</si>
  <si>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</si>
  <si>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</si>
  <si>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</si>
  <si>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</si>
  <si>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</si>
  <si>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</si>
  <si>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</si>
  <si>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</si>
  <si>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</si>
  <si>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</si>
  <si>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</si>
  <si>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</si>
  <si>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</si>
  <si>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</si>
  <si>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</si>
  <si>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</si>
  <si>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</si>
  <si>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</si>
  <si>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</si>
  <si>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</si>
  <si>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</si>
  <si>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</si>
  <si>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</si>
  <si>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</si>
  <si>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</si>
  <si>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</si>
  <si>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</si>
  <si>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</si>
  <si>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</si>
  <si>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</si>
  <si>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</si>
  <si>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</si>
  <si>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</si>
  <si>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</si>
  <si>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</si>
  <si>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</si>
  <si>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</si>
  <si>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</si>
  <si>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</si>
  <si>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</si>
  <si>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</si>
  <si>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</si>
  <si>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</si>
  <si>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</si>
  <si>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</si>
  <si>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</si>
  <si>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</si>
  <si>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</si>
  <si>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</si>
  <si>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</si>
  <si>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</si>
  <si>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</si>
  <si>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</si>
  <si>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</si>
  <si>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</si>
  <si>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</si>
  <si>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</si>
  <si>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</si>
  <si>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</si>
  <si>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</si>
  <si>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</si>
  <si>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</si>
  <si>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</si>
  <si>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</si>
  <si>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</si>
  <si>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</si>
  <si>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</si>
  <si>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</si>
  <si>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</si>
  <si>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</si>
  <si>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</si>
  <si>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</si>
  <si>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</si>
  <si>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</si>
  <si>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</si>
  <si>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</si>
  <si>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</si>
  <si>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</si>
  <si>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</si>
  <si>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</si>
  <si>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</si>
  <si>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</si>
  <si>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</si>
  <si>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</si>
  <si>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</si>
  <si>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</si>
  <si>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</si>
  <si>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</si>
  <si>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</si>
  <si>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</si>
  <si>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</si>
  <si>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</si>
  <si>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</si>
  <si>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</si>
  <si>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</si>
  <si>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</si>
  <si>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</si>
  <si>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</si>
  <si>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</si>
  <si>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</si>
  <si>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</si>
  <si>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</si>
  <si>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</si>
  <si>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</si>
  <si>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</si>
  <si>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</si>
  <si>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</si>
  <si>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</si>
  <si>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</si>
  <si>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</si>
  <si>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</si>
  <si>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</si>
  <si>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</si>
  <si>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</si>
  <si>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</si>
  <si>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</si>
  <si>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</si>
  <si>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</si>
  <si>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</si>
  <si>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</si>
  <si>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</si>
  <si>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</si>
  <si>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</si>
  <si>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</si>
  <si>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</si>
  <si>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</si>
  <si>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</si>
  <si>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</si>
  <si>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</si>
  <si>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</si>
  <si>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</si>
  <si>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</si>
  <si>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</si>
  <si>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</si>
  <si>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</si>
  <si>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</si>
  <si>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</si>
  <si>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</si>
  <si>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</si>
  <si>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</si>
  <si>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</si>
  <si>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</si>
  <si>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</si>
  <si>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</si>
  <si>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</si>
  <si>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</si>
  <si>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</si>
  <si>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</si>
  <si>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</si>
  <si>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</si>
  <si>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</si>
  <si>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</si>
  <si>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</si>
  <si>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</si>
  <si>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</si>
  <si>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</si>
  <si>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</si>
  <si>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</si>
  <si>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</si>
  <si>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</si>
  <si>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</si>
  <si>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</si>
  <si>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</si>
  <si>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</si>
  <si>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</si>
  <si>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</si>
  <si>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</si>
  <si>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</si>
  <si>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</si>
  <si>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</si>
  <si>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</si>
  <si>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</si>
  <si>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</si>
  <si>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</si>
  <si>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</si>
  <si>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</si>
  <si>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</si>
  <si>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</si>
  <si>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</si>
  <si>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</si>
  <si>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</si>
  <si>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</si>
  <si>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</si>
  <si>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</si>
  <si>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</si>
  <si>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</si>
  <si>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</si>
  <si>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</si>
  <si>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</si>
  <si>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</si>
  <si>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</si>
  <si>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</si>
  <si>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</si>
  <si>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</si>
  <si>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</si>
  <si>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</si>
  <si>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</si>
  <si>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</si>
  <si>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</si>
  <si>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</si>
  <si>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</si>
  <si>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</si>
  <si>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</si>
  <si>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</si>
  <si>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</si>
  <si>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</si>
  <si>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</si>
  <si>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</si>
  <si>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</si>
  <si>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</si>
  <si>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</si>
  <si>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</si>
  <si>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</si>
  <si>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</si>
  <si>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</si>
  <si>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</si>
  <si>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</si>
  <si>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</si>
  <si>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</si>
  <si>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</si>
  <si>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</si>
  <si>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</si>
  <si>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</si>
  <si>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</si>
  <si>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</si>
  <si>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</si>
  <si>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</si>
  <si>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</si>
  <si>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</si>
  <si>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</si>
  <si>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</si>
  <si>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</si>
  <si>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</si>
  <si>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</si>
  <si>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</si>
  <si>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</si>
  <si>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</si>
  <si>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</si>
  <si>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</si>
  <si>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</si>
  <si>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</si>
  <si>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</si>
  <si>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</si>
  <si>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</si>
  <si>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</si>
  <si>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</si>
  <si>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</si>
  <si>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</si>
  <si>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</si>
  <si>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</si>
  <si>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</si>
  <si>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</si>
  <si>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</si>
  <si>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</si>
  <si>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</si>
  <si>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</si>
  <si>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</si>
  <si>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</si>
  <si>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</si>
  <si>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</si>
  <si>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</si>
  <si>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</si>
  <si>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</si>
  <si>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</si>
  <si>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</si>
  <si>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</si>
  <si>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</si>
  <si>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</si>
  <si>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</si>
  <si>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</si>
  <si>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</si>
  <si>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</si>
  <si>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</si>
  <si>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</si>
  <si>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</si>
  <si>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</si>
  <si>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</si>
  <si>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</si>
  <si>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</si>
  <si>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</si>
  <si>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</si>
  <si>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</si>
  <si>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</si>
  <si>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</si>
  <si>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</si>
  <si>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</si>
  <si>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</si>
  <si>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</si>
  <si>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</si>
  <si>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</si>
  <si>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</si>
  <si>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</si>
  <si>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</si>
  <si>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</si>
  <si>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</si>
  <si>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</si>
  <si>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</si>
  <si>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</si>
  <si>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</si>
  <si>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</si>
  <si>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</si>
  <si>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</si>
  <si>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</si>
  <si>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</si>
  <si>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</si>
  <si>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</si>
  <si>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</si>
  <si>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</si>
  <si>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</si>
  <si>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</si>
  <si>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</si>
  <si>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</si>
  <si>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</si>
  <si>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</si>
  <si>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</si>
  <si>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</si>
  <si>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</si>
  <si>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</si>
  <si>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</si>
  <si>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</si>
  <si>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</si>
  <si>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</si>
  <si>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</si>
  <si>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</si>
  <si>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</si>
  <si>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</si>
  <si>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</si>
  <si>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</si>
  <si>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</si>
  <si>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</si>
  <si>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</si>
  <si>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</si>
  <si>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</si>
  <si>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</si>
  <si>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</si>
  <si>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</si>
  <si>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</si>
  <si>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</si>
  <si>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</si>
  <si>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</si>
  <si>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</si>
  <si>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</si>
  <si>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</si>
  <si>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</si>
  <si>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</si>
  <si>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</si>
  <si>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</si>
  <si>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</si>
  <si>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</si>
  <si>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</si>
  <si>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</si>
  <si>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</si>
  <si>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</si>
  <si>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</si>
  <si>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</si>
  <si>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</si>
  <si>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</si>
  <si>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</si>
  <si>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</si>
  <si>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</si>
  <si>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</si>
  <si>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</si>
  <si>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</si>
  <si>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</si>
  <si>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</si>
  <si>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</si>
  <si>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</si>
  <si>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</si>
  <si>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</si>
  <si>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</si>
  <si>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</si>
  <si>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</si>
  <si>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</si>
  <si>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</si>
  <si>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</si>
  <si>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</si>
  <si>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</si>
  <si>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</si>
  <si>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</si>
  <si>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</si>
  <si>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</si>
  <si>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</si>
  <si>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</si>
  <si>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</si>
  <si>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</si>
  <si>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</si>
  <si>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</si>
  <si>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</si>
  <si>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</si>
  <si>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</si>
  <si>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</si>
  <si>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</si>
  <si>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</si>
  <si>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</si>
  <si>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</si>
  <si>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</si>
  <si>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</si>
  <si>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</si>
  <si>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</si>
  <si>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</si>
  <si>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</si>
  <si>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</si>
  <si>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</si>
  <si>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</si>
  <si>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</si>
  <si>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</si>
  <si>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</si>
  <si>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</si>
  <si>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</si>
  <si>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</si>
  <si>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</si>
  <si>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</si>
  <si>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</si>
  <si>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</si>
  <si>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</si>
  <si>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</si>
  <si>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</si>
  <si>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</si>
  <si>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</si>
  <si>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</si>
  <si>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</si>
  <si>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</si>
  <si>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</si>
  <si>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</si>
  <si>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</si>
  <si>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</si>
  <si>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</si>
  <si>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</si>
  <si>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</si>
  <si>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</si>
  <si>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</si>
  <si>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</si>
  <si>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</si>
  <si>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</si>
  <si>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</si>
  <si>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</si>
  <si>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</si>
  <si>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</si>
  <si>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</si>
  <si>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</si>
  <si>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</si>
  <si>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</si>
  <si>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</si>
  <si>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</si>
  <si>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</si>
  <si>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</si>
  <si>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</si>
  <si>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</si>
  <si>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</si>
  <si>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</si>
  <si>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</si>
  <si>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</si>
  <si>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</si>
  <si>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</si>
  <si>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</si>
  <si>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</si>
  <si>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</si>
  <si>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</si>
  <si>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</si>
  <si>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</si>
  <si>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</si>
  <si>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</si>
  <si>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</si>
  <si>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</si>
  <si>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</si>
  <si>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</si>
  <si>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</si>
  <si>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</si>
  <si>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</si>
  <si>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</si>
  <si>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</si>
  <si>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</si>
  <si>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</si>
  <si>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</si>
  <si>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</si>
  <si>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</si>
  <si>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</si>
  <si>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</si>
  <si>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</si>
  <si>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</si>
  <si>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</si>
  <si>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</si>
  <si>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</si>
  <si>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</si>
  <si>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</si>
  <si>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</si>
  <si>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</si>
  <si>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</si>
  <si>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</si>
  <si>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</si>
  <si>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</si>
  <si>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</si>
  <si>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</si>
  <si>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</si>
  <si>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</si>
  <si>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</si>
  <si>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</si>
  <si>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</si>
  <si>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</si>
  <si>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</si>
  <si>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</si>
  <si>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</si>
  <si>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</si>
  <si>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</si>
  <si>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</si>
  <si>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</si>
  <si>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</si>
  <si>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</si>
  <si>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</si>
  <si>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</si>
  <si>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</si>
  <si>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</si>
  <si>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</si>
  <si>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</si>
  <si>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</si>
  <si>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</si>
  <si>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</si>
  <si>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</si>
  <si>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</si>
  <si>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</si>
  <si>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</si>
  <si>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</si>
  <si>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</si>
  <si>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</si>
  <si>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</si>
  <si>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</si>
  <si>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</si>
  <si>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</si>
  <si>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</si>
  <si>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</si>
  <si>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</si>
  <si>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</si>
  <si>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</si>
  <si>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</si>
  <si>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</si>
  <si>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</si>
  <si>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</si>
  <si>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</si>
  <si>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</si>
  <si>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</si>
  <si>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</si>
  <si>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</si>
  <si>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</si>
  <si>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</si>
  <si>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</si>
  <si>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</si>
  <si>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</si>
  <si>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</si>
  <si>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</si>
  <si>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</si>
  <si>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</si>
  <si>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</si>
  <si>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</si>
  <si>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</si>
  <si>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</si>
  <si>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</si>
  <si>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</si>
  <si>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</si>
  <si>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</si>
  <si>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</si>
  <si>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</si>
  <si>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</si>
  <si>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</si>
  <si>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</si>
  <si>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</si>
  <si>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</si>
  <si>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</si>
  <si>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</si>
  <si>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</si>
  <si>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</si>
  <si>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</si>
  <si>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</si>
  <si>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</si>
  <si>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</si>
  <si>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</si>
  <si>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</si>
  <si>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</si>
  <si>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</si>
  <si>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</si>
  <si>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</si>
  <si>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</si>
  <si>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</si>
  <si>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</si>
  <si>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</si>
  <si>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</si>
  <si>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</si>
  <si>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</si>
  <si>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</si>
  <si>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</si>
  <si>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</si>
  <si>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</si>
  <si>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</si>
  <si>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</si>
  <si>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</si>
  <si>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</si>
  <si>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</si>
  <si>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</si>
  <si>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</si>
  <si>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</si>
  <si>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</si>
  <si>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</si>
  <si>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</si>
  <si>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</si>
  <si>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</si>
  <si>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</si>
  <si>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</si>
  <si>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</si>
  <si>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</si>
  <si>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</si>
  <si>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</si>
  <si>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</si>
  <si>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</si>
  <si>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</si>
  <si>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</si>
  <si>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</si>
  <si>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</si>
  <si>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</si>
  <si>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</si>
  <si>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</si>
  <si>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</si>
  <si>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</si>
  <si>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</si>
  <si>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</si>
  <si>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</si>
  <si>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</si>
  <si>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</si>
  <si>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</si>
  <si>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</si>
  <si>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</si>
  <si>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</si>
  <si>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</si>
  <si>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</si>
  <si>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</si>
  <si>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</si>
  <si>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</si>
  <si>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</si>
  <si>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</si>
  <si>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</si>
  <si>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</si>
  <si>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</si>
  <si>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</si>
  <si>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</si>
  <si>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</si>
  <si>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</si>
  <si>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</si>
  <si>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</si>
  <si>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</si>
  <si>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</si>
  <si>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</si>
  <si>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</si>
  <si>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</si>
  <si>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</si>
  <si>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</si>
  <si>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</si>
  <si>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</si>
  <si>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</si>
  <si>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</si>
  <si>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</si>
  <si>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</si>
  <si>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</si>
  <si>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</si>
  <si>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</si>
  <si>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</si>
  <si>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</si>
  <si>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</si>
  <si>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</si>
  <si>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</si>
  <si>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</si>
  <si>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</si>
  <si>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</si>
  <si>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</si>
  <si>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</si>
  <si>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</si>
  <si>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</si>
  <si>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</si>
  <si>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</si>
  <si>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</si>
  <si>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</si>
  <si>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</si>
  <si>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</si>
  <si>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</si>
  <si>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</si>
  <si>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</si>
  <si>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</si>
  <si>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</si>
  <si>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</si>
  <si>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</si>
  <si>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</si>
  <si>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</si>
  <si>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</si>
  <si>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</si>
  <si>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</si>
  <si>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</si>
  <si>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</si>
  <si>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</si>
  <si>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</si>
  <si>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</si>
  <si>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</si>
  <si>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</si>
  <si>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</si>
  <si>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</si>
  <si>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</si>
  <si>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</si>
  <si>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</si>
  <si>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</si>
  <si>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</si>
  <si>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</si>
  <si>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</si>
  <si>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</si>
  <si>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</si>
  <si>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</si>
  <si>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</si>
  <si>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</si>
  <si>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</si>
  <si>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</si>
  <si>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</si>
  <si>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</si>
  <si>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</si>
  <si>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</si>
  <si>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</si>
  <si>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</si>
  <si>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</si>
  <si>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</si>
  <si>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</si>
  <si>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</si>
  <si>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</si>
  <si>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</si>
  <si>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</si>
  <si>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</si>
  <si>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</si>
  <si>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</si>
  <si>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</si>
  <si>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</si>
  <si>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</si>
  <si>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</si>
  <si>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</si>
  <si>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</si>
  <si>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</si>
  <si>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</si>
  <si>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</si>
  <si>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</si>
  <si>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</si>
  <si>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</si>
  <si>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</si>
  <si>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</si>
  <si>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</si>
  <si>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</si>
  <si>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</si>
  <si>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</si>
  <si>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</si>
  <si>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</si>
  <si>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</si>
  <si>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</si>
  <si>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</si>
  <si>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</si>
  <si>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</si>
  <si>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</si>
  <si>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</si>
  <si>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</si>
  <si>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</si>
  <si>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</si>
  <si>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</si>
  <si>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</si>
  <si>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</si>
  <si>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</si>
  <si>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</si>
  <si>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</si>
  <si>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</si>
  <si>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</si>
  <si>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</si>
  <si>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</si>
  <si>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</si>
  <si>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</si>
  <si>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</si>
  <si>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</si>
  <si>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</si>
  <si>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</si>
  <si>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</si>
  <si>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</si>
  <si>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</si>
  <si>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</si>
  <si>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</si>
  <si>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</si>
  <si>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</si>
  <si>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</si>
  <si>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</si>
  <si>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</si>
  <si>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</si>
  <si>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</si>
  <si>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</si>
  <si>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</si>
  <si>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</si>
  <si>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</si>
  <si>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</si>
  <si>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</si>
  <si>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</si>
  <si>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</si>
  <si>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</si>
  <si>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</si>
  <si>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</si>
  <si>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</si>
  <si>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</si>
  <si>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</si>
  <si>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</si>
  <si>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</si>
  <si>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</si>
  <si>
    <t>standaard instellingen</t>
  </si>
  <si>
    <t>verw</t>
  </si>
  <si>
    <t>Leeftijd</t>
  </si>
  <si>
    <t>stand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</si>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</sst>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u/>
      <sz val="10"/>
      <color theme="0" tint="-0.499984740745262"/>
      <name val="Arial"/>
      <family val="2"/>
    </font>
    <font>
      <b/>
      <u/>
      <sz val="10"/>
      <color theme="0" tint="-0.499984740745262"/>
      <name val="Arial"/>
      <family val="2"/>
    </font>
    <font>
      <u val="double"/>
      <sz val="10"/>
      <color theme="0" tint="-0.49998474074526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rgb="FF5F5F5F"/>
      <name val="Arial"/>
      <family val="2"/>
    </font>
    <font>
      <sz val="10"/>
      <color rgb="FF5F5F5F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69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4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7" xfId="0" applyFont="1" applyFill="1" applyBorder="1" applyAlignment="1">
      <alignment wrapText="1"/>
    </xf>
    <xf numFmtId="0" fontId="19" fillId="25" borderId="32" xfId="0" applyFont="1" applyFill="1" applyBorder="1"/>
    <xf numFmtId="0" fontId="19" fillId="25" borderId="33" xfId="0" applyFont="1" applyFill="1" applyBorder="1"/>
    <xf numFmtId="0" fontId="19" fillId="25" borderId="34" xfId="0" applyFont="1" applyFill="1" applyBorder="1"/>
    <xf numFmtId="0" fontId="24" fillId="25" borderId="7" xfId="0" quotePrefix="1" applyNumberFormat="1" applyFont="1" applyFill="1" applyBorder="1"/>
    <xf numFmtId="0" fontId="24" fillId="25" borderId="35" xfId="0" quotePrefix="1" applyNumberFormat="1" applyFont="1" applyFill="1" applyBorder="1"/>
    <xf numFmtId="0" fontId="0" fillId="25" borderId="7" xfId="0" applyFill="1" applyBorder="1"/>
    <xf numFmtId="0" fontId="21" fillId="25" borderId="7" xfId="0" applyFont="1" applyFill="1" applyBorder="1"/>
    <xf numFmtId="16" fontId="21" fillId="25" borderId="7" xfId="0" applyNumberFormat="1" applyFont="1" applyFill="1" applyBorder="1" applyAlignment="1">
      <alignment horizontal="center" vertical="center" wrapText="1"/>
    </xf>
    <xf numFmtId="0" fontId="11" fillId="0" borderId="0" xfId="0" applyFont="1" applyFill="1" applyProtection="1"/>
    <xf numFmtId="0" fontId="22" fillId="25" borderId="0" xfId="0" applyFont="1" applyFill="1" applyProtection="1"/>
    <xf numFmtId="0" fontId="22" fillId="25" borderId="0" xfId="0" applyFont="1" applyFill="1"/>
    <xf numFmtId="0" fontId="22" fillId="25" borderId="0" xfId="0" applyFont="1" applyFill="1" applyBorder="1" applyAlignment="1">
      <alignment horizontal="left"/>
    </xf>
    <xf numFmtId="15" fontId="13" fillId="25" borderId="0" xfId="0" applyNumberFormat="1" applyFont="1" applyFill="1" applyBorder="1" applyAlignment="1">
      <alignment horizontal="left"/>
    </xf>
    <xf numFmtId="0" fontId="22" fillId="25" borderId="0" xfId="0" applyFont="1" applyFill="1" applyBorder="1" applyAlignment="1"/>
    <xf numFmtId="15" fontId="13" fillId="25" borderId="0" xfId="0" applyNumberFormat="1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 applyProtection="1">
      <alignment horizontal="left"/>
      <protection locked="0"/>
    </xf>
    <xf numFmtId="0" fontId="13" fillId="25" borderId="0" xfId="0" applyFont="1" applyFill="1" applyBorder="1" applyAlignment="1">
      <alignment horizontal="left"/>
    </xf>
    <xf numFmtId="0" fontId="22" fillId="25" borderId="0" xfId="0" applyFont="1" applyFill="1" applyBorder="1" applyProtection="1"/>
    <xf numFmtId="1" fontId="13" fillId="25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18" fillId="24" borderId="0" xfId="0" applyFont="1" applyFill="1" applyBorder="1" applyProtection="1"/>
    <xf numFmtId="0" fontId="22" fillId="25" borderId="0" xfId="0" applyFont="1" applyFill="1" applyBorder="1"/>
    <xf numFmtId="0" fontId="32" fillId="0" borderId="0" xfId="0" applyFont="1" applyFill="1" applyBorder="1" applyProtection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31" fillId="25" borderId="0" xfId="0" applyFont="1" applyFill="1" applyBorder="1" applyProtection="1"/>
    <xf numFmtId="0" fontId="18" fillId="24" borderId="36" xfId="0" applyFont="1" applyFill="1" applyBorder="1" applyProtection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8" fillId="24" borderId="37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22" fillId="24" borderId="37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2" fillId="25" borderId="0" xfId="0" applyFont="1" applyFill="1" applyBorder="1" applyAlignment="1">
      <alignment horizontal="right"/>
    </xf>
    <xf numFmtId="0" fontId="22" fillId="25" borderId="38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39" xfId="0" applyFont="1" applyFill="1" applyBorder="1"/>
    <xf numFmtId="0" fontId="22" fillId="0" borderId="40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39" xfId="0" applyFont="1" applyFill="1" applyBorder="1" applyAlignment="1">
      <alignment horizontal="center"/>
    </xf>
    <xf numFmtId="0" fontId="22" fillId="0" borderId="39" xfId="0" applyFont="1" applyFill="1" applyBorder="1" applyAlignment="1">
      <alignment horizontal="left"/>
    </xf>
    <xf numFmtId="0" fontId="13" fillId="0" borderId="39" xfId="0" applyFont="1" applyFill="1" applyBorder="1"/>
    <xf numFmtId="0" fontId="13" fillId="0" borderId="41" xfId="0" applyFont="1" applyFill="1" applyBorder="1"/>
    <xf numFmtId="0" fontId="22" fillId="0" borderId="41" xfId="0" applyFont="1" applyFill="1" applyBorder="1"/>
    <xf numFmtId="0" fontId="13" fillId="0" borderId="42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2" xfId="0" applyFont="1" applyFill="1" applyBorder="1" applyProtection="1">
      <protection locked="0" hidden="1"/>
    </xf>
    <xf numFmtId="0" fontId="22" fillId="0" borderId="43" xfId="0" applyFont="1" applyFill="1" applyBorder="1"/>
    <xf numFmtId="0" fontId="22" fillId="0" borderId="42" xfId="0" applyFont="1" applyFill="1" applyBorder="1"/>
    <xf numFmtId="0" fontId="22" fillId="0" borderId="44" xfId="0" applyFont="1" applyFill="1" applyBorder="1"/>
    <xf numFmtId="0" fontId="18" fillId="0" borderId="0" xfId="0" applyFont="1" applyFill="1" applyBorder="1"/>
    <xf numFmtId="0" fontId="22" fillId="25" borderId="39" xfId="0" applyFont="1" applyFill="1" applyBorder="1"/>
    <xf numFmtId="0" fontId="22" fillId="25" borderId="41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Alignment="1" applyProtection="1">
      <alignment horizontal="right"/>
      <protection locked="0" hidden="1"/>
    </xf>
    <xf numFmtId="0" fontId="22" fillId="25" borderId="0" xfId="0" applyFont="1" applyFill="1" applyProtection="1">
      <protection locked="0" hidden="1"/>
    </xf>
    <xf numFmtId="0" fontId="22" fillId="25" borderId="0" xfId="0" applyFont="1" applyFill="1" applyAlignment="1">
      <alignment horizontal="right"/>
    </xf>
    <xf numFmtId="0" fontId="16" fillId="26" borderId="0" xfId="0" applyFont="1" applyFill="1" applyBorder="1"/>
    <xf numFmtId="0" fontId="18" fillId="26" borderId="0" xfId="0" applyFont="1" applyFill="1" applyBorder="1"/>
    <xf numFmtId="0" fontId="22" fillId="25" borderId="38" xfId="0" applyFont="1" applyFill="1" applyBorder="1"/>
    <xf numFmtId="0" fontId="22" fillId="0" borderId="38" xfId="0" applyFont="1" applyFill="1" applyBorder="1" applyAlignment="1">
      <alignment horizontal="left"/>
    </xf>
    <xf numFmtId="0" fontId="22" fillId="0" borderId="38" xfId="0" applyFont="1" applyFill="1" applyBorder="1"/>
    <xf numFmtId="0" fontId="22" fillId="0" borderId="38" xfId="0" applyFont="1" applyFill="1" applyBorder="1" applyProtection="1">
      <protection locked="0" hidden="1"/>
    </xf>
    <xf numFmtId="0" fontId="13" fillId="25" borderId="0" xfId="0" applyFont="1" applyFill="1" applyBorder="1"/>
    <xf numFmtId="0" fontId="22" fillId="26" borderId="0" xfId="0" applyFont="1" applyFill="1" applyBorder="1"/>
    <xf numFmtId="0" fontId="22" fillId="26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4" borderId="36" xfId="0" applyFont="1" applyFill="1" applyBorder="1" applyAlignment="1" applyProtection="1">
      <alignment horizontal="right"/>
    </xf>
    <xf numFmtId="0" fontId="53" fillId="0" borderId="36" xfId="0" applyFont="1" applyFill="1" applyBorder="1" applyProtection="1"/>
    <xf numFmtId="0" fontId="53" fillId="0" borderId="0" xfId="0" applyFont="1" applyFill="1" applyBorder="1" applyProtection="1"/>
    <xf numFmtId="0" fontId="53" fillId="0" borderId="37" xfId="0" applyFont="1" applyFill="1" applyBorder="1" applyProtection="1"/>
    <xf numFmtId="0" fontId="53" fillId="0" borderId="0" xfId="0" applyFont="1" applyBorder="1" applyAlignment="1"/>
    <xf numFmtId="0" fontId="53" fillId="0" borderId="37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0" fillId="0" borderId="0" xfId="0" applyFont="1"/>
    <xf numFmtId="0" fontId="17" fillId="0" borderId="0" xfId="0" applyFont="1" applyFill="1" applyProtection="1"/>
    <xf numFmtId="0" fontId="22" fillId="27" borderId="0" xfId="0" applyFont="1" applyFill="1" applyProtection="1"/>
    <xf numFmtId="0" fontId="11" fillId="27" borderId="0" xfId="0" applyFont="1" applyFill="1" applyProtection="1"/>
    <xf numFmtId="0" fontId="22" fillId="27" borderId="0" xfId="0" applyFont="1" applyFill="1" applyBorder="1" applyAlignment="1">
      <alignment horizontal="left"/>
    </xf>
    <xf numFmtId="15" fontId="13" fillId="27" borderId="0" xfId="0" applyNumberFormat="1" applyFont="1" applyFill="1" applyBorder="1" applyAlignment="1">
      <alignment horizontal="left"/>
    </xf>
    <xf numFmtId="0" fontId="22" fillId="27" borderId="0" xfId="0" applyFont="1" applyFill="1" applyBorder="1" applyAlignment="1"/>
    <xf numFmtId="15" fontId="13" fillId="27" borderId="0" xfId="0" applyNumberFormat="1" applyFont="1" applyFill="1" applyBorder="1" applyAlignment="1" applyProtection="1">
      <alignment horizontal="left"/>
      <protection locked="0"/>
    </xf>
    <xf numFmtId="0" fontId="22" fillId="27" borderId="0" xfId="0" applyFont="1" applyFill="1"/>
    <xf numFmtId="0" fontId="13" fillId="27" borderId="0" xfId="0" applyFont="1" applyFill="1" applyBorder="1" applyAlignment="1" applyProtection="1">
      <alignment horizontal="left"/>
      <protection locked="0"/>
    </xf>
    <xf numFmtId="0" fontId="13" fillId="27" borderId="0" xfId="0" applyFont="1" applyFill="1" applyBorder="1" applyAlignment="1">
      <alignment horizontal="left"/>
    </xf>
    <xf numFmtId="0" fontId="22" fillId="27" borderId="0" xfId="0" applyFont="1" applyFill="1" applyBorder="1" applyProtection="1"/>
    <xf numFmtId="1" fontId="13" fillId="27" borderId="0" xfId="0" applyNumberFormat="1" applyFont="1" applyFill="1" applyBorder="1" applyAlignment="1">
      <alignment horizontal="left"/>
    </xf>
    <xf numFmtId="0" fontId="17" fillId="27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7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0" xfId="42" applyBorder="1"/>
    <xf numFmtId="0" fontId="10" fillId="0" borderId="51" xfId="42" applyBorder="1"/>
    <xf numFmtId="0" fontId="10" fillId="0" borderId="0" xfId="42" applyAlignment="1">
      <alignment horizontal="left"/>
    </xf>
    <xf numFmtId="0" fontId="10" fillId="0" borderId="52" xfId="42" applyFont="1" applyBorder="1"/>
    <xf numFmtId="0" fontId="13" fillId="0" borderId="52" xfId="42" applyFont="1" applyBorder="1"/>
    <xf numFmtId="0" fontId="10" fillId="0" borderId="53" xfId="42" applyFont="1" applyBorder="1"/>
    <xf numFmtId="0" fontId="10" fillId="0" borderId="52" xfId="42" applyFont="1" applyBorder="1" applyAlignment="1">
      <alignment horizontal="center"/>
    </xf>
    <xf numFmtId="0" fontId="10" fillId="0" borderId="53" xfId="42" applyBorder="1"/>
    <xf numFmtId="0" fontId="10" fillId="0" borderId="54" xfId="42" applyFont="1" applyBorder="1"/>
    <xf numFmtId="0" fontId="13" fillId="0" borderId="54" xfId="42" applyFont="1" applyBorder="1"/>
    <xf numFmtId="0" fontId="13" fillId="0" borderId="54" xfId="42" applyFont="1" applyBorder="1" applyAlignment="1">
      <alignment horizontal="right"/>
    </xf>
    <xf numFmtId="0" fontId="10" fillId="0" borderId="54" xfId="42" applyFont="1" applyBorder="1" applyAlignment="1">
      <alignment horizontal="center"/>
    </xf>
    <xf numFmtId="0" fontId="10" fillId="0" borderId="54" xfId="42" applyFont="1" applyBorder="1" applyAlignment="1">
      <alignment horizontal="right"/>
    </xf>
    <xf numFmtId="0" fontId="35" fillId="0" borderId="54" xfId="42" applyFont="1" applyBorder="1" applyAlignment="1">
      <alignment horizontal="left"/>
    </xf>
    <xf numFmtId="0" fontId="10" fillId="0" borderId="55" xfId="42" applyFont="1" applyBorder="1"/>
    <xf numFmtId="0" fontId="10" fillId="0" borderId="55" xfId="42" applyBorder="1"/>
    <xf numFmtId="0" fontId="10" fillId="0" borderId="56" xfId="42" applyBorder="1"/>
    <xf numFmtId="0" fontId="10" fillId="0" borderId="57" xfId="42" applyBorder="1"/>
    <xf numFmtId="0" fontId="10" fillId="0" borderId="34" xfId="42" applyBorder="1"/>
    <xf numFmtId="0" fontId="10" fillId="0" borderId="32" xfId="42" applyBorder="1"/>
    <xf numFmtId="0" fontId="10" fillId="0" borderId="58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9" xfId="42" applyBorder="1"/>
    <xf numFmtId="0" fontId="10" fillId="0" borderId="60" xfId="42" applyBorder="1"/>
    <xf numFmtId="0" fontId="10" fillId="0" borderId="61" xfId="42" applyBorder="1"/>
    <xf numFmtId="0" fontId="10" fillId="0" borderId="62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7" xfId="42" applyFill="1" applyBorder="1"/>
    <xf numFmtId="0" fontId="13" fillId="0" borderId="57" xfId="42" applyFont="1" applyFill="1" applyBorder="1"/>
    <xf numFmtId="0" fontId="10" fillId="0" borderId="0" xfId="42" applyFill="1" applyBorder="1"/>
    <xf numFmtId="0" fontId="10" fillId="0" borderId="65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6" xfId="42" applyFont="1" applyFill="1" applyBorder="1"/>
    <xf numFmtId="0" fontId="10" fillId="0" borderId="63" xfId="42" applyFill="1" applyBorder="1"/>
    <xf numFmtId="0" fontId="10" fillId="0" borderId="46" xfId="42" applyFill="1" applyBorder="1"/>
    <xf numFmtId="0" fontId="10" fillId="0" borderId="64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6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57" xfId="42" applyNumberFormat="1" applyFont="1" applyFill="1" applyBorder="1" applyAlignment="1">
      <alignment horizontal="right"/>
    </xf>
    <xf numFmtId="170" fontId="60" fillId="0" borderId="57" xfId="42" applyNumberFormat="1" applyFont="1" applyFill="1" applyBorder="1" applyAlignment="1">
      <alignment horizontal="right"/>
    </xf>
    <xf numFmtId="0" fontId="10" fillId="0" borderId="56" xfId="42" applyFill="1" applyBorder="1"/>
    <xf numFmtId="0" fontId="10" fillId="0" borderId="57" xfId="42" applyFill="1" applyBorder="1" applyAlignment="1">
      <alignment horizontal="right"/>
    </xf>
    <xf numFmtId="1" fontId="59" fillId="0" borderId="67" xfId="42" applyNumberFormat="1" applyFont="1" applyFill="1" applyBorder="1" applyAlignment="1">
      <alignment horizontal="right"/>
    </xf>
    <xf numFmtId="170" fontId="59" fillId="0" borderId="67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68" xfId="42" applyNumberFormat="1" applyFont="1" applyFill="1" applyBorder="1" applyAlignment="1">
      <alignment horizontal="right"/>
    </xf>
    <xf numFmtId="170" fontId="59" fillId="0" borderId="68" xfId="42" applyNumberFormat="1" applyFont="1" applyFill="1" applyBorder="1" applyAlignment="1">
      <alignment horizontal="right"/>
    </xf>
    <xf numFmtId="0" fontId="10" fillId="0" borderId="46" xfId="42" applyFill="1" applyBorder="1" applyAlignment="1">
      <alignment horizontal="right"/>
    </xf>
    <xf numFmtId="0" fontId="13" fillId="0" borderId="46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5" borderId="7" xfId="42" applyFont="1" applyFill="1" applyBorder="1"/>
    <xf numFmtId="0" fontId="10" fillId="25" borderId="56" xfId="42" applyFill="1" applyBorder="1"/>
    <xf numFmtId="0" fontId="10" fillId="25" borderId="57" xfId="42" applyFill="1" applyBorder="1"/>
    <xf numFmtId="0" fontId="13" fillId="25" borderId="57" xfId="42" applyFont="1" applyFill="1" applyBorder="1"/>
    <xf numFmtId="0" fontId="10" fillId="25" borderId="57" xfId="42" applyFill="1" applyBorder="1" applyAlignment="1">
      <alignment horizontal="right"/>
    </xf>
    <xf numFmtId="1" fontId="63" fillId="25" borderId="67" xfId="42" applyNumberFormat="1" applyFont="1" applyFill="1" applyBorder="1" applyAlignment="1">
      <alignment horizontal="right"/>
    </xf>
    <xf numFmtId="170" fontId="63" fillId="25" borderId="67" xfId="42" applyNumberFormat="1" applyFont="1" applyFill="1" applyBorder="1" applyAlignment="1">
      <alignment horizontal="right"/>
    </xf>
    <xf numFmtId="0" fontId="10" fillId="25" borderId="66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3" fillId="25" borderId="0" xfId="42" applyFont="1" applyFill="1" applyBorder="1"/>
    <xf numFmtId="1" fontId="63" fillId="25" borderId="68" xfId="42" applyNumberFormat="1" applyFont="1" applyFill="1" applyBorder="1" applyAlignment="1">
      <alignment horizontal="right"/>
    </xf>
    <xf numFmtId="170" fontId="63" fillId="25" borderId="68" xfId="42" applyNumberFormat="1" applyFont="1" applyFill="1" applyBorder="1" applyAlignment="1">
      <alignment horizontal="right"/>
    </xf>
    <xf numFmtId="0" fontId="31" fillId="25" borderId="63" xfId="42" applyFont="1" applyFill="1" applyBorder="1"/>
    <xf numFmtId="0" fontId="31" fillId="25" borderId="46" xfId="42" applyFont="1" applyFill="1" applyBorder="1"/>
    <xf numFmtId="0" fontId="64" fillId="25" borderId="46" xfId="42" applyFont="1" applyFill="1" applyBorder="1"/>
    <xf numFmtId="0" fontId="10" fillId="25" borderId="46" xfId="42" applyFill="1" applyBorder="1"/>
    <xf numFmtId="0" fontId="10" fillId="25" borderId="46" xfId="42" applyFont="1" applyFill="1" applyBorder="1"/>
    <xf numFmtId="1" fontId="63" fillId="25" borderId="7" xfId="42" applyNumberFormat="1" applyFont="1" applyFill="1" applyBorder="1" applyAlignment="1">
      <alignment horizontal="right"/>
    </xf>
    <xf numFmtId="170" fontId="63" fillId="25" borderId="7" xfId="42" applyNumberFormat="1" applyFont="1" applyFill="1" applyBorder="1" applyAlignment="1">
      <alignment horizontal="right"/>
    </xf>
    <xf numFmtId="0" fontId="64" fillId="0" borderId="57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57" xfId="42" applyFont="1" applyBorder="1"/>
    <xf numFmtId="0" fontId="10" fillId="0" borderId="57" xfId="42" applyBorder="1" applyAlignment="1">
      <alignment horizontal="right"/>
    </xf>
    <xf numFmtId="1" fontId="63" fillId="0" borderId="68" xfId="42" applyNumberFormat="1" applyFont="1" applyBorder="1" applyAlignment="1">
      <alignment horizontal="right"/>
    </xf>
    <xf numFmtId="170" fontId="63" fillId="0" borderId="68" xfId="42" applyNumberFormat="1" applyFont="1" applyBorder="1" applyAlignment="1">
      <alignment horizontal="right"/>
    </xf>
    <xf numFmtId="0" fontId="10" fillId="0" borderId="66" xfId="42" applyBorder="1"/>
    <xf numFmtId="0" fontId="10" fillId="0" borderId="0" xfId="42" applyBorder="1" applyAlignment="1">
      <alignment horizontal="right"/>
    </xf>
    <xf numFmtId="0" fontId="31" fillId="0" borderId="63" xfId="42" applyFont="1" applyBorder="1"/>
    <xf numFmtId="0" fontId="31" fillId="0" borderId="46" xfId="42" applyFont="1" applyBorder="1"/>
    <xf numFmtId="0" fontId="64" fillId="0" borderId="46" xfId="42" applyFont="1" applyBorder="1"/>
    <xf numFmtId="0" fontId="31" fillId="0" borderId="46" xfId="42" applyFont="1" applyBorder="1" applyAlignment="1">
      <alignment horizontal="right"/>
    </xf>
    <xf numFmtId="0" fontId="10" fillId="0" borderId="46" xfId="42" applyBorder="1"/>
    <xf numFmtId="0" fontId="10" fillId="0" borderId="46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57" xfId="42" applyFont="1" applyBorder="1"/>
    <xf numFmtId="1" fontId="63" fillId="0" borderId="57" xfId="42" applyNumberFormat="1" applyFont="1" applyBorder="1" applyAlignment="1">
      <alignment horizontal="right"/>
    </xf>
    <xf numFmtId="170" fontId="63" fillId="0" borderId="57" xfId="42" applyNumberFormat="1" applyFont="1" applyBorder="1" applyAlignment="1">
      <alignment horizontal="right"/>
    </xf>
    <xf numFmtId="0" fontId="10" fillId="25" borderId="46" xfId="42" applyFill="1" applyBorder="1" applyAlignment="1">
      <alignment horizontal="right"/>
    </xf>
    <xf numFmtId="0" fontId="10" fillId="0" borderId="46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0" borderId="71" xfId="42" applyFill="1" applyBorder="1"/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10" fillId="25" borderId="0" xfId="0" applyFont="1" applyFill="1" applyAlignment="1">
      <alignment horizontal="right"/>
    </xf>
    <xf numFmtId="0" fontId="13" fillId="25" borderId="0" xfId="0" applyFont="1" applyFill="1"/>
    <xf numFmtId="171" fontId="10" fillId="0" borderId="0" xfId="42" applyNumberFormat="1"/>
    <xf numFmtId="0" fontId="10" fillId="27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6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5" borderId="0" xfId="42" applyFont="1" applyFill="1" applyBorder="1"/>
    <xf numFmtId="0" fontId="73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78" xfId="0" applyFont="1" applyBorder="1"/>
    <xf numFmtId="0" fontId="10" fillId="0" borderId="78" xfId="0" applyFont="1" applyBorder="1"/>
    <xf numFmtId="0" fontId="0" fillId="0" borderId="78" xfId="0" applyBorder="1"/>
    <xf numFmtId="0" fontId="13" fillId="0" borderId="0" xfId="43" applyFont="1"/>
    <xf numFmtId="0" fontId="10" fillId="0" borderId="0" xfId="43"/>
    <xf numFmtId="0" fontId="10" fillId="0" borderId="76" xfId="43" applyBorder="1"/>
    <xf numFmtId="0" fontId="13" fillId="0" borderId="78" xfId="43" applyFont="1" applyBorder="1"/>
    <xf numFmtId="0" fontId="10" fillId="0" borderId="0" xfId="43" applyFont="1"/>
    <xf numFmtId="0" fontId="10" fillId="0" borderId="78" xfId="43" applyFont="1" applyBorder="1"/>
    <xf numFmtId="0" fontId="10" fillId="0" borderId="0" xfId="43" applyFont="1" applyBorder="1"/>
    <xf numFmtId="0" fontId="10" fillId="0" borderId="78" xfId="43" applyBorder="1"/>
    <xf numFmtId="0" fontId="10" fillId="25" borderId="0" xfId="43" applyFont="1" applyFill="1"/>
    <xf numFmtId="0" fontId="10" fillId="25" borderId="0" xfId="43" applyFont="1" applyFill="1" applyBorder="1" applyAlignment="1">
      <alignment horizontal="left"/>
    </xf>
    <xf numFmtId="15" fontId="13" fillId="25" borderId="0" xfId="43" applyNumberFormat="1" applyFont="1" applyFill="1" applyBorder="1" applyAlignment="1">
      <alignment horizontal="left"/>
    </xf>
    <xf numFmtId="15" fontId="13" fillId="25" borderId="0" xfId="43" applyNumberFormat="1" applyFont="1" applyFill="1" applyBorder="1" applyAlignment="1" applyProtection="1">
      <alignment horizontal="left"/>
      <protection locked="0"/>
    </xf>
    <xf numFmtId="0" fontId="13" fillId="25" borderId="0" xfId="43" applyFont="1" applyFill="1" applyBorder="1" applyAlignment="1">
      <alignment horizontal="left"/>
    </xf>
    <xf numFmtId="0" fontId="13" fillId="25" borderId="0" xfId="43" applyFont="1" applyFill="1" applyBorder="1" applyAlignment="1" applyProtection="1">
      <alignment horizontal="left"/>
      <protection locked="0"/>
    </xf>
    <xf numFmtId="0" fontId="10" fillId="25" borderId="0" xfId="43" applyFont="1" applyFill="1" applyBorder="1"/>
    <xf numFmtId="1" fontId="13" fillId="25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6" xfId="0" applyBorder="1" applyProtection="1">
      <protection locked="0"/>
    </xf>
    <xf numFmtId="0" fontId="10" fillId="0" borderId="0" xfId="43" applyProtection="1">
      <protection locked="0"/>
    </xf>
    <xf numFmtId="0" fontId="10" fillId="0" borderId="76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5" borderId="0" xfId="43" applyFont="1" applyFill="1" applyProtection="1">
      <protection locked="0"/>
    </xf>
    <xf numFmtId="0" fontId="22" fillId="27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2" fillId="25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5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0" borderId="0" xfId="43" applyFont="1" applyFill="1" applyAlignment="1">
      <alignment vertical="top" wrapText="1"/>
    </xf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8" xfId="42" applyBorder="1"/>
    <xf numFmtId="0" fontId="10" fillId="0" borderId="76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28" borderId="79" xfId="0" applyFont="1" applyFill="1" applyBorder="1"/>
    <xf numFmtId="0" fontId="80" fillId="28" borderId="80" xfId="0" applyFont="1" applyFill="1" applyBorder="1"/>
    <xf numFmtId="0" fontId="80" fillId="28" borderId="81" xfId="0" applyFont="1" applyFill="1" applyBorder="1"/>
    <xf numFmtId="0" fontId="80" fillId="28" borderId="82" xfId="42" applyFont="1" applyFill="1" applyBorder="1"/>
    <xf numFmtId="0" fontId="80" fillId="28" borderId="0" xfId="42" applyFont="1" applyFill="1" applyBorder="1" applyAlignment="1">
      <alignment horizontal="left"/>
    </xf>
    <xf numFmtId="0" fontId="80" fillId="28" borderId="0" xfId="42" applyFont="1" applyFill="1" applyBorder="1"/>
    <xf numFmtId="0" fontId="80" fillId="28" borderId="83" xfId="42" applyFont="1" applyFill="1" applyBorder="1"/>
    <xf numFmtId="0" fontId="80" fillId="28" borderId="82" xfId="42" applyFont="1" applyFill="1" applyBorder="1" applyAlignment="1">
      <alignment horizontal="center"/>
    </xf>
    <xf numFmtId="0" fontId="80" fillId="28" borderId="0" xfId="42" applyFont="1" applyFill="1" applyBorder="1" applyAlignment="1">
      <alignment horizontal="center"/>
    </xf>
    <xf numFmtId="0" fontId="80" fillId="28" borderId="83" xfId="42" applyFont="1" applyFill="1" applyBorder="1" applyAlignment="1">
      <alignment horizontal="center"/>
    </xf>
    <xf numFmtId="0" fontId="80" fillId="28" borderId="84" xfId="42" applyFont="1" applyFill="1" applyBorder="1" applyAlignment="1">
      <alignment horizontal="center"/>
    </xf>
    <xf numFmtId="0" fontId="80" fillId="28" borderId="13" xfId="42" applyFont="1" applyFill="1" applyBorder="1" applyAlignment="1">
      <alignment horizontal="center"/>
    </xf>
    <xf numFmtId="0" fontId="83" fillId="28" borderId="13" xfId="42" applyFont="1" applyFill="1" applyBorder="1"/>
    <xf numFmtId="0" fontId="80" fillId="28" borderId="13" xfId="42" applyFont="1" applyFill="1" applyBorder="1"/>
    <xf numFmtId="0" fontId="80" fillId="28" borderId="85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5" xfId="0" applyFont="1" applyFill="1" applyBorder="1"/>
    <xf numFmtId="0" fontId="21" fillId="0" borderId="45" xfId="0" applyFont="1" applyFill="1" applyBorder="1" applyAlignment="1">
      <alignment horizontal="center"/>
    </xf>
    <xf numFmtId="0" fontId="79" fillId="31" borderId="0" xfId="131" applyFont="1" applyFill="1"/>
    <xf numFmtId="0" fontId="13" fillId="32" borderId="0" xfId="42" applyFont="1" applyFill="1"/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6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3" borderId="0" xfId="42" applyFont="1" applyFill="1"/>
    <xf numFmtId="0" fontId="10" fillId="33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4" borderId="0" xfId="0" applyFill="1"/>
    <xf numFmtId="0" fontId="13" fillId="0" borderId="86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3" fillId="0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53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3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87" xfId="42" applyFont="1" applyFill="1" applyBorder="1" applyProtection="1"/>
    <xf numFmtId="0" fontId="10" fillId="25" borderId="0" xfId="42" applyFont="1" applyFill="1" applyBorder="1" applyProtection="1"/>
    <xf numFmtId="0" fontId="18" fillId="24" borderId="0" xfId="42" applyFont="1" applyFill="1" applyBorder="1" applyProtection="1"/>
    <xf numFmtId="0" fontId="10" fillId="25" borderId="0" xfId="42" applyFont="1" applyFill="1" applyBorder="1"/>
    <xf numFmtId="0" fontId="18" fillId="24" borderId="36" xfId="42" applyFont="1" applyFill="1" applyBorder="1" applyProtection="1"/>
    <xf numFmtId="0" fontId="10" fillId="0" borderId="36" xfId="42" applyFont="1" applyFill="1" applyBorder="1" applyProtection="1"/>
    <xf numFmtId="0" fontId="18" fillId="24" borderId="37" xfId="42" applyFont="1" applyFill="1" applyBorder="1" applyProtection="1"/>
    <xf numFmtId="0" fontId="13" fillId="0" borderId="37" xfId="42" applyFont="1" applyFill="1" applyBorder="1" applyProtection="1"/>
    <xf numFmtId="0" fontId="10" fillId="0" borderId="37" xfId="42" applyFont="1" applyFill="1" applyBorder="1" applyProtection="1"/>
    <xf numFmtId="0" fontId="14" fillId="0" borderId="0" xfId="42" applyFont="1" applyFill="1" applyProtection="1"/>
    <xf numFmtId="0" fontId="53" fillId="0" borderId="36" xfId="42" applyFont="1" applyFill="1" applyBorder="1" applyProtection="1"/>
    <xf numFmtId="0" fontId="53" fillId="0" borderId="0" xfId="42" applyFont="1" applyFill="1" applyBorder="1" applyProtection="1"/>
    <xf numFmtId="0" fontId="53" fillId="0" borderId="37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6" xfId="42" applyFont="1" applyFill="1" applyBorder="1" applyProtection="1"/>
    <xf numFmtId="0" fontId="10" fillId="35" borderId="0" xfId="42" applyFill="1" applyProtection="1">
      <protection locked="0"/>
    </xf>
    <xf numFmtId="0" fontId="10" fillId="35" borderId="0" xfId="42" applyFill="1"/>
    <xf numFmtId="0" fontId="10" fillId="36" borderId="0" xfId="42" applyFill="1" applyProtection="1">
      <protection locked="0"/>
    </xf>
    <xf numFmtId="0" fontId="10" fillId="0" borderId="0" xfId="42" applyAlignment="1">
      <alignment horizontal="left"/>
    </xf>
    <xf numFmtId="0" fontId="88" fillId="0" borderId="87" xfId="0" applyFont="1" applyFill="1" applyBorder="1"/>
    <xf numFmtId="0" fontId="22" fillId="0" borderId="0" xfId="0" applyFont="1" applyFill="1" applyAlignment="1"/>
    <xf numFmtId="0" fontId="16" fillId="29" borderId="0" xfId="0" applyFont="1" applyFill="1" applyBorder="1" applyProtection="1"/>
    <xf numFmtId="0" fontId="22" fillId="35" borderId="0" xfId="0" applyFont="1" applyFill="1"/>
    <xf numFmtId="0" fontId="22" fillId="35" borderId="0" xfId="0" applyFont="1" applyFill="1" applyBorder="1"/>
    <xf numFmtId="0" fontId="22" fillId="35" borderId="0" xfId="0" applyFont="1" applyFill="1" applyAlignment="1">
      <alignment horizontal="right"/>
    </xf>
    <xf numFmtId="0" fontId="22" fillId="35" borderId="39" xfId="0" applyFont="1" applyFill="1" applyBorder="1"/>
    <xf numFmtId="0" fontId="22" fillId="37" borderId="0" xfId="0" applyFont="1" applyFill="1" applyProtection="1">
      <protection locked="0"/>
    </xf>
    <xf numFmtId="0" fontId="22" fillId="37" borderId="0" xfId="0" applyFont="1" applyFill="1"/>
    <xf numFmtId="0" fontId="22" fillId="37" borderId="0" xfId="0" applyFont="1" applyFill="1" applyBorder="1" applyAlignment="1">
      <alignment horizontal="left"/>
    </xf>
    <xf numFmtId="15" fontId="13" fillId="37" borderId="0" xfId="0" applyNumberFormat="1" applyFont="1" applyFill="1" applyBorder="1" applyAlignment="1">
      <alignment horizontal="left"/>
    </xf>
    <xf numFmtId="0" fontId="22" fillId="37" borderId="0" xfId="0" applyFont="1" applyFill="1" applyBorder="1" applyAlignment="1"/>
    <xf numFmtId="15" fontId="13" fillId="37" borderId="0" xfId="0" applyNumberFormat="1" applyFont="1" applyFill="1" applyBorder="1" applyAlignment="1" applyProtection="1">
      <alignment horizontal="left"/>
      <protection locked="0"/>
    </xf>
    <xf numFmtId="0" fontId="10" fillId="37" borderId="0" xfId="0" applyFont="1" applyFill="1" applyBorder="1" applyAlignment="1">
      <alignment horizontal="left"/>
    </xf>
    <xf numFmtId="0" fontId="13" fillId="37" borderId="0" xfId="0" applyFont="1" applyFill="1" applyBorder="1" applyAlignment="1">
      <alignment horizontal="left"/>
    </xf>
    <xf numFmtId="0" fontId="13" fillId="37" borderId="0" xfId="0" applyFont="1" applyFill="1" applyBorder="1" applyAlignment="1" applyProtection="1">
      <alignment horizontal="left"/>
      <protection locked="0"/>
    </xf>
    <xf numFmtId="0" fontId="22" fillId="37" borderId="0" xfId="0" applyFont="1" applyFill="1" applyBorder="1"/>
    <xf numFmtId="1" fontId="13" fillId="37" borderId="0" xfId="0" applyNumberFormat="1" applyFont="1" applyFill="1" applyBorder="1" applyAlignment="1">
      <alignment horizontal="left"/>
    </xf>
    <xf numFmtId="0" fontId="18" fillId="32" borderId="0" xfId="0" applyFont="1" applyFill="1"/>
    <xf numFmtId="0" fontId="22" fillId="32" borderId="0" xfId="0" applyFont="1" applyFill="1"/>
    <xf numFmtId="0" fontId="22" fillId="32" borderId="0" xfId="0" applyFont="1" applyFill="1" applyBorder="1"/>
    <xf numFmtId="0" fontId="22" fillId="37" borderId="0" xfId="0" applyFont="1" applyFill="1" applyProtection="1"/>
    <xf numFmtId="0" fontId="11" fillId="37" borderId="0" xfId="0" applyFont="1" applyFill="1" applyProtection="1"/>
    <xf numFmtId="0" fontId="10" fillId="37" borderId="0" xfId="0" applyFont="1" applyFill="1" applyProtection="1"/>
    <xf numFmtId="0" fontId="22" fillId="37" borderId="0" xfId="0" applyFont="1" applyFill="1" applyBorder="1" applyProtection="1"/>
    <xf numFmtId="49" fontId="13" fillId="37" borderId="0" xfId="0" applyNumberFormat="1" applyFont="1" applyFill="1" applyBorder="1" applyAlignment="1">
      <alignment horizontal="left"/>
    </xf>
    <xf numFmtId="0" fontId="17" fillId="37" borderId="0" xfId="0" applyFont="1" applyFill="1" applyProtection="1"/>
    <xf numFmtId="0" fontId="18" fillId="32" borderId="0" xfId="0" applyFont="1" applyFill="1" applyBorder="1" applyProtection="1"/>
    <xf numFmtId="0" fontId="16" fillId="32" borderId="0" xfId="0" applyFont="1" applyFill="1" applyProtection="1"/>
    <xf numFmtId="0" fontId="18" fillId="29" borderId="0" xfId="0" applyFont="1" applyFill="1" applyBorder="1" applyProtection="1"/>
    <xf numFmtId="0" fontId="16" fillId="29" borderId="0" xfId="0" applyFont="1" applyFill="1" applyProtection="1"/>
    <xf numFmtId="0" fontId="22" fillId="32" borderId="0" xfId="0" applyFont="1" applyFill="1" applyBorder="1" applyAlignment="1">
      <alignment horizontal="center"/>
    </xf>
    <xf numFmtId="0" fontId="14" fillId="0" borderId="0" xfId="0" applyFont="1" applyFill="1"/>
    <xf numFmtId="0" fontId="11" fillId="0" borderId="0" xfId="0" applyFont="1" applyFill="1"/>
    <xf numFmtId="0" fontId="14" fillId="0" borderId="0" xfId="0" applyFont="1" applyFill="1" applyBorder="1" applyAlignment="1">
      <alignment horizontal="left"/>
    </xf>
    <xf numFmtId="0" fontId="14" fillId="0" borderId="0" xfId="0" applyFont="1" applyFill="1" applyBorder="1" applyAlignment="1"/>
    <xf numFmtId="0" fontId="20" fillId="0" borderId="0" xfId="0" applyFont="1" applyFill="1" applyBorder="1" applyAlignment="1">
      <alignment horizontal="left"/>
    </xf>
    <xf numFmtId="0" fontId="14" fillId="0" borderId="0" xfId="0" applyFont="1" applyFill="1" applyBorder="1"/>
    <xf numFmtId="0" fontId="14" fillId="0" borderId="0" xfId="0" applyFont="1" applyFill="1" applyAlignment="1">
      <alignment wrapText="1"/>
    </xf>
    <xf numFmtId="0" fontId="11" fillId="0" borderId="0" xfId="0" applyFont="1" applyFill="1" applyAlignment="1">
      <alignment wrapText="1"/>
    </xf>
    <xf numFmtId="0" fontId="14" fillId="37" borderId="0" xfId="0" applyFont="1" applyFill="1" applyProtection="1">
      <protection locked="0"/>
    </xf>
    <xf numFmtId="0" fontId="14" fillId="37" borderId="0" xfId="0" applyFont="1" applyFill="1"/>
    <xf numFmtId="0" fontId="11" fillId="37" borderId="0" xfId="0" applyFont="1" applyFill="1"/>
    <xf numFmtId="0" fontId="14" fillId="37" borderId="0" xfId="0" applyFont="1" applyFill="1" applyBorder="1" applyAlignment="1">
      <alignment horizontal="left"/>
    </xf>
    <xf numFmtId="15" fontId="20" fillId="37" borderId="0" xfId="0" applyNumberFormat="1" applyFont="1" applyFill="1" applyBorder="1" applyAlignment="1">
      <alignment horizontal="left"/>
    </xf>
    <xf numFmtId="0" fontId="14" fillId="37" borderId="0" xfId="0" applyFont="1" applyFill="1" applyBorder="1" applyAlignment="1"/>
    <xf numFmtId="15" fontId="20" fillId="37" borderId="0" xfId="0" applyNumberFormat="1" applyFont="1" applyFill="1" applyBorder="1" applyAlignment="1" applyProtection="1">
      <alignment horizontal="left"/>
      <protection locked="0"/>
    </xf>
    <xf numFmtId="0" fontId="20" fillId="37" borderId="0" xfId="0" applyFont="1" applyFill="1"/>
    <xf numFmtId="0" fontId="0" fillId="37" borderId="0" xfId="0" applyFill="1"/>
    <xf numFmtId="0" fontId="20" fillId="37" borderId="0" xfId="0" applyFont="1" applyFill="1" applyBorder="1" applyAlignment="1" applyProtection="1">
      <alignment horizontal="left"/>
      <protection locked="0"/>
    </xf>
    <xf numFmtId="0" fontId="20" fillId="37" borderId="0" xfId="0" applyFont="1" applyFill="1" applyBorder="1" applyAlignment="1">
      <alignment horizontal="left"/>
    </xf>
    <xf numFmtId="0" fontId="14" fillId="37" borderId="0" xfId="0" applyFont="1" applyFill="1" applyBorder="1"/>
    <xf numFmtId="1" fontId="20" fillId="37" borderId="0" xfId="0" applyNumberFormat="1" applyFont="1" applyFill="1" applyBorder="1" applyAlignment="1">
      <alignment horizontal="left"/>
    </xf>
    <xf numFmtId="0" fontId="90" fillId="35" borderId="0" xfId="0" applyFont="1" applyFill="1" applyBorder="1" applyAlignment="1" applyProtection="1">
      <alignment horizontal="center"/>
      <protection locked="0"/>
    </xf>
    <xf numFmtId="0" fontId="14" fillId="35" borderId="0" xfId="0" applyFont="1" applyFill="1" applyBorder="1" applyAlignment="1">
      <alignment horizontal="left"/>
    </xf>
    <xf numFmtId="14" fontId="30" fillId="35" borderId="0" xfId="0" applyNumberFormat="1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NumberFormat="1" applyFont="1" applyFill="1" applyBorder="1"/>
    <xf numFmtId="0" fontId="20" fillId="35" borderId="0" xfId="0" applyFont="1" applyFill="1" applyBorder="1" applyAlignment="1">
      <alignment horizontal="center"/>
    </xf>
    <xf numFmtId="0" fontId="20" fillId="35" borderId="0" xfId="0" applyFont="1" applyFill="1" applyBorder="1"/>
    <xf numFmtId="0" fontId="14" fillId="35" borderId="0" xfId="0" applyFont="1" applyFill="1" applyBorder="1"/>
    <xf numFmtId="0" fontId="14" fillId="35" borderId="0" xfId="0" applyNumberFormat="1" applyFont="1" applyFill="1" applyBorder="1"/>
    <xf numFmtId="0" fontId="14" fillId="35" borderId="0" xfId="0" applyFont="1" applyFill="1" applyBorder="1" applyAlignment="1"/>
    <xf numFmtId="0" fontId="88" fillId="0" borderId="0" xfId="0" applyFont="1" applyFill="1" applyBorder="1" applyAlignment="1" applyProtection="1">
      <alignment horizontal="center"/>
      <protection locked="0"/>
    </xf>
    <xf numFmtId="14" fontId="3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14" fillId="0" borderId="0" xfId="0" applyNumberFormat="1" applyFont="1" applyFill="1" applyBorder="1"/>
    <xf numFmtId="0" fontId="88" fillId="35" borderId="0" xfId="0" applyFont="1" applyFill="1" applyBorder="1" applyAlignment="1" applyProtection="1">
      <alignment horizontal="center"/>
      <protection locked="0"/>
    </xf>
    <xf numFmtId="14" fontId="14" fillId="0" borderId="0" xfId="0" applyNumberFormat="1" applyFont="1" applyFill="1" applyBorder="1" applyAlignment="1">
      <alignment horizontal="left"/>
    </xf>
    <xf numFmtId="14" fontId="14" fillId="35" borderId="0" xfId="0" applyNumberFormat="1" applyFont="1" applyFill="1" applyBorder="1" applyAlignment="1">
      <alignment horizontal="left"/>
    </xf>
    <xf numFmtId="0" fontId="11" fillId="0" borderId="0" xfId="0" applyFont="1" applyFill="1" applyBorder="1"/>
    <xf numFmtId="0" fontId="22" fillId="35" borderId="0" xfId="0" applyFont="1" applyFill="1" applyBorder="1" applyProtection="1"/>
    <xf numFmtId="0" fontId="56" fillId="35" borderId="0" xfId="0" applyFont="1" applyFill="1" applyBorder="1" applyAlignment="1" applyProtection="1">
      <alignment horizontal="center"/>
    </xf>
    <xf numFmtId="0" fontId="89" fillId="35" borderId="0" xfId="0" applyFont="1" applyFill="1" applyBorder="1" applyAlignment="1" applyProtection="1">
      <alignment horizontal="center"/>
    </xf>
    <xf numFmtId="0" fontId="13" fillId="35" borderId="0" xfId="0" applyFont="1" applyFill="1" applyBorder="1" applyAlignment="1" applyProtection="1">
      <alignment horizontal="left"/>
    </xf>
    <xf numFmtId="0" fontId="13" fillId="35" borderId="0" xfId="0" applyFont="1" applyFill="1" applyBorder="1" applyProtection="1"/>
    <xf numFmtId="0" fontId="32" fillId="35" borderId="0" xfId="0" applyFont="1" applyFill="1" applyBorder="1" applyProtection="1"/>
    <xf numFmtId="0" fontId="89" fillId="0" borderId="0" xfId="0" applyFont="1" applyFill="1" applyBorder="1" applyAlignment="1" applyProtection="1">
      <alignment horizontal="center"/>
    </xf>
    <xf numFmtId="0" fontId="13" fillId="35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32" borderId="0" xfId="0" applyFont="1" applyFill="1" applyBorder="1" applyProtection="1"/>
    <xf numFmtId="0" fontId="10" fillId="35" borderId="0" xfId="0" applyFont="1" applyFill="1" applyBorder="1" applyProtection="1"/>
    <xf numFmtId="0" fontId="91" fillId="35" borderId="0" xfId="0" applyFont="1" applyFill="1" applyBorder="1" applyProtection="1"/>
    <xf numFmtId="0" fontId="66" fillId="37" borderId="0" xfId="42" applyFont="1" applyFill="1"/>
    <xf numFmtId="0" fontId="10" fillId="37" borderId="0" xfId="42" applyFill="1"/>
    <xf numFmtId="0" fontId="18" fillId="37" borderId="0" xfId="42" applyFont="1" applyFill="1"/>
    <xf numFmtId="0" fontId="10" fillId="37" borderId="0" xfId="42" applyFill="1" applyProtection="1"/>
    <xf numFmtId="0" fontId="10" fillId="37" borderId="0" xfId="42" applyFill="1" applyProtection="1">
      <protection locked="0"/>
    </xf>
    <xf numFmtId="15" fontId="10" fillId="37" borderId="0" xfId="42" applyNumberFormat="1" applyFill="1" applyAlignment="1">
      <alignment horizontal="left"/>
    </xf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0" xfId="42" applyFont="1" applyFill="1" applyBorder="1"/>
    <xf numFmtId="0" fontId="10" fillId="37" borderId="0" xfId="42" applyFill="1" applyBorder="1" applyAlignment="1" applyProtection="1">
      <alignment vertical="center"/>
      <protection locked="0"/>
    </xf>
    <xf numFmtId="0" fontId="10" fillId="37" borderId="0" xfId="42" applyFill="1" applyBorder="1" applyProtection="1">
      <protection locked="0"/>
    </xf>
    <xf numFmtId="2" fontId="10" fillId="37" borderId="0" xfId="42" applyNumberFormat="1" applyFill="1"/>
    <xf numFmtId="0" fontId="18" fillId="37" borderId="70" xfId="42" applyFont="1" applyFill="1" applyBorder="1"/>
    <xf numFmtId="0" fontId="10" fillId="37" borderId="70" xfId="42" applyFill="1" applyBorder="1"/>
    <xf numFmtId="0" fontId="10" fillId="38" borderId="0" xfId="42" applyFill="1"/>
    <xf numFmtId="0" fontId="18" fillId="38" borderId="0" xfId="42" applyFont="1" applyFill="1"/>
    <xf numFmtId="0" fontId="10" fillId="38" borderId="69" xfId="42" applyFill="1" applyBorder="1"/>
    <xf numFmtId="0" fontId="57" fillId="29" borderId="0" xfId="42" applyFont="1" applyFill="1"/>
    <xf numFmtId="0" fontId="10" fillId="29" borderId="0" xfId="42" applyFill="1"/>
    <xf numFmtId="0" fontId="18" fillId="29" borderId="0" xfId="42" applyFont="1" applyFill="1"/>
    <xf numFmtId="0" fontId="21" fillId="29" borderId="0" xfId="42" applyFont="1" applyFill="1"/>
    <xf numFmtId="0" fontId="18" fillId="29" borderId="69" xfId="42" applyFont="1" applyFill="1" applyBorder="1"/>
    <xf numFmtId="0" fontId="21" fillId="29" borderId="69" xfId="42" applyFont="1" applyFill="1" applyBorder="1"/>
    <xf numFmtId="0" fontId="10" fillId="29" borderId="69" xfId="42" applyFill="1" applyBorder="1"/>
    <xf numFmtId="0" fontId="65" fillId="0" borderId="0" xfId="42" applyFont="1" applyFill="1" applyAlignment="1">
      <alignment horizontal="left"/>
    </xf>
    <xf numFmtId="0" fontId="21" fillId="0" borderId="0" xfId="42" applyFont="1" applyFill="1"/>
    <xf numFmtId="0" fontId="10" fillId="0" borderId="69" xfId="42" applyFill="1" applyBorder="1"/>
    <xf numFmtId="0" fontId="10" fillId="0" borderId="0" xfId="42" applyFill="1" applyBorder="1" applyProtection="1">
      <protection locked="0"/>
    </xf>
    <xf numFmtId="0" fontId="21" fillId="0" borderId="0" xfId="42" applyFont="1" applyFill="1" applyBorder="1"/>
    <xf numFmtId="0" fontId="10" fillId="0" borderId="0" xfId="42" applyFill="1" applyAlignment="1">
      <alignment horizontal="center"/>
    </xf>
    <xf numFmtId="0" fontId="18" fillId="0" borderId="70" xfId="42" applyFont="1" applyFill="1" applyBorder="1"/>
    <xf numFmtId="0" fontId="10" fillId="0" borderId="70" xfId="42" applyFill="1" applyBorder="1"/>
    <xf numFmtId="0" fontId="67" fillId="0" borderId="0" xfId="42" applyFont="1" applyFill="1"/>
    <xf numFmtId="0" fontId="13" fillId="0" borderId="0" xfId="42" applyFont="1" applyFill="1" applyAlignment="1">
      <alignment horizontal="left"/>
    </xf>
    <xf numFmtId="0" fontId="68" fillId="0" borderId="71" xfId="42" applyFont="1" applyFill="1" applyBorder="1" applyAlignment="1">
      <alignment horizontal="left"/>
    </xf>
    <xf numFmtId="0" fontId="68" fillId="0" borderId="0" xfId="42" applyFont="1" applyFill="1" applyBorder="1" applyAlignment="1">
      <alignment horizontal="left"/>
    </xf>
    <xf numFmtId="0" fontId="33" fillId="0" borderId="0" xfId="42" applyFont="1" applyFill="1"/>
    <xf numFmtId="0" fontId="33" fillId="0" borderId="0" xfId="42" applyFont="1" applyFill="1" applyAlignment="1">
      <alignment horizontal="right"/>
    </xf>
    <xf numFmtId="0" fontId="76" fillId="0" borderId="0" xfId="42" applyFont="1" applyFill="1"/>
    <xf numFmtId="0" fontId="33" fillId="0" borderId="23" xfId="42" applyFont="1" applyFill="1" applyBorder="1"/>
    <xf numFmtId="0" fontId="67" fillId="0" borderId="0" xfId="42" applyFont="1" applyFill="1" applyAlignment="1">
      <alignment horizontal="center"/>
    </xf>
    <xf numFmtId="0" fontId="68" fillId="0" borderId="0" xfId="42" applyFont="1" applyFill="1"/>
    <xf numFmtId="0" fontId="10" fillId="0" borderId="0" xfId="42" applyFill="1" applyBorder="1" applyAlignment="1">
      <alignment horizontal="left"/>
    </xf>
    <xf numFmtId="0" fontId="69" fillId="0" borderId="0" xfId="42" applyFont="1" applyFill="1" applyBorder="1"/>
    <xf numFmtId="0" fontId="10" fillId="0" borderId="73" xfId="42" applyFill="1" applyBorder="1"/>
    <xf numFmtId="0" fontId="10" fillId="0" borderId="73" xfId="42" applyFill="1" applyBorder="1" applyAlignment="1">
      <alignment horizontal="right"/>
    </xf>
    <xf numFmtId="0" fontId="10" fillId="0" borderId="73" xfId="42" applyFill="1" applyBorder="1" applyAlignment="1">
      <alignment horizontal="left"/>
    </xf>
    <xf numFmtId="49" fontId="32" fillId="0" borderId="71" xfId="42" applyNumberFormat="1" applyFont="1" applyFill="1" applyBorder="1"/>
    <xf numFmtId="0" fontId="10" fillId="0" borderId="71" xfId="42" applyFill="1" applyBorder="1" applyAlignment="1">
      <alignment horizontal="left"/>
    </xf>
    <xf numFmtId="0" fontId="10" fillId="0" borderId="74" xfId="42" applyFill="1" applyBorder="1"/>
    <xf numFmtId="0" fontId="10" fillId="0" borderId="74" xfId="42" applyFill="1" applyBorder="1" applyAlignment="1">
      <alignment horizontal="right"/>
    </xf>
    <xf numFmtId="0" fontId="10" fillId="0" borderId="74" xfId="42" applyFill="1" applyBorder="1" applyAlignment="1">
      <alignment horizontal="left"/>
    </xf>
    <xf numFmtId="0" fontId="10" fillId="0" borderId="72" xfId="42" applyFill="1" applyBorder="1"/>
    <xf numFmtId="0" fontId="68" fillId="0" borderId="72" xfId="42" applyFont="1" applyFill="1" applyBorder="1" applyAlignment="1">
      <alignment horizontal="left"/>
    </xf>
    <xf numFmtId="49" fontId="32" fillId="0" borderId="72" xfId="42" applyNumberFormat="1" applyFont="1" applyFill="1" applyBorder="1"/>
    <xf numFmtId="0" fontId="10" fillId="0" borderId="72" xfId="42" applyFill="1" applyBorder="1" applyAlignment="1">
      <alignment horizontal="left"/>
    </xf>
    <xf numFmtId="0" fontId="10" fillId="0" borderId="45" xfId="42" applyFill="1" applyBorder="1"/>
    <xf numFmtId="0" fontId="10" fillId="0" borderId="45" xfId="42" applyFill="1" applyBorder="1" applyAlignment="1">
      <alignment horizontal="right"/>
    </xf>
    <xf numFmtId="0" fontId="68" fillId="0" borderId="75" xfId="42" applyFont="1" applyFill="1" applyBorder="1" applyAlignment="1">
      <alignment horizontal="left"/>
    </xf>
    <xf numFmtId="49" fontId="32" fillId="0" borderId="75" xfId="42" applyNumberFormat="1" applyFont="1" applyFill="1" applyBorder="1"/>
    <xf numFmtId="0" fontId="10" fillId="0" borderId="75" xfId="42" applyFill="1" applyBorder="1" applyAlignment="1">
      <alignment horizontal="left"/>
    </xf>
    <xf numFmtId="0" fontId="18" fillId="0" borderId="73" xfId="42" applyFont="1" applyFill="1" applyBorder="1" applyAlignment="1">
      <alignment horizontal="left"/>
    </xf>
    <xf numFmtId="49" fontId="32" fillId="0" borderId="0" xfId="42" applyNumberFormat="1" applyFont="1" applyFill="1" applyBorder="1"/>
    <xf numFmtId="0" fontId="67" fillId="0" borderId="0" xfId="42" applyFont="1" applyFill="1" applyBorder="1"/>
    <xf numFmtId="0" fontId="10" fillId="0" borderId="70" xfId="42" applyFill="1" applyBorder="1" applyAlignment="1">
      <alignment horizontal="right"/>
    </xf>
    <xf numFmtId="0" fontId="10" fillId="0" borderId="70" xfId="42" applyFill="1" applyBorder="1" applyAlignment="1">
      <alignment horizontal="left"/>
    </xf>
    <xf numFmtId="0" fontId="16" fillId="0" borderId="0" xfId="42" applyFont="1" applyFill="1"/>
    <xf numFmtId="0" fontId="18" fillId="0" borderId="71" xfId="42" applyFont="1" applyFill="1" applyBorder="1"/>
    <xf numFmtId="0" fontId="18" fillId="0" borderId="72" xfId="42" applyFont="1" applyFill="1" applyBorder="1"/>
    <xf numFmtId="0" fontId="10" fillId="0" borderId="72" xfId="42" applyFill="1" applyBorder="1" applyAlignment="1">
      <alignment horizontal="right"/>
    </xf>
    <xf numFmtId="0" fontId="10" fillId="0" borderId="72" xfId="42" applyFill="1" applyBorder="1" applyAlignment="1">
      <alignment horizontal="center"/>
    </xf>
    <xf numFmtId="0" fontId="15" fillId="0" borderId="77" xfId="0" applyFont="1" applyFill="1" applyBorder="1"/>
    <xf numFmtId="0" fontId="25" fillId="0" borderId="23" xfId="0" applyFont="1" applyFill="1" applyBorder="1"/>
    <xf numFmtId="0" fontId="15" fillId="0" borderId="23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5" fillId="0" borderId="23" xfId="0" applyFont="1" applyFill="1" applyBorder="1" applyAlignment="1">
      <alignment horizontal="left" vertical="top"/>
    </xf>
    <xf numFmtId="0" fontId="10" fillId="38" borderId="0" xfId="42" applyFill="1" applyProtection="1">
      <protection locked="0"/>
    </xf>
    <xf numFmtId="0" fontId="65" fillId="38" borderId="0" xfId="42" applyFont="1" applyFill="1" applyAlignment="1">
      <alignment horizontal="left"/>
    </xf>
    <xf numFmtId="0" fontId="10" fillId="38" borderId="0" xfId="42" applyFill="1" applyBorder="1" applyProtection="1">
      <protection locked="0"/>
    </xf>
    <xf numFmtId="0" fontId="18" fillId="38" borderId="0" xfId="42" applyFont="1" applyFill="1" applyBorder="1"/>
    <xf numFmtId="0" fontId="21" fillId="38" borderId="0" xfId="42" applyFont="1" applyFill="1" applyBorder="1"/>
    <xf numFmtId="0" fontId="10" fillId="38" borderId="0" xfId="42" applyFill="1" applyBorder="1"/>
    <xf numFmtId="0" fontId="10" fillId="38" borderId="0" xfId="42" applyFill="1" applyAlignment="1">
      <alignment horizontal="right"/>
    </xf>
    <xf numFmtId="0" fontId="10" fillId="38" borderId="0" xfId="42" applyFill="1" applyAlignment="1">
      <alignment horizontal="center"/>
    </xf>
    <xf numFmtId="0" fontId="10" fillId="38" borderId="0" xfId="42" applyFill="1" applyAlignment="1">
      <alignment horizontal="left"/>
    </xf>
    <xf numFmtId="0" fontId="18" fillId="38" borderId="70" xfId="42" applyFont="1" applyFill="1" applyBorder="1"/>
    <xf numFmtId="0" fontId="10" fillId="38" borderId="70" xfId="42" applyFill="1" applyBorder="1"/>
    <xf numFmtId="0" fontId="67" fillId="38" borderId="0" xfId="42" applyFont="1" applyFill="1"/>
    <xf numFmtId="0" fontId="13" fillId="38" borderId="0" xfId="42" applyFont="1" applyFill="1" applyAlignment="1">
      <alignment horizontal="left"/>
    </xf>
    <xf numFmtId="0" fontId="13" fillId="38" borderId="0" xfId="42" applyFont="1" applyFill="1"/>
    <xf numFmtId="0" fontId="68" fillId="38" borderId="71" xfId="42" applyFont="1" applyFill="1" applyBorder="1" applyAlignment="1">
      <alignment horizontal="left"/>
    </xf>
    <xf numFmtId="0" fontId="10" fillId="38" borderId="71" xfId="42" applyFill="1" applyBorder="1"/>
    <xf numFmtId="0" fontId="68" fillId="38" borderId="0" xfId="42" applyFont="1" applyFill="1" applyBorder="1" applyAlignment="1">
      <alignment horizontal="left"/>
    </xf>
    <xf numFmtId="0" fontId="33" fillId="38" borderId="0" xfId="42" applyFont="1" applyFill="1"/>
    <xf numFmtId="0" fontId="33" fillId="38" borderId="0" xfId="42" applyFont="1" applyFill="1" applyAlignment="1">
      <alignment horizontal="right"/>
    </xf>
    <xf numFmtId="0" fontId="76" fillId="38" borderId="0" xfId="42" applyFont="1" applyFill="1"/>
    <xf numFmtId="0" fontId="10" fillId="38" borderId="23" xfId="42" applyFill="1" applyBorder="1"/>
    <xf numFmtId="0" fontId="33" fillId="38" borderId="23" xfId="42" applyFont="1" applyFill="1" applyBorder="1"/>
    <xf numFmtId="0" fontId="67" fillId="38" borderId="0" xfId="42" applyFont="1" applyFill="1" applyAlignment="1">
      <alignment horizontal="center"/>
    </xf>
    <xf numFmtId="0" fontId="68" fillId="38" borderId="0" xfId="42" applyFont="1" applyFill="1"/>
    <xf numFmtId="0" fontId="10" fillId="38" borderId="0" xfId="42" applyFill="1" applyBorder="1" applyAlignment="1">
      <alignment horizontal="left"/>
    </xf>
    <xf numFmtId="0" fontId="69" fillId="38" borderId="0" xfId="42" applyFont="1" applyFill="1" applyBorder="1"/>
    <xf numFmtId="0" fontId="10" fillId="38" borderId="73" xfId="42" applyFill="1" applyBorder="1"/>
    <xf numFmtId="0" fontId="10" fillId="38" borderId="73" xfId="42" applyFill="1" applyBorder="1" applyAlignment="1">
      <alignment horizontal="right"/>
    </xf>
    <xf numFmtId="0" fontId="10" fillId="38" borderId="73" xfId="42" applyFill="1" applyBorder="1" applyAlignment="1">
      <alignment horizontal="left"/>
    </xf>
    <xf numFmtId="49" fontId="32" fillId="38" borderId="71" xfId="42" applyNumberFormat="1" applyFont="1" applyFill="1" applyBorder="1"/>
    <xf numFmtId="0" fontId="10" fillId="38" borderId="71" xfId="42" applyFill="1" applyBorder="1" applyAlignment="1">
      <alignment horizontal="left"/>
    </xf>
    <xf numFmtId="0" fontId="10" fillId="38" borderId="74" xfId="42" applyFill="1" applyBorder="1"/>
    <xf numFmtId="0" fontId="10" fillId="38" borderId="74" xfId="42" applyFill="1" applyBorder="1" applyAlignment="1">
      <alignment horizontal="right"/>
    </xf>
    <xf numFmtId="0" fontId="10" fillId="38" borderId="74" xfId="42" applyFill="1" applyBorder="1" applyAlignment="1">
      <alignment horizontal="left"/>
    </xf>
    <xf numFmtId="0" fontId="10" fillId="38" borderId="72" xfId="42" applyFill="1" applyBorder="1"/>
    <xf numFmtId="0" fontId="68" fillId="38" borderId="72" xfId="42" applyFont="1" applyFill="1" applyBorder="1" applyAlignment="1">
      <alignment horizontal="left"/>
    </xf>
    <xf numFmtId="49" fontId="32" fillId="38" borderId="72" xfId="42" applyNumberFormat="1" applyFont="1" applyFill="1" applyBorder="1"/>
    <xf numFmtId="0" fontId="10" fillId="38" borderId="72" xfId="42" applyFill="1" applyBorder="1" applyAlignment="1">
      <alignment horizontal="left"/>
    </xf>
    <xf numFmtId="0" fontId="10" fillId="38" borderId="45" xfId="42" applyFill="1" applyBorder="1"/>
    <xf numFmtId="0" fontId="10" fillId="38" borderId="45" xfId="42" applyFill="1" applyBorder="1" applyAlignment="1">
      <alignment horizontal="right"/>
    </xf>
    <xf numFmtId="0" fontId="68" fillId="38" borderId="75" xfId="42" applyFont="1" applyFill="1" applyBorder="1" applyAlignment="1">
      <alignment horizontal="left"/>
    </xf>
    <xf numFmtId="49" fontId="32" fillId="38" borderId="75" xfId="42" applyNumberFormat="1" applyFont="1" applyFill="1" applyBorder="1"/>
    <xf numFmtId="0" fontId="10" fillId="38" borderId="75" xfId="42" applyFill="1" applyBorder="1" applyAlignment="1">
      <alignment horizontal="left"/>
    </xf>
    <xf numFmtId="0" fontId="18" fillId="38" borderId="73" xfId="42" applyFont="1" applyFill="1" applyBorder="1" applyAlignment="1">
      <alignment horizontal="left"/>
    </xf>
    <xf numFmtId="0" fontId="10" fillId="38" borderId="0" xfId="42" applyFill="1" applyBorder="1" applyAlignment="1">
      <alignment horizontal="right"/>
    </xf>
    <xf numFmtId="49" fontId="32" fillId="38" borderId="0" xfId="42" applyNumberFormat="1" applyFont="1" applyFill="1" applyBorder="1"/>
    <xf numFmtId="0" fontId="67" fillId="38" borderId="0" xfId="42" applyFont="1" applyFill="1" applyBorder="1"/>
    <xf numFmtId="0" fontId="10" fillId="38" borderId="70" xfId="42" applyFill="1" applyBorder="1" applyAlignment="1">
      <alignment horizontal="right"/>
    </xf>
    <xf numFmtId="0" fontId="10" fillId="38" borderId="70" xfId="42" applyFill="1" applyBorder="1" applyAlignment="1">
      <alignment horizontal="left"/>
    </xf>
    <xf numFmtId="0" fontId="16" fillId="38" borderId="0" xfId="42" applyFont="1" applyFill="1"/>
    <xf numFmtId="0" fontId="18" fillId="38" borderId="71" xfId="42" applyFont="1" applyFill="1" applyBorder="1"/>
    <xf numFmtId="0" fontId="18" fillId="38" borderId="72" xfId="42" applyFont="1" applyFill="1" applyBorder="1"/>
    <xf numFmtId="0" fontId="10" fillId="38" borderId="72" xfId="42" applyFill="1" applyBorder="1" applyAlignment="1">
      <alignment horizontal="right"/>
    </xf>
    <xf numFmtId="0" fontId="10" fillId="38" borderId="72" xfId="42" applyFill="1" applyBorder="1" applyAlignment="1">
      <alignment horizontal="center"/>
    </xf>
    <xf numFmtId="0" fontId="92" fillId="32" borderId="0" xfId="0" applyFont="1" applyFill="1" applyBorder="1" applyProtection="1"/>
    <xf numFmtId="0" fontId="92" fillId="32" borderId="0" xfId="0" applyFont="1" applyFill="1" applyBorder="1" applyAlignment="1" applyProtection="1">
      <alignment horizontal="left"/>
    </xf>
    <xf numFmtId="0" fontId="93" fillId="32" borderId="0" xfId="0" applyFont="1" applyFill="1" applyBorder="1" applyProtection="1"/>
    <xf numFmtId="0" fontId="14" fillId="35" borderId="0" xfId="0" applyFont="1" applyFill="1" applyBorder="1" applyAlignment="1"/>
    <xf numFmtId="0" fontId="14" fillId="0" borderId="0" xfId="0" applyFont="1" applyFill="1" applyBorder="1" applyAlignment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5" borderId="0" xfId="0" applyFont="1" applyFill="1" applyBorder="1" applyAlignment="1">
      <alignment vertical="top" wrapText="1"/>
    </xf>
    <xf numFmtId="0" fontId="22" fillId="25" borderId="0" xfId="0" applyFont="1" applyFill="1" applyBorder="1" applyAlignment="1">
      <alignment horizontal="left" vertical="top" wrapText="1"/>
    </xf>
    <xf numFmtId="0" fontId="22" fillId="25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7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6" xfId="0" applyNumberFormat="1" applyBorder="1" applyAlignment="1"/>
    <xf numFmtId="15" fontId="0" fillId="0" borderId="46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47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48" xfId="0" applyFont="1" applyBorder="1" applyAlignment="1">
      <alignment vertical="top" wrapText="1"/>
    </xf>
    <xf numFmtId="0" fontId="27" fillId="0" borderId="49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48" xfId="0" applyFont="1" applyBorder="1" applyAlignment="1">
      <alignment horizontal="center" vertical="top" wrapText="1"/>
    </xf>
    <xf numFmtId="0" fontId="22" fillId="0" borderId="49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47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48" xfId="0" applyFont="1" applyBorder="1" applyAlignment="1">
      <alignment vertical="top" wrapText="1"/>
    </xf>
    <xf numFmtId="0" fontId="23" fillId="0" borderId="49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7" fillId="0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3" xfId="42" applyFill="1" applyBorder="1" applyAlignment="1">
      <alignment horizontal="left" wrapText="1"/>
    </xf>
    <xf numFmtId="0" fontId="10" fillId="0" borderId="64" xfId="42" applyFill="1" applyBorder="1" applyAlignment="1">
      <alignment horizontal="left" wrapText="1"/>
    </xf>
    <xf numFmtId="0" fontId="87" fillId="38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2" borderId="0" xfId="42" applyFont="1" applyFill="1" applyAlignment="1">
      <alignment horizontal="center"/>
    </xf>
    <xf numFmtId="0" fontId="13" fillId="29" borderId="0" xfId="42" applyFont="1" applyFill="1" applyAlignment="1">
      <alignment horizontal="center"/>
    </xf>
    <xf numFmtId="0" fontId="13" fillId="30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F5F5F"/>
      <color rgb="FF777777"/>
      <color rgb="FFFFFFEB"/>
      <color rgb="FFFFFFCD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sel="0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sel="0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sel="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sel="0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sel="0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sel="0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sel="0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sel="0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sel="0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sel="0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sel="0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sel="0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sel="0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sel="0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sel="0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sel="0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sel="0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sel="0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sel="0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sel="0" val="0"/>
</file>

<file path=xl/ctrlProps/ctrlProp102.xml><?xml version="1.0" encoding="utf-8"?>
<formControlPr xmlns="http://schemas.microsoft.com/office/spreadsheetml/2009/9/main" objectType="Spin" dx="15" fmlaLink="PatDetails!$B$7" max="200" min="25" page="10" val="8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2.xml><?xml version="1.0" encoding="utf-8"?>
<formControlPr xmlns="http://schemas.microsoft.com/office/spreadsheetml/2009/9/main" objectType="Drop" dropStyle="combo" dx="16" fmlaLink="GlobBerMedDisc!$O$22" fmlaRange="tblMedDiscOplVl" sel="0" val="0"/>
</file>

<file path=xl/ctrlProps/ctrlProp113.xml><?xml version="1.0" encoding="utf-8"?>
<formControlPr xmlns="http://schemas.microsoft.com/office/spreadsheetml/2009/9/main" objectType="Spin" dx="15" fmlaLink="GlobBerMedDisc!$I$22" max="13" min="1" page="10"/>
</file>

<file path=xl/ctrlProps/ctrlProp114.xml><?xml version="1.0" encoding="utf-8"?>
<formControlPr xmlns="http://schemas.microsoft.com/office/spreadsheetml/2009/9/main" objectType="Spin" dx="15" fmlaLink="GlobBerMedDisc!$G$22" max="1000" page="10" val="0"/>
</file>

<file path=xl/ctrlProps/ctrlProp115.xml><?xml version="1.0" encoding="utf-8"?>
<formControlPr xmlns="http://schemas.microsoft.com/office/spreadsheetml/2009/9/main" objectType="Spin" dx="15" fmlaLink="GlobBerMedDisc!$N$22" max="30000" page="10" val="0"/>
</file>

<file path=xl/ctrlProps/ctrlProp116.xml><?xml version="1.0" encoding="utf-8"?>
<formControlPr xmlns="http://schemas.microsoft.com/office/spreadsheetml/2009/9/main" objectType="Spin" dx="15" fmlaLink="GlobBerMedDisc!$Q$22" inc="5" max="1440" page="10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26.xml><?xml version="1.0" encoding="utf-8"?>
<formControlPr xmlns="http://schemas.microsoft.com/office/spreadsheetml/2009/9/main" objectType="Drop" dropStyle="combo" dx="16" fmlaLink="GlobBerMedDisc!$O$23" fmlaRange="tblMedDiscOplVl" sel="0" val="0"/>
</file>

<file path=xl/ctrlProps/ctrlProp127.xml><?xml version="1.0" encoding="utf-8"?>
<formControlPr xmlns="http://schemas.microsoft.com/office/spreadsheetml/2009/9/main" objectType="Spin" dx="15" fmlaLink="GlobBerMedDisc!$I$23" max="13" min="1" page="10"/>
</file>

<file path=xl/ctrlProps/ctrlProp128.xml><?xml version="1.0" encoding="utf-8"?>
<formControlPr xmlns="http://schemas.microsoft.com/office/spreadsheetml/2009/9/main" objectType="Spin" dx="15" fmlaLink="GlobBerMedDisc!$G$23" max="1000" page="10" val="0"/>
</file>

<file path=xl/ctrlProps/ctrlProp129.xml><?xml version="1.0" encoding="utf-8"?>
<formControlPr xmlns="http://schemas.microsoft.com/office/spreadsheetml/2009/9/main" objectType="Spin" dx="15" fmlaLink="GlobBerMedDisc!$N$23" max="30000" page="10" val="0"/>
</file>

<file path=xl/ctrlProps/ctrlProp130.xml><?xml version="1.0" encoding="utf-8"?>
<formControlPr xmlns="http://schemas.microsoft.com/office/spreadsheetml/2009/9/main" objectType="Spin" dx="15" fmlaLink="GlobBerMedDisc!$Q$23" inc="5" max="1440" page="10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3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0.xml><?xml version="1.0" encoding="utf-8"?>
<formControlPr xmlns="http://schemas.microsoft.com/office/spreadsheetml/2009/9/main" objectType="Drop" dropStyle="combo" dx="16" fmlaLink="GlobBerMedDisc!$O$24" fmlaRange="tblMedDiscOplVl" sel="0" val="0"/>
</file>

<file path=xl/ctrlProps/ctrlProp141.xml><?xml version="1.0" encoding="utf-8"?>
<formControlPr xmlns="http://schemas.microsoft.com/office/spreadsheetml/2009/9/main" objectType="Spin" dx="15" fmlaLink="GlobBerMedDisc!$I$24" max="13" min="1" page="10"/>
</file>

<file path=xl/ctrlProps/ctrlProp142.xml><?xml version="1.0" encoding="utf-8"?>
<formControlPr xmlns="http://schemas.microsoft.com/office/spreadsheetml/2009/9/main" objectType="Spin" dx="15" fmlaLink="GlobBerMedDisc!$G$24" max="1000" page="10" val="0"/>
</file>

<file path=xl/ctrlProps/ctrlProp143.xml><?xml version="1.0" encoding="utf-8"?>
<formControlPr xmlns="http://schemas.microsoft.com/office/spreadsheetml/2009/9/main" objectType="Spin" dx="15" fmlaLink="GlobBerMedDisc!$N$24" max="30000" page="10" val="0"/>
</file>

<file path=xl/ctrlProps/ctrlProp144.xml><?xml version="1.0" encoding="utf-8"?>
<formControlPr xmlns="http://schemas.microsoft.com/office/spreadsheetml/2009/9/main" objectType="Spin" dx="15" fmlaLink="GlobBerMedDisc!$Q$24" inc="5" max="1440" page="10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54.xml><?xml version="1.0" encoding="utf-8"?>
<formControlPr xmlns="http://schemas.microsoft.com/office/spreadsheetml/2009/9/main" objectType="Drop" dropStyle="combo" dx="16" fmlaLink="GlobBerMedDisc!$O$25" fmlaRange="tblMedDiscOplVl" sel="0" val="0"/>
</file>

<file path=xl/ctrlProps/ctrlProp155.xml><?xml version="1.0" encoding="utf-8"?>
<formControlPr xmlns="http://schemas.microsoft.com/office/spreadsheetml/2009/9/main" objectType="Spin" dx="15" fmlaLink="GlobBerMedDisc!$I$25" max="13" min="1" page="10"/>
</file>

<file path=xl/ctrlProps/ctrlProp156.xml><?xml version="1.0" encoding="utf-8"?>
<formControlPr xmlns="http://schemas.microsoft.com/office/spreadsheetml/2009/9/main" objectType="Spin" dx="15" fmlaLink="GlobBerMedDisc!$G$25" max="1000" page="10" val="0"/>
</file>

<file path=xl/ctrlProps/ctrlProp157.xml><?xml version="1.0" encoding="utf-8"?>
<formControlPr xmlns="http://schemas.microsoft.com/office/spreadsheetml/2009/9/main" objectType="Spin" dx="15" fmlaLink="GlobBerMedDisc!$N$25" max="30000" page="10" val="0"/>
</file>

<file path=xl/ctrlProps/ctrlProp158.xml><?xml version="1.0" encoding="utf-8"?>
<formControlPr xmlns="http://schemas.microsoft.com/office/spreadsheetml/2009/9/main" objectType="Spin" dx="15" fmlaLink="GlobBerMedDisc!$Q$25" inc="5" max="1440" page="10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68.xml><?xml version="1.0" encoding="utf-8"?>
<formControlPr xmlns="http://schemas.microsoft.com/office/spreadsheetml/2009/9/main" objectType="Drop" dropStyle="combo" dx="16" fmlaLink="GlobBerMedDisc!$O$26" fmlaRange="tblMedDiscOplVl" sel="0" val="0"/>
</file>

<file path=xl/ctrlProps/ctrlProp169.xml><?xml version="1.0" encoding="utf-8"?>
<formControlPr xmlns="http://schemas.microsoft.com/office/spreadsheetml/2009/9/main" objectType="Spin" dx="15" fmlaLink="GlobBerMedDisc!$I$26" max="13" min="1" page="10"/>
</file>

<file path=xl/ctrlProps/ctrlProp170.xml><?xml version="1.0" encoding="utf-8"?>
<formControlPr xmlns="http://schemas.microsoft.com/office/spreadsheetml/2009/9/main" objectType="Spin" dx="15" fmlaLink="GlobBerMedDisc!$G$26" max="1000" page="10" val="0"/>
</file>

<file path=xl/ctrlProps/ctrlProp171.xml><?xml version="1.0" encoding="utf-8"?>
<formControlPr xmlns="http://schemas.microsoft.com/office/spreadsheetml/2009/9/main" objectType="Spin" dx="15" fmlaLink="GlobBerMedDisc!$N$26" max="30000" page="10" val="0"/>
</file>

<file path=xl/ctrlProps/ctrlProp172.xml><?xml version="1.0" encoding="utf-8"?>
<formControlPr xmlns="http://schemas.microsoft.com/office/spreadsheetml/2009/9/main" objectType="Spin" dx="15" fmlaLink="GlobBerMedDisc!$Q$26" inc="5" max="1440" page="10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GlobBerMedDisc!$O$27" fmlaRange="tblMedDiscOplVl" sel="0" val="0"/>
</file>

<file path=xl/ctrlProps/ctrlProp183.xml><?xml version="1.0" encoding="utf-8"?>
<formControlPr xmlns="http://schemas.microsoft.com/office/spreadsheetml/2009/9/main" objectType="Spin" dx="15" fmlaLink="GlobBerMedDisc!$I$27" max="13" min="1" page="10"/>
</file>

<file path=xl/ctrlProps/ctrlProp184.xml><?xml version="1.0" encoding="utf-8"?>
<formControlPr xmlns="http://schemas.microsoft.com/office/spreadsheetml/2009/9/main" objectType="Spin" dx="15" fmlaLink="GlobBerMedDisc!$G$27" max="1000" page="10" val="0"/>
</file>

<file path=xl/ctrlProps/ctrlProp185.xml><?xml version="1.0" encoding="utf-8"?>
<formControlPr xmlns="http://schemas.microsoft.com/office/spreadsheetml/2009/9/main" objectType="Spin" dx="15" fmlaLink="GlobBerMedDisc!$N$27" max="30000" page="10" val="0"/>
</file>

<file path=xl/ctrlProps/ctrlProp186.xml><?xml version="1.0" encoding="utf-8"?>
<formControlPr xmlns="http://schemas.microsoft.com/office/spreadsheetml/2009/9/main" objectType="Spin" dx="15" fmlaLink="GlobBerMedDisc!$Q$27" inc="5" max="1440" page="10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GlobBerMedDisc!$O$28" fmlaRange="tblMedDiscOplVl" sel="0" val="0"/>
</file>

<file path=xl/ctrlProps/ctrlProp197.xml><?xml version="1.0" encoding="utf-8"?>
<formControlPr xmlns="http://schemas.microsoft.com/office/spreadsheetml/2009/9/main" objectType="Spin" dx="15" fmlaLink="GlobBerMedDisc!$I$28" max="13" min="1" page="10"/>
</file>

<file path=xl/ctrlProps/ctrlProp198.xml><?xml version="1.0" encoding="utf-8"?>
<formControlPr xmlns="http://schemas.microsoft.com/office/spreadsheetml/2009/9/main" objectType="Spin" dx="15" fmlaLink="GlobBerMedDisc!$G$28" max="1000" page="10" val="0"/>
</file>

<file path=xl/ctrlProps/ctrlProp199.xml><?xml version="1.0" encoding="utf-8"?>
<formControlPr xmlns="http://schemas.microsoft.com/office/spreadsheetml/2009/9/main" objectType="Spin" dx="15" fmlaLink="GlobBerMedDisc!$N$28" max="30000" page="10" val="0"/>
</file>

<file path=xl/ctrlProps/ctrlProp200.xml><?xml version="1.0" encoding="utf-8"?>
<formControlPr xmlns="http://schemas.microsoft.com/office/spreadsheetml/2009/9/main" objectType="Spin" dx="15" fmlaLink="GlobBerMedDisc!$Q$28" inc="5" max="1440" page="10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0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GlobBerMedDisc!$O$29" fmlaRange="tblMedDiscOplVl" sel="0" val="0"/>
</file>

<file path=xl/ctrlProps/ctrlProp211.xml><?xml version="1.0" encoding="utf-8"?>
<formControlPr xmlns="http://schemas.microsoft.com/office/spreadsheetml/2009/9/main" objectType="Spin" dx="15" fmlaLink="GlobBerMedDisc!$I$29" max="13" min="1" page="10"/>
</file>

<file path=xl/ctrlProps/ctrlProp212.xml><?xml version="1.0" encoding="utf-8"?>
<formControlPr xmlns="http://schemas.microsoft.com/office/spreadsheetml/2009/9/main" objectType="Spin" dx="15" fmlaLink="GlobBerMedDisc!$G$29" max="1000" page="10" val="0"/>
</file>

<file path=xl/ctrlProps/ctrlProp213.xml><?xml version="1.0" encoding="utf-8"?>
<formControlPr xmlns="http://schemas.microsoft.com/office/spreadsheetml/2009/9/main" objectType="Spin" dx="15" fmlaLink="GlobBerMedDisc!$N$29" max="30000" page="10" val="0"/>
</file>

<file path=xl/ctrlProps/ctrlProp214.xml><?xml version="1.0" encoding="utf-8"?>
<formControlPr xmlns="http://schemas.microsoft.com/office/spreadsheetml/2009/9/main" objectType="Spin" dx="15" fmlaLink="GlobBerMedDisc!$Q$29" inc="5" max="1440" page="10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GlobBerMedDisc!$O$30" fmlaRange="tblMedDiscOplVl" sel="0" val="0"/>
</file>

<file path=xl/ctrlProps/ctrlProp225.xml><?xml version="1.0" encoding="utf-8"?>
<formControlPr xmlns="http://schemas.microsoft.com/office/spreadsheetml/2009/9/main" objectType="Spin" dx="15" fmlaLink="GlobBerMedDisc!$I$30" max="13" min="1" page="10"/>
</file>

<file path=xl/ctrlProps/ctrlProp226.xml><?xml version="1.0" encoding="utf-8"?>
<formControlPr xmlns="http://schemas.microsoft.com/office/spreadsheetml/2009/9/main" objectType="Spin" dx="15" fmlaLink="GlobBerMedDisc!$G$30" max="1000" page="10" val="0"/>
</file>

<file path=xl/ctrlProps/ctrlProp227.xml><?xml version="1.0" encoding="utf-8"?>
<formControlPr xmlns="http://schemas.microsoft.com/office/spreadsheetml/2009/9/main" objectType="Spin" dx="15" fmlaLink="GlobBerMedDisc!$N$30" max="30000" page="10" val="0"/>
</file>

<file path=xl/ctrlProps/ctrlProp228.xml><?xml version="1.0" encoding="utf-8"?>
<formControlPr xmlns="http://schemas.microsoft.com/office/spreadsheetml/2009/9/main" objectType="Spin" dx="15" fmlaLink="GlobBerMedDisc!$Q$30" inc="5" max="1440" page="10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7.xml><?xml version="1.0" encoding="utf-8"?>
<formControlPr xmlns="http://schemas.microsoft.com/office/spreadsheetml/2009/9/main" objectType="Drop" dropStyle="combo" dx="16" fmlaLink="Glob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GlobBerMedDisc!$O$31" fmlaRange="tblMedDiscOplVl" sel="0" val="0"/>
</file>

<file path=xl/ctrlProps/ctrlProp239.xml><?xml version="1.0" encoding="utf-8"?>
<formControlPr xmlns="http://schemas.microsoft.com/office/spreadsheetml/2009/9/main" objectType="Spin" dx="15" fmlaLink="GlobBerMedDisc!$I$31" max="13" min="1" page="10"/>
</file>

<file path=xl/ctrlProps/ctrlProp240.xml><?xml version="1.0" encoding="utf-8"?>
<formControlPr xmlns="http://schemas.microsoft.com/office/spreadsheetml/2009/9/main" objectType="Spin" dx="15" fmlaLink="GlobBerMedDisc!$G$31" max="1000" page="10" val="0"/>
</file>

<file path=xl/ctrlProps/ctrlProp241.xml><?xml version="1.0" encoding="utf-8"?>
<formControlPr xmlns="http://schemas.microsoft.com/office/spreadsheetml/2009/9/main" objectType="Spin" dx="15" fmlaLink="GlobBerMedDisc!$N$31" max="30000" page="10" val="0"/>
</file>

<file path=xl/ctrlProps/ctrlProp242.xml><?xml version="1.0" encoding="utf-8"?>
<formControlPr xmlns="http://schemas.microsoft.com/office/spreadsheetml/2009/9/main" objectType="Spin" dx="15" fmlaLink="GlobBerMedDisc!$Q$31" inc="5" max="1440" page="10" val="0"/>
</file>

<file path=xl/ctrlProps/ctrlProp243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44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245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246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247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248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249.xml><?xml version="1.0" encoding="utf-8"?>
<formControlPr xmlns="http://schemas.microsoft.com/office/spreadsheetml/2009/9/main" objectType="Drop" dropStyle="combo" dx="16" fmlaLink="PedBerMedIV!$B$9" fmlaRange="tblMedicationContIV" sel="1" val="24"/>
</file>

<file path=xl/ctrlProps/ctrlProp250.xml><?xml version="1.0" encoding="utf-8"?>
<formControlPr xmlns="http://schemas.microsoft.com/office/spreadsheetml/2009/9/main" objectType="Drop" dropStyle="combo" dx="16" fmlaLink="PedBerMedIV!$B$10" fmlaRange="tblMedicationContIV" sel="1" val="16"/>
</file>

<file path=xl/ctrlProps/ctrlProp251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252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253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254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255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256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257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258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259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260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261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62.xml><?xml version="1.0" encoding="utf-8"?>
<formControlPr xmlns="http://schemas.microsoft.com/office/spreadsheetml/2009/9/main" objectType="Spin" dx="15" fmlaLink="PedBerMedIV!$E$15" max="100" min="1" page="10"/>
</file>

<file path=xl/ctrlProps/ctrlProp26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64.xml><?xml version="1.0" encoding="utf-8"?>
<formControlPr xmlns="http://schemas.microsoft.com/office/spreadsheetml/2009/9/main" objectType="Spin" dx="15" fmlaLink="PedBerMedIV!$E$16" max="100" min="1" page="10"/>
</file>

<file path=xl/ctrlProps/ctrlProp26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6.xml><?xml version="1.0" encoding="utf-8"?>
<formControlPr xmlns="http://schemas.microsoft.com/office/spreadsheetml/2009/9/main" objectType="Spin" dx="15" fmlaLink="PedBerMedIV!$E$17" max="100" min="1" page="10"/>
</file>

<file path=xl/ctrlProps/ctrlProp267.xml><?xml version="1.0" encoding="utf-8"?>
<formControlPr xmlns="http://schemas.microsoft.com/office/spreadsheetml/2009/9/main" objectType="Spin" dx="15" fmlaLink="PedBerMedIV!$J$15" max="500" page="10" val="0"/>
</file>

<file path=xl/ctrlProps/ctrlProp268.xml><?xml version="1.0" encoding="utf-8"?>
<formControlPr xmlns="http://schemas.microsoft.com/office/spreadsheetml/2009/9/main" objectType="Spin" dx="15" fmlaLink="PedBerMedIV!$J$16" max="500" page="10" val="0"/>
</file>

<file path=xl/ctrlProps/ctrlProp269.xml><?xml version="1.0" encoding="utf-8"?>
<formControlPr xmlns="http://schemas.microsoft.com/office/spreadsheetml/2009/9/main" objectType="Spin" dx="15" fmlaLink="PedBerMedIV!$J$17" max="500" page="10" val="0"/>
</file>

<file path=xl/ctrlProps/ctrlProp27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271.xml><?xml version="1.0" encoding="utf-8"?>
<formControlPr xmlns="http://schemas.microsoft.com/office/spreadsheetml/2009/9/main" objectType="Spin" dx="15" fmlaLink="PedBerMedIV!$E$13" max="100" min="1" page="10"/>
</file>

<file path=xl/ctrlProps/ctrlProp272.xml><?xml version="1.0" encoding="utf-8"?>
<formControlPr xmlns="http://schemas.microsoft.com/office/spreadsheetml/2009/9/main" objectType="Spin" dx="15" fmlaLink="PedBerMedIV!$J$13" max="500" page="10" val="0"/>
</file>

<file path=xl/ctrlProps/ctrlProp27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274.xml><?xml version="1.0" encoding="utf-8"?>
<formControlPr xmlns="http://schemas.microsoft.com/office/spreadsheetml/2009/9/main" objectType="Spin" dx="15" fmlaLink="PedBerMedIV!$E$14" max="100" min="1" page="10"/>
</file>

<file path=xl/ctrlProps/ctrlProp275.xml><?xml version="1.0" encoding="utf-8"?>
<formControlPr xmlns="http://schemas.microsoft.com/office/spreadsheetml/2009/9/main" objectType="Spin" dx="15" fmlaLink="PedBerMedIV!$J$14" max="500" page="10" val="0"/>
</file>

<file path=xl/ctrlProps/ctrlProp276.xml><?xml version="1.0" encoding="utf-8"?>
<formControlPr xmlns="http://schemas.microsoft.com/office/spreadsheetml/2009/9/main" objectType="Drop" dropStyle="combo" dx="16" fmlaLink="PedBerMedIV!$B$12" fmlaRange="tblMedicationContIV" sel="1" val="18"/>
</file>

<file path=xl/ctrlProps/ctrlProp27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278.xml><?xml version="1.0" encoding="utf-8"?>
<formControlPr xmlns="http://schemas.microsoft.com/office/spreadsheetml/2009/9/main" objectType="Spin" dx="15" fmlaLink="PedBerMedIV!$J$4" max="1000" page="10" val="0"/>
</file>

<file path=xl/ctrlProps/ctrlProp279.xml><?xml version="1.0" encoding="utf-8"?>
<formControlPr xmlns="http://schemas.microsoft.com/office/spreadsheetml/2009/9/main" objectType="Spin" dx="15" fmlaLink="PedBerMedIV!$J$5" max="1000" page="10" val="0"/>
</file>

<file path=xl/ctrlProps/ctrlProp280.xml><?xml version="1.0" encoding="utf-8"?>
<formControlPr xmlns="http://schemas.microsoft.com/office/spreadsheetml/2009/9/main" objectType="Spin" dx="15" fmlaLink="PedBerMedIV!$J$6" max="1000" page="10" val="0"/>
</file>

<file path=xl/ctrlProps/ctrlProp281.xml><?xml version="1.0" encoding="utf-8"?>
<formControlPr xmlns="http://schemas.microsoft.com/office/spreadsheetml/2009/9/main" objectType="Spin" dx="15" fmlaLink="PedBerMedIV!$J$7" max="1000" page="10" val="0"/>
</file>

<file path=xl/ctrlProps/ctrlProp282.xml><?xml version="1.0" encoding="utf-8"?>
<formControlPr xmlns="http://schemas.microsoft.com/office/spreadsheetml/2009/9/main" objectType="Spin" dx="15" fmlaLink="PedBerMedIV!$J$8" max="1000" page="10" val="0"/>
</file>

<file path=xl/ctrlProps/ctrlProp283.xml><?xml version="1.0" encoding="utf-8"?>
<formControlPr xmlns="http://schemas.microsoft.com/office/spreadsheetml/2009/9/main" objectType="Spin" dx="15" fmlaLink="PedBerMedIV!$J$9" max="1000" page="10" val="0"/>
</file>

<file path=xl/ctrlProps/ctrlProp284.xml><?xml version="1.0" encoding="utf-8"?>
<formControlPr xmlns="http://schemas.microsoft.com/office/spreadsheetml/2009/9/main" objectType="Spin" dx="15" fmlaLink="PedBerMedIV!$J$10" max="1000" page="10" val="0"/>
</file>

<file path=xl/ctrlProps/ctrlProp285.xml><?xml version="1.0" encoding="utf-8"?>
<formControlPr xmlns="http://schemas.microsoft.com/office/spreadsheetml/2009/9/main" objectType="Spin" dx="15" fmlaLink="PedBerMedIV!$J$11" max="1000" page="10" val="0"/>
</file>

<file path=xl/ctrlProps/ctrlProp286.xml><?xml version="1.0" encoding="utf-8"?>
<formControlPr xmlns="http://schemas.microsoft.com/office/spreadsheetml/2009/9/main" objectType="Spin" dx="15" fmlaLink="PedBerMedIV!$J$12" max="1000" page="10" val="0"/>
</file>

<file path=xl/ctrlProps/ctrlProp287.xml><?xml version="1.0" encoding="utf-8"?>
<formControlPr xmlns="http://schemas.microsoft.com/office/spreadsheetml/2009/9/main" objectType="Spin" dx="15" fmlaLink="PatDetails!$B$7" max="200" min="25" page="10" val="80"/>
</file>

<file path=xl/ctrlProps/ctrlProp288.xml><?xml version="1.0" encoding="utf-8"?>
<formControlPr xmlns="http://schemas.microsoft.com/office/spreadsheetml/2009/9/main" objectType="Spin" dx="15" fmlaLink="PedBerMedIV!$E$4" max="1000" page="10" val="0"/>
</file>

<file path=xl/ctrlProps/ctrlProp289.xml><?xml version="1.0" encoding="utf-8"?>
<formControlPr xmlns="http://schemas.microsoft.com/office/spreadsheetml/2009/9/main" objectType="Spin" dx="15" fmlaLink="PedBerMedIV!$E$5" max="1000" page="10" val="0"/>
</file>

<file path=xl/ctrlProps/ctrlProp290.xml><?xml version="1.0" encoding="utf-8"?>
<formControlPr xmlns="http://schemas.microsoft.com/office/spreadsheetml/2009/9/main" objectType="Spin" dx="15" fmlaLink="PedBerMedIV!$E$6" max="1000" page="10" val="0"/>
</file>

<file path=xl/ctrlProps/ctrlProp291.xml><?xml version="1.0" encoding="utf-8"?>
<formControlPr xmlns="http://schemas.microsoft.com/office/spreadsheetml/2009/9/main" objectType="Spin" dx="15" fmlaLink="PedBerMedIV!$E$7" max="1000" page="10" val="0"/>
</file>

<file path=xl/ctrlProps/ctrlProp292.xml><?xml version="1.0" encoding="utf-8"?>
<formControlPr xmlns="http://schemas.microsoft.com/office/spreadsheetml/2009/9/main" objectType="Spin" dx="15" fmlaLink="PedBerMedIV!$E$8" max="1000" page="10" val="0"/>
</file>

<file path=xl/ctrlProps/ctrlProp293.xml><?xml version="1.0" encoding="utf-8"?>
<formControlPr xmlns="http://schemas.microsoft.com/office/spreadsheetml/2009/9/main" objectType="Spin" dx="15" fmlaLink="PedBerMedIV!$E$9" max="1000" page="10" val="0"/>
</file>

<file path=xl/ctrlProps/ctrlProp294.xml><?xml version="1.0" encoding="utf-8"?>
<formControlPr xmlns="http://schemas.microsoft.com/office/spreadsheetml/2009/9/main" objectType="Spin" dx="15" fmlaLink="PedBerMedIV!$E$10" max="1000" page="10" val="0"/>
</file>

<file path=xl/ctrlProps/ctrlProp295.xml><?xml version="1.0" encoding="utf-8"?>
<formControlPr xmlns="http://schemas.microsoft.com/office/spreadsheetml/2009/9/main" objectType="Spin" dx="15" fmlaLink="PedBerMedIV!$E$11" max="1000" page="10" val="0"/>
</file>

<file path=xl/ctrlProps/ctrlProp296.xml><?xml version="1.0" encoding="utf-8"?>
<formControlPr xmlns="http://schemas.microsoft.com/office/spreadsheetml/2009/9/main" objectType="Spin" dx="15" fmlaLink="PedBerMedIV!$E$12" max="1000" page="10" val="0"/>
</file>

<file path=xl/ctrlProps/ctrlProp297.xml><?xml version="1.0" encoding="utf-8"?>
<formControlPr xmlns="http://schemas.microsoft.com/office/spreadsheetml/2009/9/main" objectType="Spin" dx="15" fmlaLink="PedBerMedIV!$D$6" max="1000" page="10" val="0"/>
</file>

<file path=xl/ctrlProps/ctrlProp298.xml><?xml version="1.0" encoding="utf-8"?>
<formControlPr xmlns="http://schemas.microsoft.com/office/spreadsheetml/2009/9/main" objectType="Spin" dx="15" fmlaLink="PedBerMedIV!$D$7" max="1000" page="10" val="0"/>
</file>

<file path=xl/ctrlProps/ctrlProp299.xml><?xml version="1.0" encoding="utf-8"?>
<formControlPr xmlns="http://schemas.microsoft.com/office/spreadsheetml/2009/9/main" objectType="Spin" dx="15" fmlaLink="PedBerMedIV!$D$8" max="1000" page="10" val="0"/>
</file>

<file path=xl/ctrlProps/ctrlProp300.xml><?xml version="1.0" encoding="utf-8"?>
<formControlPr xmlns="http://schemas.microsoft.com/office/spreadsheetml/2009/9/main" objectType="Spin" dx="15" fmlaLink="PedBerMedIV!$D$9" max="1000" page="10" val="0"/>
</file>

<file path=xl/ctrlProps/ctrlProp301.xml><?xml version="1.0" encoding="utf-8"?>
<formControlPr xmlns="http://schemas.microsoft.com/office/spreadsheetml/2009/9/main" objectType="Spin" dx="15" fmlaLink="PedBerMedIV!$D$10" max="1000" page="10" val="0"/>
</file>

<file path=xl/ctrlProps/ctrlProp302.xml><?xml version="1.0" encoding="utf-8"?>
<formControlPr xmlns="http://schemas.microsoft.com/office/spreadsheetml/2009/9/main" objectType="Spin" dx="15" fmlaLink="PedBerMedIV!$D$11" max="1000" page="10" val="0"/>
</file>

<file path=xl/ctrlProps/ctrlProp303.xml><?xml version="1.0" encoding="utf-8"?>
<formControlPr xmlns="http://schemas.microsoft.com/office/spreadsheetml/2009/9/main" objectType="Spin" dx="15" fmlaLink="PedBerMedIV!$D$12" max="1000" page="10" val="0"/>
</file>

<file path=xl/ctrlProps/ctrlProp304.xml><?xml version="1.0" encoding="utf-8"?>
<formControlPr xmlns="http://schemas.microsoft.com/office/spreadsheetml/2009/9/main" objectType="Spin" dx="15" fmlaLink="PedBerMedIV!$E$3" max="1000" page="10" val="0"/>
</file>

<file path=xl/ctrlProps/ctrlProp305.xml><?xml version="1.0" encoding="utf-8"?>
<formControlPr xmlns="http://schemas.microsoft.com/office/spreadsheetml/2009/9/main" objectType="Spin" dx="15" fmlaLink="PedBerMedIV!$D$3" max="1000" page="10" val="0"/>
</file>

<file path=xl/ctrlProps/ctrlProp306.xml><?xml version="1.0" encoding="utf-8"?>
<formControlPr xmlns="http://schemas.microsoft.com/office/spreadsheetml/2009/9/main" objectType="Spin" dx="15" fmlaLink="PedBerMedIV!$J$3" max="1000" page="10" val="0"/>
</file>

<file path=xl/ctrlProps/ctrlProp307.xml><?xml version="1.0" encoding="utf-8"?>
<formControlPr xmlns="http://schemas.microsoft.com/office/spreadsheetml/2009/9/main" objectType="Spin" dx="15" fmlaLink="PedBerMedIV!$D$4" max="1000" page="10" val="0"/>
</file>

<file path=xl/ctrlProps/ctrlProp308.xml><?xml version="1.0" encoding="utf-8"?>
<formControlPr xmlns="http://schemas.microsoft.com/office/spreadsheetml/2009/9/main" objectType="Spin" dx="15" fmlaLink="PedBerMedIV!$D$5" max="1000" page="10" val="0"/>
</file>

<file path=xl/ctrlProps/ctrlProp309.xml><?xml version="1.0" encoding="utf-8"?>
<formControlPr xmlns="http://schemas.microsoft.com/office/spreadsheetml/2009/9/main" objectType="Drop" dropStyle="combo" dx="16" fmlaLink="PedBerIVenPM!$B$2" fmlaRange="tblInfusen" sel="1" val="0"/>
</file>

<file path=xl/ctrlProps/ctrlProp310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11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12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13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14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15.xml><?xml version="1.0" encoding="utf-8"?>
<formControlPr xmlns="http://schemas.microsoft.com/office/spreadsheetml/2009/9/main" objectType="Spin" dx="15" fmlaLink="PatDetails!$B$7" max="200" min="25" page="10" val="80"/>
</file>

<file path=xl/ctrlProps/ctrlProp316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17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18.xml><?xml version="1.0" encoding="utf-8"?>
<formControlPr xmlns="http://schemas.microsoft.com/office/spreadsheetml/2009/9/main" objectType="Spin" dx="15" fmlaLink="PedBerIVenPM!$G$1" max="200" min="30" page="10" val="30"/>
</file>

<file path=xl/ctrlProps/ctrlProp319.xml><?xml version="1.0" encoding="utf-8"?>
<formControlPr xmlns="http://schemas.microsoft.com/office/spreadsheetml/2009/9/main" objectType="Spin" dx="15" fmlaLink="PedBerIVenPM!$G$2" max="180" min="1" page="10"/>
</file>

<file path=xl/ctrlProps/ctrlProp320.xml><?xml version="1.0" encoding="utf-8"?>
<formControlPr xmlns="http://schemas.microsoft.com/office/spreadsheetml/2009/9/main" objectType="Spin" dx="15" fmlaLink="PedBerIVenPM!$G$3" max="180" min="1" page="10"/>
</file>

<file path=xl/ctrlProps/ctrlProp321.xml><?xml version="1.0" encoding="utf-8"?>
<formControlPr xmlns="http://schemas.microsoft.com/office/spreadsheetml/2009/9/main" objectType="Spin" dx="15" fmlaLink="PedBerIVenPM!$G$4" max="250" min="20" page="10" val="20"/>
</file>

<file path=xl/ctrlProps/ctrlProp322.xml><?xml version="1.0" encoding="utf-8"?>
<formControlPr xmlns="http://schemas.microsoft.com/office/spreadsheetml/2009/9/main" objectType="Spin" dx="15" fmlaLink="PedBerIVenPM!$G$5" max="200" min="2" page="10" val="2"/>
</file>

<file path=xl/ctrlProps/ctrlProp323.xml><?xml version="1.0" encoding="utf-8"?>
<formControlPr xmlns="http://schemas.microsoft.com/office/spreadsheetml/2009/9/main" objectType="Spin" dx="15" fmlaLink="PedBerIVenPM!$G$6" max="200" min="10" page="10" val="10"/>
</file>

<file path=xl/ctrlProps/ctrlProp324.xml><?xml version="1.0" encoding="utf-8"?>
<formControlPr xmlns="http://schemas.microsoft.com/office/spreadsheetml/2009/9/main" objectType="Spin" dx="15" fmlaLink="PedBerEnt!$J$2" max="24" min="1" page="10"/>
</file>

<file path=xl/ctrlProps/ctrlProp325.xml><?xml version="1.0" encoding="utf-8"?>
<formControlPr xmlns="http://schemas.microsoft.com/office/spreadsheetml/2009/9/main" objectType="Spin" dx="15" fmlaLink="PedBerEnt!$K$2" max="10000" min="1" page="10"/>
</file>

<file path=xl/ctrlProps/ctrlProp326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27.xml><?xml version="1.0" encoding="utf-8"?>
<formControlPr xmlns="http://schemas.microsoft.com/office/spreadsheetml/2009/9/main" objectType="Spin" dx="15" fmlaLink="PedBerTPN!$D$3" max="300" page="10" val="0"/>
</file>

<file path=xl/ctrlProps/ctrlProp328.xml><?xml version="1.0" encoding="utf-8"?>
<formControlPr xmlns="http://schemas.microsoft.com/office/spreadsheetml/2009/9/main" objectType="Spin" dx="15" fmlaLink="PedBerTPN!$E$7" max="5000" min="1" page="10"/>
</file>

<file path=xl/ctrlProps/ctrlProp329.xml><?xml version="1.0" encoding="utf-8"?>
<formControlPr xmlns="http://schemas.microsoft.com/office/spreadsheetml/2009/9/main" objectType="Spin" dx="15" fmlaLink="PedBerTPN!$E$8" max="5000" min="1" page="10"/>
</file>

<file path=xl/ctrlProps/ctrlProp330.xml><?xml version="1.0" encoding="utf-8"?>
<formControlPr xmlns="http://schemas.microsoft.com/office/spreadsheetml/2009/9/main" objectType="Spin" dx="15" fmlaLink="PedBerTPN!$E$9" max="5000" min="1" page="10"/>
</file>

<file path=xl/ctrlProps/ctrlProp331.xml><?xml version="1.0" encoding="utf-8"?>
<formControlPr xmlns="http://schemas.microsoft.com/office/spreadsheetml/2009/9/main" objectType="CheckBox" fmlaLink="PedBerTPN!$C$7" lockText="1"/>
</file>

<file path=xl/ctrlProps/ctrlProp332.xml><?xml version="1.0" encoding="utf-8"?>
<formControlPr xmlns="http://schemas.microsoft.com/office/spreadsheetml/2009/9/main" objectType="CheckBox" fmlaLink="PedBerTPN!$C$8" lockText="1"/>
</file>

<file path=xl/ctrlProps/ctrlProp333.xml><?xml version="1.0" encoding="utf-8"?>
<formControlPr xmlns="http://schemas.microsoft.com/office/spreadsheetml/2009/9/main" objectType="CheckBox" fmlaLink="PedBerTPN!$C$9" lockText="1"/>
</file>

<file path=xl/ctrlProps/ctrlProp334.xml><?xml version="1.0" encoding="utf-8"?>
<formControlPr xmlns="http://schemas.microsoft.com/office/spreadsheetml/2009/9/main" objectType="Spin" dx="15" fmlaLink="PedBerTPN!$D$12" max="200" page="10" val="0"/>
</file>

<file path=xl/ctrlProps/ctrlProp335.xml><?xml version="1.0" encoding="utf-8"?>
<formControlPr xmlns="http://schemas.microsoft.com/office/spreadsheetml/2009/9/main" objectType="CheckBox" fmlaLink="PedBerTPN!$C$14" lockText="1"/>
</file>

<file path=xl/ctrlProps/ctrlProp336.xml><?xml version="1.0" encoding="utf-8"?>
<formControlPr xmlns="http://schemas.microsoft.com/office/spreadsheetml/2009/9/main" objectType="CheckBox" fmlaLink="PedBerTPN!$C$15" lockText="1"/>
</file>

<file path=xl/ctrlProps/ctrlProp337.xml><?xml version="1.0" encoding="utf-8"?>
<formControlPr xmlns="http://schemas.microsoft.com/office/spreadsheetml/2009/9/main" objectType="Spin" dx="15" fmlaLink="PedBerTPN!$E$14" max="55" min="1" page="10"/>
</file>

<file path=xl/ctrlProps/ctrlProp338.xml><?xml version="1.0" encoding="utf-8"?>
<formControlPr xmlns="http://schemas.microsoft.com/office/spreadsheetml/2009/9/main" objectType="Spin" dx="15" fmlaLink="PedBerTPN!$E$15" max="55" min="1" page="10"/>
</file>

<file path=xl/ctrlProps/ctrlProp339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40.xml><?xml version="1.0" encoding="utf-8"?>
<formControlPr xmlns="http://schemas.microsoft.com/office/spreadsheetml/2009/9/main" objectType="CheckBox" fmlaLink="PedBerTPN!$C$10" lockText="1"/>
</file>

<file path=xl/ctrlProps/ctrlProp341.xml><?xml version="1.0" encoding="utf-8"?>
<formControlPr xmlns="http://schemas.microsoft.com/office/spreadsheetml/2009/9/main" objectType="CheckBox" fmlaLink="PedBerTPN!$C$11" lockText="1"/>
</file>

<file path=xl/ctrlProps/ctrlProp342.xml><?xml version="1.0" encoding="utf-8"?>
<formControlPr xmlns="http://schemas.microsoft.com/office/spreadsheetml/2009/9/main" objectType="Spin" dx="15" fmlaLink="PedBerTPN!$E$10" max="5000" min="1" page="10"/>
</file>

<file path=xl/ctrlProps/ctrlProp343.xml><?xml version="1.0" encoding="utf-8"?>
<formControlPr xmlns="http://schemas.microsoft.com/office/spreadsheetml/2009/9/main" objectType="Spin" dx="15" fmlaLink="PedBerTPN!$E$11" max="200" min="1" page="10"/>
</file>

<file path=xl/ctrlProps/ctrlProp344.xml><?xml version="1.0" encoding="utf-8"?>
<formControlPr xmlns="http://schemas.microsoft.com/office/spreadsheetml/2009/9/main" objectType="Drop" dropStyle="combo" dx="16" fmlaLink="PedBerTPN!$B$4" fmlaRange="tblTPN" sel="1" val="0"/>
</file>

<file path=xl/ctrlProps/ctrlProp345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46.xml><?xml version="1.0" encoding="utf-8"?>
<formControlPr xmlns="http://schemas.microsoft.com/office/spreadsheetml/2009/9/main" objectType="Spin" dx="15" fmlaLink="PedBerTPN!$E$4" max="4000" page="10" val="0"/>
</file>

<file path=xl/ctrlProps/ctrlProp347.xml><?xml version="1.0" encoding="utf-8"?>
<formControlPr xmlns="http://schemas.microsoft.com/office/spreadsheetml/2009/9/main" objectType="Spin" dx="15" fmlaLink="PedBerEnt!$J$3" max="12" min="1" page="10"/>
</file>

<file path=xl/ctrlProps/ctrlProp348.xml><?xml version="1.0" encoding="utf-8"?>
<formControlPr xmlns="http://schemas.microsoft.com/office/spreadsheetml/2009/9/main" objectType="Spin" dx="15" fmlaLink="PedBerEnt!$K$3" max="100" page="10" val="0"/>
</file>

<file path=xl/ctrlProps/ctrlProp349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50.xml><?xml version="1.0" encoding="utf-8"?>
<formControlPr xmlns="http://schemas.microsoft.com/office/spreadsheetml/2009/9/main" objectType="Spin" dx="15" fmlaLink="PedBerTPN!$E$5" max="15" page="10" val="0"/>
</file>

<file path=xl/ctrlProps/ctrlProp351.xml><?xml version="1.0" encoding="utf-8"?>
<formControlPr xmlns="http://schemas.microsoft.com/office/spreadsheetml/2009/9/main" objectType="Spin" dx="15" fmlaLink="PedBerEnt!$J$4" max="12" min="1" page="10"/>
</file>

<file path=xl/ctrlProps/ctrlProp352.xml><?xml version="1.0" encoding="utf-8"?>
<formControlPr xmlns="http://schemas.microsoft.com/office/spreadsheetml/2009/9/main" objectType="Spin" dx="15" fmlaLink="PedBerEnt!$K$4" max="100" page="10" val="0"/>
</file>

<file path=xl/ctrlProps/ctrlProp353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54.xml><?xml version="1.0" encoding="utf-8"?>
<formControlPr xmlns="http://schemas.microsoft.com/office/spreadsheetml/2009/9/main" objectType="Spin" dx="15" fmlaLink="PedBerEnt!$J$5" max="12" min="1" page="10"/>
</file>

<file path=xl/ctrlProps/ctrlProp355.xml><?xml version="1.0" encoding="utf-8"?>
<formControlPr xmlns="http://schemas.microsoft.com/office/spreadsheetml/2009/9/main" objectType="Spin" dx="15" fmlaLink="PedBerEnt!$K$5" max="100" page="10" val="0"/>
</file>

<file path=xl/ctrlProps/ctrlProp356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57.xml><?xml version="1.0" encoding="utf-8"?>
<formControlPr xmlns="http://schemas.microsoft.com/office/spreadsheetml/2009/9/main" objectType="Spin" dx="15" fmlaLink="PedBerTPN!$D$19" max="200" page="10" val="0"/>
</file>

<file path=xl/ctrlProps/ctrlProp358.xml><?xml version="1.0" encoding="utf-8"?>
<formControlPr xmlns="http://schemas.microsoft.com/office/spreadsheetml/2009/9/main" objectType="Spin" dx="15" fmlaLink="PedBerTPN!$E$21" max="1000" min="1" page="10"/>
</file>

<file path=xl/ctrlProps/ctrlProp359.xml><?xml version="1.0" encoding="utf-8"?>
<formControlPr xmlns="http://schemas.microsoft.com/office/spreadsheetml/2009/9/main" objectType="Spin" dx="15" fmlaLink="PedBerTPN!$E$22" max="200" min="1" page="10"/>
</file>

<file path=xl/ctrlProps/ctrlProp360.xml><?xml version="1.0" encoding="utf-8"?>
<formControlPr xmlns="http://schemas.microsoft.com/office/spreadsheetml/2009/9/main" objectType="CheckBox" fmlaLink="PedBerTPN!$C$21" lockText="1"/>
</file>

<file path=xl/ctrlProps/ctrlProp361.xml><?xml version="1.0" encoding="utf-8"?>
<formControlPr xmlns="http://schemas.microsoft.com/office/spreadsheetml/2009/9/main" objectType="CheckBox" fmlaLink="PedBerTPN!$C$22" lockText="1"/>
</file>

<file path=xl/ctrlProps/ctrlProp362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63.xml><?xml version="1.0" encoding="utf-8"?>
<formControlPr xmlns="http://schemas.microsoft.com/office/spreadsheetml/2009/9/main" objectType="Spin" dx="15" fmlaLink="PatDetails!$B$7" max="200" min="25" page="10" val="80"/>
</file>

<file path=xl/ctrlProps/ctrlProp364.xml><?xml version="1.0" encoding="utf-8"?>
<formControlPr xmlns="http://schemas.microsoft.com/office/spreadsheetml/2009/9/main" objectType="CheckBox" fmlaLink="PedBerTPN!$C$15" lockText="1"/>
</file>

<file path=xl/ctrlProps/ctrlProp365.xml><?xml version="1.0" encoding="utf-8"?>
<formControlPr xmlns="http://schemas.microsoft.com/office/spreadsheetml/2009/9/main" objectType="CheckBox" fmlaLink="PedBerLab!$C$4" lockText="1"/>
</file>

<file path=xl/ctrlProps/ctrlProp366.xml><?xml version="1.0" encoding="utf-8"?>
<formControlPr xmlns="http://schemas.microsoft.com/office/spreadsheetml/2009/9/main" objectType="CheckBox" fmlaLink="PedBerLab!C5" lockText="1"/>
</file>

<file path=xl/ctrlProps/ctrlProp367.xml><?xml version="1.0" encoding="utf-8"?>
<formControlPr xmlns="http://schemas.microsoft.com/office/spreadsheetml/2009/9/main" objectType="CheckBox" fmlaLink="PedBerLab!C7" lockText="1"/>
</file>

<file path=xl/ctrlProps/ctrlProp368.xml><?xml version="1.0" encoding="utf-8"?>
<formControlPr xmlns="http://schemas.microsoft.com/office/spreadsheetml/2009/9/main" objectType="CheckBox" fmlaLink="PedBerLab!C8" lockText="1"/>
</file>

<file path=xl/ctrlProps/ctrlProp369.xml><?xml version="1.0" encoding="utf-8"?>
<formControlPr xmlns="http://schemas.microsoft.com/office/spreadsheetml/2009/9/main" objectType="CheckBox" fmlaLink="PedBerLab!C13" lockText="1"/>
</file>

<file path=xl/ctrlProps/ctrlProp370.xml><?xml version="1.0" encoding="utf-8"?>
<formControlPr xmlns="http://schemas.microsoft.com/office/spreadsheetml/2009/9/main" objectType="CheckBox" fmlaLink="PedBerLab!C12" lockText="1"/>
</file>

<file path=xl/ctrlProps/ctrlProp371.xml><?xml version="1.0" encoding="utf-8"?>
<formControlPr xmlns="http://schemas.microsoft.com/office/spreadsheetml/2009/9/main" objectType="CheckBox" fmlaLink="PedBerLab!C30" lockText="1"/>
</file>

<file path=xl/ctrlProps/ctrlProp372.xml><?xml version="1.0" encoding="utf-8"?>
<formControlPr xmlns="http://schemas.microsoft.com/office/spreadsheetml/2009/9/main" objectType="CheckBox" fmlaLink="PedBerLab!C15" lockText="1"/>
</file>

<file path=xl/ctrlProps/ctrlProp373.xml><?xml version="1.0" encoding="utf-8"?>
<formControlPr xmlns="http://schemas.microsoft.com/office/spreadsheetml/2009/9/main" objectType="CheckBox" fmlaLink="PedBerLab!C18" lockText="1"/>
</file>

<file path=xl/ctrlProps/ctrlProp374.xml><?xml version="1.0" encoding="utf-8"?>
<formControlPr xmlns="http://schemas.microsoft.com/office/spreadsheetml/2009/9/main" objectType="CheckBox" fmlaLink="PedBerLab!C19" lockText="1"/>
</file>

<file path=xl/ctrlProps/ctrlProp375.xml><?xml version="1.0" encoding="utf-8"?>
<formControlPr xmlns="http://schemas.microsoft.com/office/spreadsheetml/2009/9/main" objectType="CheckBox" fmlaLink="PedBerLab!C20" lockText="1"/>
</file>

<file path=xl/ctrlProps/ctrlProp376.xml><?xml version="1.0" encoding="utf-8"?>
<formControlPr xmlns="http://schemas.microsoft.com/office/spreadsheetml/2009/9/main" objectType="CheckBox" fmlaLink="PedBerLab!C11" lockText="1"/>
</file>

<file path=xl/ctrlProps/ctrlProp377.xml><?xml version="1.0" encoding="utf-8"?>
<formControlPr xmlns="http://schemas.microsoft.com/office/spreadsheetml/2009/9/main" objectType="CheckBox" fmlaLink="PedBerLab!$C$28" lockText="1"/>
</file>

<file path=xl/ctrlProps/ctrlProp378.xml><?xml version="1.0" encoding="utf-8"?>
<formControlPr xmlns="http://schemas.microsoft.com/office/spreadsheetml/2009/9/main" objectType="CheckBox" fmlaLink="PedBerLab!$G$4" lockText="1"/>
</file>

<file path=xl/ctrlProps/ctrlProp379.xml><?xml version="1.0" encoding="utf-8"?>
<formControlPr xmlns="http://schemas.microsoft.com/office/spreadsheetml/2009/9/main" objectType="CheckBox" fmlaLink="PedBerLab!$G$5" lockText="1"/>
</file>

<file path=xl/ctrlProps/ctrlProp380.xml><?xml version="1.0" encoding="utf-8"?>
<formControlPr xmlns="http://schemas.microsoft.com/office/spreadsheetml/2009/9/main" objectType="CheckBox" fmlaLink="PedBerLab!$G$7" lockText="1"/>
</file>

<file path=xl/ctrlProps/ctrlProp381.xml><?xml version="1.0" encoding="utf-8"?>
<formControlPr xmlns="http://schemas.microsoft.com/office/spreadsheetml/2009/9/main" objectType="CheckBox" fmlaLink="PedBerLab!$G$8" lockText="1"/>
</file>

<file path=xl/ctrlProps/ctrlProp382.xml><?xml version="1.0" encoding="utf-8"?>
<formControlPr xmlns="http://schemas.microsoft.com/office/spreadsheetml/2009/9/main" objectType="CheckBox" fmlaLink="PedBerLab!$G$13" lockText="1"/>
</file>

<file path=xl/ctrlProps/ctrlProp383.xml><?xml version="1.0" encoding="utf-8"?>
<formControlPr xmlns="http://schemas.microsoft.com/office/spreadsheetml/2009/9/main" objectType="CheckBox" fmlaLink="PedBerLab!$G$12" lockText="1"/>
</file>

<file path=xl/ctrlProps/ctrlProp384.xml><?xml version="1.0" encoding="utf-8"?>
<formControlPr xmlns="http://schemas.microsoft.com/office/spreadsheetml/2009/9/main" objectType="CheckBox" fmlaLink="PedBerLab!$G$30" lockText="1"/>
</file>

<file path=xl/ctrlProps/ctrlProp385.xml><?xml version="1.0" encoding="utf-8"?>
<formControlPr xmlns="http://schemas.microsoft.com/office/spreadsheetml/2009/9/main" objectType="CheckBox" fmlaLink="PedBerLab!$G$15" lockText="1"/>
</file>

<file path=xl/ctrlProps/ctrlProp386.xml><?xml version="1.0" encoding="utf-8"?>
<formControlPr xmlns="http://schemas.microsoft.com/office/spreadsheetml/2009/9/main" objectType="CheckBox" fmlaLink="PedBerLab!$G$18" lockText="1"/>
</file>

<file path=xl/ctrlProps/ctrlProp387.xml><?xml version="1.0" encoding="utf-8"?>
<formControlPr xmlns="http://schemas.microsoft.com/office/spreadsheetml/2009/9/main" objectType="CheckBox" fmlaLink="PedBerLab!$G$19" lockText="1"/>
</file>

<file path=xl/ctrlProps/ctrlProp388.xml><?xml version="1.0" encoding="utf-8"?>
<formControlPr xmlns="http://schemas.microsoft.com/office/spreadsheetml/2009/9/main" objectType="CheckBox" fmlaLink="PedBerLab!$G$20" lockText="1"/>
</file>

<file path=xl/ctrlProps/ctrlProp389.xml><?xml version="1.0" encoding="utf-8"?>
<formControlPr xmlns="http://schemas.microsoft.com/office/spreadsheetml/2009/9/main" objectType="CheckBox" fmlaLink="PedBerLab!$G$11" lockText="1"/>
</file>

<file path=xl/ctrlProps/ctrlProp390.xml><?xml version="1.0" encoding="utf-8"?>
<formControlPr xmlns="http://schemas.microsoft.com/office/spreadsheetml/2009/9/main" objectType="CheckBox" fmlaLink="PedBerLab!$G$28" lockText="1"/>
</file>

<file path=xl/ctrlProps/ctrlProp391.xml><?xml version="1.0" encoding="utf-8"?>
<formControlPr xmlns="http://schemas.microsoft.com/office/spreadsheetml/2009/9/main" objectType="CheckBox" fmlaLink="PedBerLab!$I$4" lockText="1"/>
</file>

<file path=xl/ctrlProps/ctrlProp392.xml><?xml version="1.0" encoding="utf-8"?>
<formControlPr xmlns="http://schemas.microsoft.com/office/spreadsheetml/2009/9/main" objectType="CheckBox" fmlaLink="PedBerLab!$I$5" lockText="1"/>
</file>

<file path=xl/ctrlProps/ctrlProp393.xml><?xml version="1.0" encoding="utf-8"?>
<formControlPr xmlns="http://schemas.microsoft.com/office/spreadsheetml/2009/9/main" objectType="CheckBox" fmlaLink="PedBerLab!$I$7" lockText="1"/>
</file>

<file path=xl/ctrlProps/ctrlProp394.xml><?xml version="1.0" encoding="utf-8"?>
<formControlPr xmlns="http://schemas.microsoft.com/office/spreadsheetml/2009/9/main" objectType="CheckBox" fmlaLink="PedBerLab!$I$8" lockText="1"/>
</file>

<file path=xl/ctrlProps/ctrlProp395.xml><?xml version="1.0" encoding="utf-8"?>
<formControlPr xmlns="http://schemas.microsoft.com/office/spreadsheetml/2009/9/main" objectType="CheckBox" fmlaLink="PedBerLab!$I$13" lockText="1"/>
</file>

<file path=xl/ctrlProps/ctrlProp396.xml><?xml version="1.0" encoding="utf-8"?>
<formControlPr xmlns="http://schemas.microsoft.com/office/spreadsheetml/2009/9/main" objectType="CheckBox" fmlaLink="PedBerLab!$I$12" lockText="1"/>
</file>

<file path=xl/ctrlProps/ctrlProp397.xml><?xml version="1.0" encoding="utf-8"?>
<formControlPr xmlns="http://schemas.microsoft.com/office/spreadsheetml/2009/9/main" objectType="CheckBox" fmlaLink="PedBerLab!$I$30" lockText="1"/>
</file>

<file path=xl/ctrlProps/ctrlProp398.xml><?xml version="1.0" encoding="utf-8"?>
<formControlPr xmlns="http://schemas.microsoft.com/office/spreadsheetml/2009/9/main" objectType="CheckBox" fmlaLink="PedBerLab!$I$15" lockText="1"/>
</file>

<file path=xl/ctrlProps/ctrlProp399.xml><?xml version="1.0" encoding="utf-8"?>
<formControlPr xmlns="http://schemas.microsoft.com/office/spreadsheetml/2009/9/main" objectType="CheckBox" fmlaLink="PedBerLab!$I$18" lockText="1"/>
</file>

<file path=xl/ctrlProps/ctrlProp400.xml><?xml version="1.0" encoding="utf-8"?>
<formControlPr xmlns="http://schemas.microsoft.com/office/spreadsheetml/2009/9/main" objectType="CheckBox" fmlaLink="PedBerLab!$I$19" lockText="1"/>
</file>

<file path=xl/ctrlProps/ctrlProp401.xml><?xml version="1.0" encoding="utf-8"?>
<formControlPr xmlns="http://schemas.microsoft.com/office/spreadsheetml/2009/9/main" objectType="CheckBox" fmlaLink="PedBerLab!$I$20" lockText="1"/>
</file>

<file path=xl/ctrlProps/ctrlProp402.xml><?xml version="1.0" encoding="utf-8"?>
<formControlPr xmlns="http://schemas.microsoft.com/office/spreadsheetml/2009/9/main" objectType="CheckBox" fmlaLink="PedBerLab!$I$11" lockText="1"/>
</file>

<file path=xl/ctrlProps/ctrlProp403.xml><?xml version="1.0" encoding="utf-8"?>
<formControlPr xmlns="http://schemas.microsoft.com/office/spreadsheetml/2009/9/main" objectType="CheckBox" fmlaLink="PedBerLab!$I$28" lockText="1"/>
</file>

<file path=xl/ctrlProps/ctrlProp404.xml><?xml version="1.0" encoding="utf-8"?>
<formControlPr xmlns="http://schemas.microsoft.com/office/spreadsheetml/2009/9/main" objectType="CheckBox" fmlaLink="PedBerLab!$L$4" lockText="1"/>
</file>

<file path=xl/ctrlProps/ctrlProp405.xml><?xml version="1.0" encoding="utf-8"?>
<formControlPr xmlns="http://schemas.microsoft.com/office/spreadsheetml/2009/9/main" objectType="CheckBox" fmlaLink="PedBerLab!$L$5" lockText="1"/>
</file>

<file path=xl/ctrlProps/ctrlProp406.xml><?xml version="1.0" encoding="utf-8"?>
<formControlPr xmlns="http://schemas.microsoft.com/office/spreadsheetml/2009/9/main" objectType="CheckBox" fmlaLink="PedBerLab!$L$7" lockText="1"/>
</file>

<file path=xl/ctrlProps/ctrlProp407.xml><?xml version="1.0" encoding="utf-8"?>
<formControlPr xmlns="http://schemas.microsoft.com/office/spreadsheetml/2009/9/main" objectType="CheckBox" fmlaLink="PedBerLab!$L$8" lockText="1"/>
</file>

<file path=xl/ctrlProps/ctrlProp408.xml><?xml version="1.0" encoding="utf-8"?>
<formControlPr xmlns="http://schemas.microsoft.com/office/spreadsheetml/2009/9/main" objectType="CheckBox" fmlaLink="PedBerLab!$L$13" lockText="1"/>
</file>

<file path=xl/ctrlProps/ctrlProp409.xml><?xml version="1.0" encoding="utf-8"?>
<formControlPr xmlns="http://schemas.microsoft.com/office/spreadsheetml/2009/9/main" objectType="CheckBox" fmlaLink="PedBerLab!$L$12" lockText="1"/>
</file>

<file path=xl/ctrlProps/ctrlProp410.xml><?xml version="1.0" encoding="utf-8"?>
<formControlPr xmlns="http://schemas.microsoft.com/office/spreadsheetml/2009/9/main" objectType="CheckBox" fmlaLink="PedBerLab!$L$30" lockText="1"/>
</file>

<file path=xl/ctrlProps/ctrlProp411.xml><?xml version="1.0" encoding="utf-8"?>
<formControlPr xmlns="http://schemas.microsoft.com/office/spreadsheetml/2009/9/main" objectType="CheckBox" fmlaLink="PedBerLab!$L$15" lockText="1"/>
</file>

<file path=xl/ctrlProps/ctrlProp412.xml><?xml version="1.0" encoding="utf-8"?>
<formControlPr xmlns="http://schemas.microsoft.com/office/spreadsheetml/2009/9/main" objectType="CheckBox" fmlaLink="PedBerLab!$L$18" lockText="1"/>
</file>

<file path=xl/ctrlProps/ctrlProp413.xml><?xml version="1.0" encoding="utf-8"?>
<formControlPr xmlns="http://schemas.microsoft.com/office/spreadsheetml/2009/9/main" objectType="CheckBox" fmlaLink="PedBerLab!$L$19" lockText="1"/>
</file>

<file path=xl/ctrlProps/ctrlProp414.xml><?xml version="1.0" encoding="utf-8"?>
<formControlPr xmlns="http://schemas.microsoft.com/office/spreadsheetml/2009/9/main" objectType="CheckBox" fmlaLink="PedBerLab!$L$20" lockText="1"/>
</file>

<file path=xl/ctrlProps/ctrlProp415.xml><?xml version="1.0" encoding="utf-8"?>
<formControlPr xmlns="http://schemas.microsoft.com/office/spreadsheetml/2009/9/main" objectType="CheckBox" fmlaLink="PedBerLab!$L$11" lockText="1"/>
</file>

<file path=xl/ctrlProps/ctrlProp416.xml><?xml version="1.0" encoding="utf-8"?>
<formControlPr xmlns="http://schemas.microsoft.com/office/spreadsheetml/2009/9/main" objectType="CheckBox" fmlaLink="PedBerLab!$L$28" lockText="1"/>
</file>

<file path=xl/ctrlProps/ctrlProp417.xml><?xml version="1.0" encoding="utf-8"?>
<formControlPr xmlns="http://schemas.microsoft.com/office/spreadsheetml/2009/9/main" objectType="CheckBox" fmlaLink="PedBerLab!$C$27" lockText="1"/>
</file>

<file path=xl/ctrlProps/ctrlProp418.xml><?xml version="1.0" encoding="utf-8"?>
<formControlPr xmlns="http://schemas.microsoft.com/office/spreadsheetml/2009/9/main" objectType="CheckBox" fmlaLink="PedBerLab!$G$27" lockText="1"/>
</file>

<file path=xl/ctrlProps/ctrlProp419.xml><?xml version="1.0" encoding="utf-8"?>
<formControlPr xmlns="http://schemas.microsoft.com/office/spreadsheetml/2009/9/main" objectType="CheckBox" fmlaLink="PedBerLab!$I$27" lockText="1"/>
</file>

<file path=xl/ctrlProps/ctrlProp420.xml><?xml version="1.0" encoding="utf-8"?>
<formControlPr xmlns="http://schemas.microsoft.com/office/spreadsheetml/2009/9/main" objectType="CheckBox" fmlaLink="PedBerLab!$L$27" lockText="1"/>
</file>

<file path=xl/ctrlProps/ctrlProp421.xml><?xml version="1.0" encoding="utf-8"?>
<formControlPr xmlns="http://schemas.microsoft.com/office/spreadsheetml/2009/9/main" objectType="CheckBox" fmlaLink="PedBerLab!C6" lockText="1"/>
</file>

<file path=xl/ctrlProps/ctrlProp422.xml><?xml version="1.0" encoding="utf-8"?>
<formControlPr xmlns="http://schemas.microsoft.com/office/spreadsheetml/2009/9/main" objectType="CheckBox" fmlaLink="PedBerLab!$G$6" lockText="1"/>
</file>

<file path=xl/ctrlProps/ctrlProp423.xml><?xml version="1.0" encoding="utf-8"?>
<formControlPr xmlns="http://schemas.microsoft.com/office/spreadsheetml/2009/9/main" objectType="CheckBox" fmlaLink="PedBerLab!$I$6" lockText="1"/>
</file>

<file path=xl/ctrlProps/ctrlProp424.xml><?xml version="1.0" encoding="utf-8"?>
<formControlPr xmlns="http://schemas.microsoft.com/office/spreadsheetml/2009/9/main" objectType="CheckBox" fmlaLink="PedBerLab!$L$6" lockText="1"/>
</file>

<file path=xl/ctrlProps/ctrlProp425.xml><?xml version="1.0" encoding="utf-8"?>
<formControlPr xmlns="http://schemas.microsoft.com/office/spreadsheetml/2009/9/main" objectType="CheckBox" fmlaLink="PedBerLab!$C$16" lockText="1"/>
</file>

<file path=xl/ctrlProps/ctrlProp426.xml><?xml version="1.0" encoding="utf-8"?>
<formControlPr xmlns="http://schemas.microsoft.com/office/spreadsheetml/2009/9/main" objectType="CheckBox" fmlaLink="PedBerLab!$G$16" lockText="1"/>
</file>

<file path=xl/ctrlProps/ctrlProp427.xml><?xml version="1.0" encoding="utf-8"?>
<formControlPr xmlns="http://schemas.microsoft.com/office/spreadsheetml/2009/9/main" objectType="CheckBox" fmlaLink="PedBerLab!$I$16" lockText="1"/>
</file>

<file path=xl/ctrlProps/ctrlProp428.xml><?xml version="1.0" encoding="utf-8"?>
<formControlPr xmlns="http://schemas.microsoft.com/office/spreadsheetml/2009/9/main" objectType="CheckBox" fmlaLink="PedBerLab!$L$16" lockText="1"/>
</file>

<file path=xl/ctrlProps/ctrlProp429.xml><?xml version="1.0" encoding="utf-8"?>
<formControlPr xmlns="http://schemas.microsoft.com/office/spreadsheetml/2009/9/main" objectType="CheckBox" fmlaLink="PedBerLab!$E$4" lockText="1"/>
</file>

<file path=xl/ctrlProps/ctrlProp430.xml><?xml version="1.0" encoding="utf-8"?>
<formControlPr xmlns="http://schemas.microsoft.com/office/spreadsheetml/2009/9/main" objectType="CheckBox" fmlaLink="PedBerLab!$E$5" lockText="1"/>
</file>

<file path=xl/ctrlProps/ctrlProp431.xml><?xml version="1.0" encoding="utf-8"?>
<formControlPr xmlns="http://schemas.microsoft.com/office/spreadsheetml/2009/9/main" objectType="CheckBox" fmlaLink="PedBerLab!$E$7" lockText="1"/>
</file>

<file path=xl/ctrlProps/ctrlProp432.xml><?xml version="1.0" encoding="utf-8"?>
<formControlPr xmlns="http://schemas.microsoft.com/office/spreadsheetml/2009/9/main" objectType="CheckBox" fmlaLink="PedBerLab!$E$8" lockText="1"/>
</file>

<file path=xl/ctrlProps/ctrlProp433.xml><?xml version="1.0" encoding="utf-8"?>
<formControlPr xmlns="http://schemas.microsoft.com/office/spreadsheetml/2009/9/main" objectType="CheckBox" fmlaLink="PedBerLab!$E$13" lockText="1"/>
</file>

<file path=xl/ctrlProps/ctrlProp434.xml><?xml version="1.0" encoding="utf-8"?>
<formControlPr xmlns="http://schemas.microsoft.com/office/spreadsheetml/2009/9/main" objectType="CheckBox" fmlaLink="PedBerLab!$E$12" lockText="1"/>
</file>

<file path=xl/ctrlProps/ctrlProp435.xml><?xml version="1.0" encoding="utf-8"?>
<formControlPr xmlns="http://schemas.microsoft.com/office/spreadsheetml/2009/9/main" objectType="CheckBox" fmlaLink="PedBerLab!$E$30" lockText="1"/>
</file>

<file path=xl/ctrlProps/ctrlProp436.xml><?xml version="1.0" encoding="utf-8"?>
<formControlPr xmlns="http://schemas.microsoft.com/office/spreadsheetml/2009/9/main" objectType="CheckBox" fmlaLink="PedBerLab!$E$15" lockText="1"/>
</file>

<file path=xl/ctrlProps/ctrlProp437.xml><?xml version="1.0" encoding="utf-8"?>
<formControlPr xmlns="http://schemas.microsoft.com/office/spreadsheetml/2009/9/main" objectType="CheckBox" fmlaLink="PedBerLab!$E$18" lockText="1"/>
</file>

<file path=xl/ctrlProps/ctrlProp438.xml><?xml version="1.0" encoding="utf-8"?>
<formControlPr xmlns="http://schemas.microsoft.com/office/spreadsheetml/2009/9/main" objectType="CheckBox" fmlaLink="PedBerLab!$E$19" lockText="1"/>
</file>

<file path=xl/ctrlProps/ctrlProp439.xml><?xml version="1.0" encoding="utf-8"?>
<formControlPr xmlns="http://schemas.microsoft.com/office/spreadsheetml/2009/9/main" objectType="CheckBox" fmlaLink="PedBerLab!$E$20" lockText="1"/>
</file>

<file path=xl/ctrlProps/ctrlProp440.xml><?xml version="1.0" encoding="utf-8"?>
<formControlPr xmlns="http://schemas.microsoft.com/office/spreadsheetml/2009/9/main" objectType="CheckBox" fmlaLink="PedBerLab!$E$11" lockText="1"/>
</file>

<file path=xl/ctrlProps/ctrlProp441.xml><?xml version="1.0" encoding="utf-8"?>
<formControlPr xmlns="http://schemas.microsoft.com/office/spreadsheetml/2009/9/main" objectType="CheckBox" fmlaLink="PedBerLab!$E$28" lockText="1"/>
</file>

<file path=xl/ctrlProps/ctrlProp442.xml><?xml version="1.0" encoding="utf-8"?>
<formControlPr xmlns="http://schemas.microsoft.com/office/spreadsheetml/2009/9/main" objectType="CheckBox" fmlaLink="PedBerLab!$E$27" lockText="1"/>
</file>

<file path=xl/ctrlProps/ctrlProp443.xml><?xml version="1.0" encoding="utf-8"?>
<formControlPr xmlns="http://schemas.microsoft.com/office/spreadsheetml/2009/9/main" objectType="CheckBox" fmlaLink="PedBerLab!$E$6" lockText="1"/>
</file>

<file path=xl/ctrlProps/ctrlProp444.xml><?xml version="1.0" encoding="utf-8"?>
<formControlPr xmlns="http://schemas.microsoft.com/office/spreadsheetml/2009/9/main" objectType="CheckBox" fmlaLink="PedBerLab!$E$16" lockText="1"/>
</file>

<file path=xl/ctrlProps/ctrlProp445.xml><?xml version="1.0" encoding="utf-8"?>
<formControlPr xmlns="http://schemas.microsoft.com/office/spreadsheetml/2009/9/main" objectType="CheckBox" fmlaLink="PedBerLab!$C$26" lockText="1"/>
</file>

<file path=xl/ctrlProps/ctrlProp446.xml><?xml version="1.0" encoding="utf-8"?>
<formControlPr xmlns="http://schemas.microsoft.com/office/spreadsheetml/2009/9/main" objectType="CheckBox" fmlaLink="PedBerLab!$G$26" lockText="1"/>
</file>

<file path=xl/ctrlProps/ctrlProp447.xml><?xml version="1.0" encoding="utf-8"?>
<formControlPr xmlns="http://schemas.microsoft.com/office/spreadsheetml/2009/9/main" objectType="CheckBox" fmlaLink="PedBerLab!$I$26" lockText="1"/>
</file>

<file path=xl/ctrlProps/ctrlProp448.xml><?xml version="1.0" encoding="utf-8"?>
<formControlPr xmlns="http://schemas.microsoft.com/office/spreadsheetml/2009/9/main" objectType="CheckBox" fmlaLink="PedBerLab!$L$26" lockText="1"/>
</file>

<file path=xl/ctrlProps/ctrlProp449.xml><?xml version="1.0" encoding="utf-8"?>
<formControlPr xmlns="http://schemas.microsoft.com/office/spreadsheetml/2009/9/main" objectType="CheckBox" fmlaLink="PedBerLab!$E$26" lockText="1"/>
</file>

<file path=xl/ctrlProps/ctrlProp450.xml><?xml version="1.0" encoding="utf-8"?>
<formControlPr xmlns="http://schemas.microsoft.com/office/spreadsheetml/2009/9/main" objectType="CheckBox" fmlaLink="PedBerLab!$C$32" lockText="1"/>
</file>

<file path=xl/ctrlProps/ctrlProp451.xml><?xml version="1.0" encoding="utf-8"?>
<formControlPr xmlns="http://schemas.microsoft.com/office/spreadsheetml/2009/9/main" objectType="CheckBox" fmlaLink="PedBerLab!$G$32" lockText="1"/>
</file>

<file path=xl/ctrlProps/ctrlProp452.xml><?xml version="1.0" encoding="utf-8"?>
<formControlPr xmlns="http://schemas.microsoft.com/office/spreadsheetml/2009/9/main" objectType="CheckBox" fmlaLink="PedBerLab!$I$32" lockText="1"/>
</file>

<file path=xl/ctrlProps/ctrlProp453.xml><?xml version="1.0" encoding="utf-8"?>
<formControlPr xmlns="http://schemas.microsoft.com/office/spreadsheetml/2009/9/main" objectType="CheckBox" fmlaLink="PedBerLab!$L$32" lockText="1"/>
</file>

<file path=xl/ctrlProps/ctrlProp454.xml><?xml version="1.0" encoding="utf-8"?>
<formControlPr xmlns="http://schemas.microsoft.com/office/spreadsheetml/2009/9/main" objectType="CheckBox" fmlaLink="PedBerLab!$E$32" lockText="1"/>
</file>

<file path=xl/ctrlProps/ctrlProp455.xml><?xml version="1.0" encoding="utf-8"?>
<formControlPr xmlns="http://schemas.microsoft.com/office/spreadsheetml/2009/9/main" objectType="CheckBox" fmlaLink="PedBerLab!$C$9" lockText="1"/>
</file>

<file path=xl/ctrlProps/ctrlProp456.xml><?xml version="1.0" encoding="utf-8"?>
<formControlPr xmlns="http://schemas.microsoft.com/office/spreadsheetml/2009/9/main" objectType="CheckBox" fmlaLink="PedBerLab!$G$9" lockText="1"/>
</file>

<file path=xl/ctrlProps/ctrlProp457.xml><?xml version="1.0" encoding="utf-8"?>
<formControlPr xmlns="http://schemas.microsoft.com/office/spreadsheetml/2009/9/main" objectType="CheckBox" fmlaLink="PedBerLab!$I$9" lockText="1"/>
</file>

<file path=xl/ctrlProps/ctrlProp458.xml><?xml version="1.0" encoding="utf-8"?>
<formControlPr xmlns="http://schemas.microsoft.com/office/spreadsheetml/2009/9/main" objectType="CheckBox" fmlaLink="PedBerLab!$L$9" lockText="1"/>
</file>

<file path=xl/ctrlProps/ctrlProp459.xml><?xml version="1.0" encoding="utf-8"?>
<formControlPr xmlns="http://schemas.microsoft.com/office/spreadsheetml/2009/9/main" objectType="CheckBox" fmlaLink="PedBerLab!$E$9" lockText="1"/>
</file>

<file path=xl/ctrlProps/ctrlProp460.xml><?xml version="1.0" encoding="utf-8"?>
<formControlPr xmlns="http://schemas.microsoft.com/office/spreadsheetml/2009/9/main" objectType="CheckBox" fmlaLink="PedBerLab!$C$10" lockText="1"/>
</file>

<file path=xl/ctrlProps/ctrlProp461.xml><?xml version="1.0" encoding="utf-8"?>
<formControlPr xmlns="http://schemas.microsoft.com/office/spreadsheetml/2009/9/main" objectType="CheckBox" fmlaLink="PedBerLab!$G$10" lockText="1"/>
</file>

<file path=xl/ctrlProps/ctrlProp462.xml><?xml version="1.0" encoding="utf-8"?>
<formControlPr xmlns="http://schemas.microsoft.com/office/spreadsheetml/2009/9/main" objectType="CheckBox" fmlaLink="PedBerLab!$I$10" lockText="1"/>
</file>

<file path=xl/ctrlProps/ctrlProp463.xml><?xml version="1.0" encoding="utf-8"?>
<formControlPr xmlns="http://schemas.microsoft.com/office/spreadsheetml/2009/9/main" objectType="CheckBox" fmlaLink="PedBerLab!$L$10" lockText="1"/>
</file>

<file path=xl/ctrlProps/ctrlProp464.xml><?xml version="1.0" encoding="utf-8"?>
<formControlPr xmlns="http://schemas.microsoft.com/office/spreadsheetml/2009/9/main" objectType="CheckBox" fmlaLink="PedBerLab!$E$10" lockText="1"/>
</file>

<file path=xl/ctrlProps/ctrlProp465.xml><?xml version="1.0" encoding="utf-8"?>
<formControlPr xmlns="http://schemas.microsoft.com/office/spreadsheetml/2009/9/main" objectType="CheckBox" fmlaLink="PedBerLab!$C$14" lockText="1"/>
</file>

<file path=xl/ctrlProps/ctrlProp466.xml><?xml version="1.0" encoding="utf-8"?>
<formControlPr xmlns="http://schemas.microsoft.com/office/spreadsheetml/2009/9/main" objectType="CheckBox" fmlaLink="PedBerLab!$G$14" lockText="1"/>
</file>

<file path=xl/ctrlProps/ctrlProp467.xml><?xml version="1.0" encoding="utf-8"?>
<formControlPr xmlns="http://schemas.microsoft.com/office/spreadsheetml/2009/9/main" objectType="CheckBox" fmlaLink="PedBerLab!$I$14" lockText="1"/>
</file>

<file path=xl/ctrlProps/ctrlProp468.xml><?xml version="1.0" encoding="utf-8"?>
<formControlPr xmlns="http://schemas.microsoft.com/office/spreadsheetml/2009/9/main" objectType="CheckBox" fmlaLink="PedBerLab!$L$14" lockText="1"/>
</file>

<file path=xl/ctrlProps/ctrlProp469.xml><?xml version="1.0" encoding="utf-8"?>
<formControlPr xmlns="http://schemas.microsoft.com/office/spreadsheetml/2009/9/main" objectType="CheckBox" fmlaLink="PedBerLab!$E$14" lockText="1"/>
</file>

<file path=xl/ctrlProps/ctrlProp470.xml><?xml version="1.0" encoding="utf-8"?>
<formControlPr xmlns="http://schemas.microsoft.com/office/spreadsheetml/2009/9/main" objectType="CheckBox" fmlaLink="PedBerLab!$C$21" lockText="1"/>
</file>

<file path=xl/ctrlProps/ctrlProp471.xml><?xml version="1.0" encoding="utf-8"?>
<formControlPr xmlns="http://schemas.microsoft.com/office/spreadsheetml/2009/9/main" objectType="CheckBox" fmlaLink="PedBerLab!$G$21" lockText="1"/>
</file>

<file path=xl/ctrlProps/ctrlProp472.xml><?xml version="1.0" encoding="utf-8"?>
<formControlPr xmlns="http://schemas.microsoft.com/office/spreadsheetml/2009/9/main" objectType="CheckBox" fmlaLink="PedBerLab!$I$21" lockText="1"/>
</file>

<file path=xl/ctrlProps/ctrlProp473.xml><?xml version="1.0" encoding="utf-8"?>
<formControlPr xmlns="http://schemas.microsoft.com/office/spreadsheetml/2009/9/main" objectType="CheckBox" fmlaLink="PedBerLab!$L$21" lockText="1"/>
</file>

<file path=xl/ctrlProps/ctrlProp474.xml><?xml version="1.0" encoding="utf-8"?>
<formControlPr xmlns="http://schemas.microsoft.com/office/spreadsheetml/2009/9/main" objectType="CheckBox" fmlaLink="PedBerLab!$E$21" lockText="1"/>
</file>

<file path=xl/ctrlProps/ctrlProp475.xml><?xml version="1.0" encoding="utf-8"?>
<formControlPr xmlns="http://schemas.microsoft.com/office/spreadsheetml/2009/9/main" objectType="CheckBox" fmlaLink="PedBerLab!$C$22" lockText="1"/>
</file>

<file path=xl/ctrlProps/ctrlProp476.xml><?xml version="1.0" encoding="utf-8"?>
<formControlPr xmlns="http://schemas.microsoft.com/office/spreadsheetml/2009/9/main" objectType="CheckBox" fmlaLink="PedBerLab!$G$22" lockText="1"/>
</file>

<file path=xl/ctrlProps/ctrlProp477.xml><?xml version="1.0" encoding="utf-8"?>
<formControlPr xmlns="http://schemas.microsoft.com/office/spreadsheetml/2009/9/main" objectType="CheckBox" fmlaLink="PedBerLab!$I$22" lockText="1"/>
</file>

<file path=xl/ctrlProps/ctrlProp478.xml><?xml version="1.0" encoding="utf-8"?>
<formControlPr xmlns="http://schemas.microsoft.com/office/spreadsheetml/2009/9/main" objectType="CheckBox" fmlaLink="PedBerLab!$L$22" lockText="1"/>
</file>

<file path=xl/ctrlProps/ctrlProp479.xml><?xml version="1.0" encoding="utf-8"?>
<formControlPr xmlns="http://schemas.microsoft.com/office/spreadsheetml/2009/9/main" objectType="CheckBox" fmlaLink="PedBerLab!$E$22" lockText="1"/>
</file>

<file path=xl/ctrlProps/ctrlProp480.xml><?xml version="1.0" encoding="utf-8"?>
<formControlPr xmlns="http://schemas.microsoft.com/office/spreadsheetml/2009/9/main" objectType="CheckBox" fmlaLink="PedBerLab!$C$23" lockText="1"/>
</file>

<file path=xl/ctrlProps/ctrlProp481.xml><?xml version="1.0" encoding="utf-8"?>
<formControlPr xmlns="http://schemas.microsoft.com/office/spreadsheetml/2009/9/main" objectType="CheckBox" fmlaLink="PedBerLab!$G$23" lockText="1"/>
</file>

<file path=xl/ctrlProps/ctrlProp482.xml><?xml version="1.0" encoding="utf-8"?>
<formControlPr xmlns="http://schemas.microsoft.com/office/spreadsheetml/2009/9/main" objectType="CheckBox" fmlaLink="PedBerLab!$I$23" lockText="1"/>
</file>

<file path=xl/ctrlProps/ctrlProp483.xml><?xml version="1.0" encoding="utf-8"?>
<formControlPr xmlns="http://schemas.microsoft.com/office/spreadsheetml/2009/9/main" objectType="CheckBox" fmlaLink="PedBerLab!$L$23" lockText="1"/>
</file>

<file path=xl/ctrlProps/ctrlProp484.xml><?xml version="1.0" encoding="utf-8"?>
<formControlPr xmlns="http://schemas.microsoft.com/office/spreadsheetml/2009/9/main" objectType="CheckBox" fmlaLink="PedBerLab!$E$23" lockText="1"/>
</file>

<file path=xl/ctrlProps/ctrlProp485.xml><?xml version="1.0" encoding="utf-8"?>
<formControlPr xmlns="http://schemas.microsoft.com/office/spreadsheetml/2009/9/main" objectType="CheckBox" fmlaLink="PedBerLab!$C$24" lockText="1"/>
</file>

<file path=xl/ctrlProps/ctrlProp486.xml><?xml version="1.0" encoding="utf-8"?>
<formControlPr xmlns="http://schemas.microsoft.com/office/spreadsheetml/2009/9/main" objectType="CheckBox" fmlaLink="PedBerLab!$G$24" lockText="1"/>
</file>

<file path=xl/ctrlProps/ctrlProp487.xml><?xml version="1.0" encoding="utf-8"?>
<formControlPr xmlns="http://schemas.microsoft.com/office/spreadsheetml/2009/9/main" objectType="CheckBox" fmlaLink="PedBerLab!$I$24" lockText="1"/>
</file>

<file path=xl/ctrlProps/ctrlProp488.xml><?xml version="1.0" encoding="utf-8"?>
<formControlPr xmlns="http://schemas.microsoft.com/office/spreadsheetml/2009/9/main" objectType="CheckBox" fmlaLink="PedBerLab!$L$24" lockText="1"/>
</file>

<file path=xl/ctrlProps/ctrlProp489.xml><?xml version="1.0" encoding="utf-8"?>
<formControlPr xmlns="http://schemas.microsoft.com/office/spreadsheetml/2009/9/main" objectType="CheckBox" fmlaLink="PedBerLab!$E$24" lockText="1"/>
</file>

<file path=xl/ctrlProps/ctrlProp490.xml><?xml version="1.0" encoding="utf-8"?>
<formControlPr xmlns="http://schemas.microsoft.com/office/spreadsheetml/2009/9/main" objectType="CheckBox" fmlaLink="PedBerLab!$C$25" lockText="1"/>
</file>

<file path=xl/ctrlProps/ctrlProp491.xml><?xml version="1.0" encoding="utf-8"?>
<formControlPr xmlns="http://schemas.microsoft.com/office/spreadsheetml/2009/9/main" objectType="CheckBox" fmlaLink="PedBerLab!$G$25" lockText="1"/>
</file>

<file path=xl/ctrlProps/ctrlProp492.xml><?xml version="1.0" encoding="utf-8"?>
<formControlPr xmlns="http://schemas.microsoft.com/office/spreadsheetml/2009/9/main" objectType="CheckBox" fmlaLink="PedBerLab!$I$25" lockText="1"/>
</file>

<file path=xl/ctrlProps/ctrlProp493.xml><?xml version="1.0" encoding="utf-8"?>
<formControlPr xmlns="http://schemas.microsoft.com/office/spreadsheetml/2009/9/main" objectType="CheckBox" fmlaLink="PedBerLab!$L$25" lockText="1"/>
</file>

<file path=xl/ctrlProps/ctrlProp494.xml><?xml version="1.0" encoding="utf-8"?>
<formControlPr xmlns="http://schemas.microsoft.com/office/spreadsheetml/2009/9/main" objectType="CheckBox" fmlaLink="PedBerLab!$E$25" lockText="1"/>
</file>

<file path=xl/ctrlProps/ctrlProp495.xml><?xml version="1.0" encoding="utf-8"?>
<formControlPr xmlns="http://schemas.microsoft.com/office/spreadsheetml/2009/9/main" objectType="CheckBox" fmlaLink="PedBerLab!$C$29" lockText="1"/>
</file>

<file path=xl/ctrlProps/ctrlProp496.xml><?xml version="1.0" encoding="utf-8"?>
<formControlPr xmlns="http://schemas.microsoft.com/office/spreadsheetml/2009/9/main" objectType="CheckBox" fmlaLink="PedBerLab!$G$29" lockText="1"/>
</file>

<file path=xl/ctrlProps/ctrlProp497.xml><?xml version="1.0" encoding="utf-8"?>
<formControlPr xmlns="http://schemas.microsoft.com/office/spreadsheetml/2009/9/main" objectType="CheckBox" fmlaLink="PedBerLab!$I$29" lockText="1"/>
</file>

<file path=xl/ctrlProps/ctrlProp498.xml><?xml version="1.0" encoding="utf-8"?>
<formControlPr xmlns="http://schemas.microsoft.com/office/spreadsheetml/2009/9/main" objectType="CheckBox" fmlaLink="PedBerLab!$L$29" lockText="1"/>
</file>

<file path=xl/ctrlProps/ctrlProp499.xml><?xml version="1.0" encoding="utf-8"?>
<formControlPr xmlns="http://schemas.microsoft.com/office/spreadsheetml/2009/9/main" objectType="CheckBox" fmlaLink="PedBerLab!$E$29" lockText="1"/>
</file>

<file path=xl/ctrlProps/ctrlProp500.xml><?xml version="1.0" encoding="utf-8"?>
<formControlPr xmlns="http://schemas.microsoft.com/office/spreadsheetml/2009/9/main" objectType="CheckBox" fmlaLink="PedBerLab!$C$17" lockText="1"/>
</file>

<file path=xl/ctrlProps/ctrlProp501.xml><?xml version="1.0" encoding="utf-8"?>
<formControlPr xmlns="http://schemas.microsoft.com/office/spreadsheetml/2009/9/main" objectType="CheckBox" fmlaLink="PedBerLab!$G$17" lockText="1"/>
</file>

<file path=xl/ctrlProps/ctrlProp502.xml><?xml version="1.0" encoding="utf-8"?>
<formControlPr xmlns="http://schemas.microsoft.com/office/spreadsheetml/2009/9/main" objectType="CheckBox" fmlaLink="PedBerLab!$I$17" lockText="1"/>
</file>

<file path=xl/ctrlProps/ctrlProp503.xml><?xml version="1.0" encoding="utf-8"?>
<formControlPr xmlns="http://schemas.microsoft.com/office/spreadsheetml/2009/9/main" objectType="CheckBox" fmlaLink="PedBerLab!$L$17" lockText="1"/>
</file>

<file path=xl/ctrlProps/ctrlProp504.xml><?xml version="1.0" encoding="utf-8"?>
<formControlPr xmlns="http://schemas.microsoft.com/office/spreadsheetml/2009/9/main" objectType="CheckBox" fmlaLink="PedBerLab!$E$17" lockText="1"/>
</file>

<file path=xl/ctrlProps/ctrlProp505.xml><?xml version="1.0" encoding="utf-8"?>
<formControlPr xmlns="http://schemas.microsoft.com/office/spreadsheetml/2009/9/main" objectType="CheckBox" fmlaLink="PedBerLab!$C$31" lockText="1"/>
</file>

<file path=xl/ctrlProps/ctrlProp506.xml><?xml version="1.0" encoding="utf-8"?>
<formControlPr xmlns="http://schemas.microsoft.com/office/spreadsheetml/2009/9/main" objectType="CheckBox" fmlaLink="PedBerLab!$G$31" lockText="1"/>
</file>

<file path=xl/ctrlProps/ctrlProp507.xml><?xml version="1.0" encoding="utf-8"?>
<formControlPr xmlns="http://schemas.microsoft.com/office/spreadsheetml/2009/9/main" objectType="CheckBox" fmlaLink="PedBerLab!$I$31" lockText="1"/>
</file>

<file path=xl/ctrlProps/ctrlProp508.xml><?xml version="1.0" encoding="utf-8"?>
<formControlPr xmlns="http://schemas.microsoft.com/office/spreadsheetml/2009/9/main" objectType="CheckBox" fmlaLink="PedBerLab!$L$31" lockText="1"/>
</file>

<file path=xl/ctrlProps/ctrlProp509.xml><?xml version="1.0" encoding="utf-8"?>
<formControlPr xmlns="http://schemas.microsoft.com/office/spreadsheetml/2009/9/main" objectType="CheckBox" fmlaLink="PedBerLab!$E$31" lockText="1"/>
</file>

<file path=xl/ctrlProps/ctrlProp510.xml><?xml version="1.0" encoding="utf-8"?>
<formControlPr xmlns="http://schemas.microsoft.com/office/spreadsheetml/2009/9/main" objectType="CheckBox" fmlaLink="PedBerLab!C35" lockText="1"/>
</file>

<file path=xl/ctrlProps/ctrlProp511.xml><?xml version="1.0" encoding="utf-8"?>
<formControlPr xmlns="http://schemas.microsoft.com/office/spreadsheetml/2009/9/main" objectType="CheckBox" fmlaLink="PedBerLab!$C$33" lockText="1"/>
</file>

<file path=xl/ctrlProps/ctrlProp512.xml><?xml version="1.0" encoding="utf-8"?>
<formControlPr xmlns="http://schemas.microsoft.com/office/spreadsheetml/2009/9/main" objectType="CheckBox" fmlaLink="PedBerLab!$G$33" lockText="1"/>
</file>

<file path=xl/ctrlProps/ctrlProp513.xml><?xml version="1.0" encoding="utf-8"?>
<formControlPr xmlns="http://schemas.microsoft.com/office/spreadsheetml/2009/9/main" objectType="CheckBox" fmlaLink="PedBerLab!$I$33" lockText="1"/>
</file>

<file path=xl/ctrlProps/ctrlProp514.xml><?xml version="1.0" encoding="utf-8"?>
<formControlPr xmlns="http://schemas.microsoft.com/office/spreadsheetml/2009/9/main" objectType="CheckBox" fmlaLink="PedBerLab!$L$33" lockText="1"/>
</file>

<file path=xl/ctrlProps/ctrlProp515.xml><?xml version="1.0" encoding="utf-8"?>
<formControlPr xmlns="http://schemas.microsoft.com/office/spreadsheetml/2009/9/main" objectType="CheckBox" fmlaLink="PedBerLab!$E$33" lockText="1"/>
</file>

<file path=xl/ctrlProps/ctrlProp516.xml><?xml version="1.0" encoding="utf-8"?>
<formControlPr xmlns="http://schemas.microsoft.com/office/spreadsheetml/2009/9/main" objectType="CheckBox" fmlaLink="PedBerLab!$C$34" lockText="1"/>
</file>

<file path=xl/ctrlProps/ctrlProp517.xml><?xml version="1.0" encoding="utf-8"?>
<formControlPr xmlns="http://schemas.microsoft.com/office/spreadsheetml/2009/9/main" objectType="CheckBox" fmlaLink="PedBerLab!$G$34" lockText="1"/>
</file>

<file path=xl/ctrlProps/ctrlProp518.xml><?xml version="1.0" encoding="utf-8"?>
<formControlPr xmlns="http://schemas.microsoft.com/office/spreadsheetml/2009/9/main" objectType="CheckBox" fmlaLink="PedBerLab!$I$34" lockText="1"/>
</file>

<file path=xl/ctrlProps/ctrlProp519.xml><?xml version="1.0" encoding="utf-8"?>
<formControlPr xmlns="http://schemas.microsoft.com/office/spreadsheetml/2009/9/main" objectType="CheckBox" fmlaLink="PedBerLab!L34" lockText="1"/>
</file>

<file path=xl/ctrlProps/ctrlProp520.xml><?xml version="1.0" encoding="utf-8"?>
<formControlPr xmlns="http://schemas.microsoft.com/office/spreadsheetml/2009/9/main" objectType="CheckBox" fmlaLink="PedBerLab!$E$34" lockText="1"/>
</file>

<file path=xl/ctrlProps/ctrlProp521.xml><?xml version="1.0" encoding="utf-8"?>
<formControlPr xmlns="http://schemas.microsoft.com/office/spreadsheetml/2009/9/main" objectType="Spin" dx="15" fmlaLink="PatDetails!$B$7" max="200" min="25" page="10" val="80"/>
</file>

<file path=xl/ctrlProps/ctrlProp522.xml><?xml version="1.0" encoding="utf-8"?>
<formControlPr xmlns="http://schemas.microsoft.com/office/spreadsheetml/2009/9/main" objectType="Spin" dx="15" fmlaLink="PatDetails!$B$7" max="200" min="25" page="10" val="80"/>
</file>

<file path=xl/ctrlProps/ctrlProp523.xml><?xml version="1.0" encoding="utf-8"?>
<formControlPr xmlns="http://schemas.microsoft.com/office/spreadsheetml/2009/9/main" objectType="CheckBox" fmlaLink="PedBerAfspr!$F$7" lockText="1"/>
</file>

<file path=xl/ctrlProps/ctrlProp524.xml><?xml version="1.0" encoding="utf-8"?>
<formControlPr xmlns="http://schemas.microsoft.com/office/spreadsheetml/2009/9/main" objectType="CheckBox" fmlaLink="PedBerAfspr!$F$8" lockText="1"/>
</file>

<file path=xl/ctrlProps/ctrlProp525.xml><?xml version="1.0" encoding="utf-8"?>
<formControlPr xmlns="http://schemas.microsoft.com/office/spreadsheetml/2009/9/main" objectType="Spin" dx="15" fmlaLink="PedBerAfspr!$B$12" max="24" page="10" val="0"/>
</file>

<file path=xl/ctrlProps/ctrlProp526.xml><?xml version="1.0" encoding="utf-8"?>
<formControlPr xmlns="http://schemas.microsoft.com/office/spreadsheetml/2009/9/main" objectType="CheckBox" fmlaLink="PedBerAfspr!$B$22" lockText="1"/>
</file>

<file path=xl/ctrlProps/ctrlProp527.xml><?xml version="1.0" encoding="utf-8"?>
<formControlPr xmlns="http://schemas.microsoft.com/office/spreadsheetml/2009/9/main" objectType="CheckBox" fmlaLink="PedBerAfspr!$B$23" lockText="1"/>
</file>

<file path=xl/ctrlProps/ctrlProp528.xml><?xml version="1.0" encoding="utf-8"?>
<formControlPr xmlns="http://schemas.microsoft.com/office/spreadsheetml/2009/9/main" objectType="CheckBox" fmlaLink="PedBerAfspr!$B$27" lockText="1"/>
</file>

<file path=xl/ctrlProps/ctrlProp529.xml><?xml version="1.0" encoding="utf-8"?>
<formControlPr xmlns="http://schemas.microsoft.com/office/spreadsheetml/2009/9/main" objectType="Drop" dropStyle="combo" dx="16" fmlaLink="PedBerAfspr!$D$27" fmlaRange="tbl_Ped_DrainLokatie" noThreeD="1" sel="0" val="0"/>
</file>

<file path=xl/ctrlProps/ctrlProp530.xml><?xml version="1.0" encoding="utf-8"?>
<formControlPr xmlns="http://schemas.microsoft.com/office/spreadsheetml/2009/9/main" objectType="Drop" dropStyle="combo" dx="16" fmlaLink="PedBerAfspr!$D$28" fmlaRange="tbl_Ped_DrainModus" noThreeD="1" sel="0" val="0"/>
</file>

<file path=xl/ctrlProps/ctrlProp531.xml><?xml version="1.0" encoding="utf-8"?>
<formControlPr xmlns="http://schemas.microsoft.com/office/spreadsheetml/2009/9/main" objectType="CheckBox" fmlaLink="PedBerAfspr!$B$30" lockText="1"/>
</file>

<file path=xl/ctrlProps/ctrlProp532.xml><?xml version="1.0" encoding="utf-8"?>
<formControlPr xmlns="http://schemas.microsoft.com/office/spreadsheetml/2009/9/main" objectType="Drop" dropStyle="combo" dx="16" fmlaLink="PedBerAfspr!$D$30" fmlaRange="tbl_Ped_DrainLokatie" noThreeD="1" sel="0" val="0"/>
</file>

<file path=xl/ctrlProps/ctrlProp533.xml><?xml version="1.0" encoding="utf-8"?>
<formControlPr xmlns="http://schemas.microsoft.com/office/spreadsheetml/2009/9/main" objectType="Drop" dropStyle="combo" dx="16" fmlaLink="PedBerAfspr!$D$31" fmlaRange="tbl_Ped_DrainModus" noThreeD="1" sel="0" val="0"/>
</file>

<file path=xl/ctrlProps/ctrlProp534.xml><?xml version="1.0" encoding="utf-8"?>
<formControlPr xmlns="http://schemas.microsoft.com/office/spreadsheetml/2009/9/main" objectType="CheckBox" fmlaLink="PedBerAfspr!$B$7" lockText="1"/>
</file>

<file path=xl/ctrlProps/ctrlProp535.xml><?xml version="1.0" encoding="utf-8"?>
<formControlPr xmlns="http://schemas.microsoft.com/office/spreadsheetml/2009/9/main" objectType="CheckBox" fmlaLink="PedBerAfspr!$B$8" lockText="1"/>
</file>

<file path=xl/ctrlProps/ctrlProp536.xml><?xml version="1.0" encoding="utf-8"?>
<formControlPr xmlns="http://schemas.microsoft.com/office/spreadsheetml/2009/9/main" objectType="CheckBox" fmlaLink="PedBerAfspr!$B$21" lockText="1"/>
</file>

<file path=xl/ctrlProps/ctrlProp537.xml><?xml version="1.0" encoding="utf-8"?>
<formControlPr xmlns="http://schemas.microsoft.com/office/spreadsheetml/2009/9/main" objectType="CheckBox" fmlaLink="PedBerAfspr!$B$11" lockText="1"/>
</file>

<file path=xl/ctrlProps/ctrlProp538.xml><?xml version="1.0" encoding="utf-8"?>
<formControlPr xmlns="http://schemas.microsoft.com/office/spreadsheetml/2009/9/main" objectType="CheckBox" fmlaLink="PedBerAfspr!$B$15" lockText="1"/>
</file>

<file path=xl/ctrlProps/ctrlProp539.xml><?xml version="1.0" encoding="utf-8"?>
<formControlPr xmlns="http://schemas.microsoft.com/office/spreadsheetml/2009/9/main" objectType="CheckBox" fmlaLink="PedBerAfspr!$B$16" lockText="1"/>
</file>

<file path=xl/ctrlProps/ctrlProp540.xml><?xml version="1.0" encoding="utf-8"?>
<formControlPr xmlns="http://schemas.microsoft.com/office/spreadsheetml/2009/9/main" objectType="CheckBox" fmlaLink="PedBerAfspr!$B$17" lockText="1"/>
</file>

<file path=xl/ctrlProps/ctrlProp541.xml><?xml version="1.0" encoding="utf-8"?>
<formControlPr xmlns="http://schemas.microsoft.com/office/spreadsheetml/2009/9/main" objectType="CheckBox" fmlaLink="PedBerAfspr!$D$11" lockText="1"/>
</file>

<file path=xl/ctrlProps/ctrlProp542.xml><?xml version="1.0" encoding="utf-8"?>
<formControlPr xmlns="http://schemas.microsoft.com/office/spreadsheetml/2009/9/main" objectType="CheckBox" fmlaLink="PedBerAfspr!$D$12" lockText="1"/>
</file>

<file path=xl/ctrlProps/ctrlProp543.xml><?xml version="1.0" encoding="utf-8"?>
<formControlPr xmlns="http://schemas.microsoft.com/office/spreadsheetml/2009/9/main" objectType="CheckBox" fmlaLink="PedBerAfspr!$D$13" lockText="1"/>
</file>

<file path=xl/ctrlProps/ctrlProp544.xml><?xml version="1.0" encoding="utf-8"?>
<formControlPr xmlns="http://schemas.microsoft.com/office/spreadsheetml/2009/9/main" objectType="CheckBox" fmlaLink="PedBerAfspr!$D$14" lockText="1"/>
</file>

<file path=xl/ctrlProps/ctrlProp545.xml><?xml version="1.0" encoding="utf-8"?>
<formControlPr xmlns="http://schemas.microsoft.com/office/spreadsheetml/2009/9/main" objectType="CheckBox" fmlaLink="PedBerAfspr!$B$20" lockText="1"/>
</file>

<file path=xl/ctrlProps/ctrlProp546.xml><?xml version="1.0" encoding="utf-8"?>
<formControlPr xmlns="http://schemas.microsoft.com/office/spreadsheetml/2009/9/main" objectType="CheckBox" fmlaLink="PedBerAfspr!$B$9" lockText="1"/>
</file>

<file path=xl/ctrlProps/ctrlProp547.xml><?xml version="1.0" encoding="utf-8"?>
<formControlPr xmlns="http://schemas.microsoft.com/office/spreadsheetml/2009/9/main" objectType="Spin" dx="15" fmlaLink="PedBerAfspr!$C$7" max="10" page="10" val="0"/>
</file>

<file path=xl/ctrlProps/ctrlProp548.xml><?xml version="1.0" encoding="utf-8"?>
<formControlPr xmlns="http://schemas.microsoft.com/office/spreadsheetml/2009/9/main" objectType="Spin" dx="15" fmlaLink="PedBerAfspr!$C$8" max="10" page="10" val="0"/>
</file>

<file path=xl/ctrlProps/ctrlProp549.xml><?xml version="1.0" encoding="utf-8"?>
<formControlPr xmlns="http://schemas.microsoft.com/office/spreadsheetml/2009/9/main" objectType="Spin" dx="15" fmlaLink="PedBerAfspr!$C$9" max="10" page="10" val="0"/>
</file>

<file path=xl/ctrlProps/ctrlProp550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51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52.xml><?xml version="1.0" encoding="utf-8"?>
<formControlPr xmlns="http://schemas.microsoft.com/office/spreadsheetml/2009/9/main" objectType="Drop" dropStyle="combo" dx="16" fmlaLink="PedBerAfspr!$D$9" fmlaRange="tbl_Ped_Periode" noThreeD="1" sel="0" val="0"/>
</file>

<file path=xl/ctrlProps/ctrlProp553.xml><?xml version="1.0" encoding="utf-8"?>
<formControlPr xmlns="http://schemas.microsoft.com/office/spreadsheetml/2009/9/main" objectType="Spin" dx="15" fmlaLink="PedBerAfspr!$C$8" max="10" page="10" val="0"/>
</file>

<file path=xl/ctrlProps/ctrlProp554.xml><?xml version="1.0" encoding="utf-8"?>
<formControlPr xmlns="http://schemas.microsoft.com/office/spreadsheetml/2009/9/main" objectType="Spin" dx="15" fmlaLink="PedBerAfspr!$C$9" max="10" page="10" val="0"/>
</file>

<file path=xl/ctrlProps/ctrlProp555.xml><?xml version="1.0" encoding="utf-8"?>
<formControlPr xmlns="http://schemas.microsoft.com/office/spreadsheetml/2009/9/main" objectType="Drop" dropStyle="combo" dx="16" fmlaLink="PedBerAfspr!$D$29" fmlaRange="tbl_Ped_DrainZuig" noThreeD="1" sel="0" val="0"/>
</file>

<file path=xl/ctrlProps/ctrlProp556.xml><?xml version="1.0" encoding="utf-8"?>
<formControlPr xmlns="http://schemas.microsoft.com/office/spreadsheetml/2009/9/main" objectType="Drop" dropStyle="combo" dx="16" fmlaLink="PedBerAfspr!$D$32" fmlaRange="tbl_Ped_DrainZuig" noThreeD="1" sel="0" val="0"/>
</file>

<file path=xl/ctrlProps/ctrlProp557.xml><?xml version="1.0" encoding="utf-8"?>
<formControlPr xmlns="http://schemas.microsoft.com/office/spreadsheetml/2009/9/main" objectType="CheckBox" fmlaLink="PedBerAfspr!$B$33" lockText="1"/>
</file>

<file path=xl/ctrlProps/ctrlProp558.xml><?xml version="1.0" encoding="utf-8"?>
<formControlPr xmlns="http://schemas.microsoft.com/office/spreadsheetml/2009/9/main" objectType="Drop" dropStyle="combo" dx="16" fmlaLink="PedBerAfspr!$D$33" fmlaRange="tbl_Ped_DrainLokatie" noThreeD="1" sel="0" val="0"/>
</file>

<file path=xl/ctrlProps/ctrlProp559.xml><?xml version="1.0" encoding="utf-8"?>
<formControlPr xmlns="http://schemas.microsoft.com/office/spreadsheetml/2009/9/main" objectType="Drop" dropStyle="combo" dx="16" fmlaLink="PedBerAfspr!$D$34" fmlaRange="tbl_Ped_DrainModus" noThreeD="1" sel="0" val="0"/>
</file>

<file path=xl/ctrlProps/ctrlProp560.xml><?xml version="1.0" encoding="utf-8"?>
<formControlPr xmlns="http://schemas.microsoft.com/office/spreadsheetml/2009/9/main" objectType="Drop" dropStyle="combo" dx="16" fmlaLink="PedBerAfspr!$D$35" fmlaRange="tbl_Ped_DrainZuig" noThreeD="1" sel="0" val="0"/>
</file>

<file path=xl/ctrlProps/ctrlProp561.xml><?xml version="1.0" encoding="utf-8"?>
<formControlPr xmlns="http://schemas.microsoft.com/office/spreadsheetml/2009/9/main" objectType="CheckBox" fmlaLink="PedBerAfspr!$B$36" lockText="1"/>
</file>

<file path=xl/ctrlProps/ctrlProp562.xml><?xml version="1.0" encoding="utf-8"?>
<formControlPr xmlns="http://schemas.microsoft.com/office/spreadsheetml/2009/9/main" objectType="CheckBox" fmlaLink="PedBerAfspr!$B$38" lockText="1"/>
</file>

<file path=xl/ctrlProps/ctrlProp563.xml><?xml version="1.0" encoding="utf-8"?>
<formControlPr xmlns="http://schemas.microsoft.com/office/spreadsheetml/2009/9/main" objectType="CheckBox" fmlaLink="PedBerAfspr!$B$37" lockText="1"/>
</file>

<file path=xl/ctrlProps/ctrlProp564.xml><?xml version="1.0" encoding="utf-8"?>
<formControlPr xmlns="http://schemas.microsoft.com/office/spreadsheetml/2009/9/main" objectType="CheckBox" fmlaLink="PedBerAfspr!$D$36" lockText="1"/>
</file>

<file path=xl/ctrlProps/ctrlProp565.xml><?xml version="1.0" encoding="utf-8"?>
<formControlPr xmlns="http://schemas.microsoft.com/office/spreadsheetml/2009/9/main" objectType="CheckBox" fmlaLink="PedBerAfspr!$D$37" lockText="1"/>
</file>

<file path=xl/ctrlProps/ctrlProp566.xml><?xml version="1.0" encoding="utf-8"?>
<formControlPr xmlns="http://schemas.microsoft.com/office/spreadsheetml/2009/9/main" objectType="CheckBox" fmlaLink="PedBerAfspr!$D$38" lockText="1"/>
</file>

<file path=xl/ctrlProps/ctrlProp567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68.xml><?xml version="1.0" encoding="utf-8"?>
<formControlPr xmlns="http://schemas.microsoft.com/office/spreadsheetml/2009/9/main" objectType="Spin" dx="15" fmlaLink="PedBerAfspr!$D$40" max="100" page="10" val="0"/>
</file>

<file path=xl/ctrlProps/ctrlProp569.xml><?xml version="1.0" encoding="utf-8"?>
<formControlPr xmlns="http://schemas.microsoft.com/office/spreadsheetml/2009/9/main" objectType="CheckBox" fmlaLink="PedBerAfspr!$B$39" lockText="1"/>
</file>

<file path=xl/ctrlProps/ctrlProp570.xml><?xml version="1.0" encoding="utf-8"?>
<formControlPr xmlns="http://schemas.microsoft.com/office/spreadsheetml/2009/9/main" objectType="CheckBox" fmlaLink="PedBerAfspr!$F$9" lockText="1"/>
</file>

<file path=xl/ctrlProps/ctrlProp571.xml><?xml version="1.0" encoding="utf-8"?>
<formControlPr xmlns="http://schemas.microsoft.com/office/spreadsheetml/2009/9/main" objectType="CheckBox" fmlaLink="PedBerAfspr!$F$10" lockText="1"/>
</file>

<file path=xl/ctrlProps/ctrlProp572.xml><?xml version="1.0" encoding="utf-8"?>
<formControlPr xmlns="http://schemas.microsoft.com/office/spreadsheetml/2009/9/main" objectType="CheckBox" fmlaLink="PedBerAfspr!$F$12" lockText="1"/>
</file>

<file path=xl/ctrlProps/ctrlProp573.xml><?xml version="1.0" encoding="utf-8"?>
<formControlPr xmlns="http://schemas.microsoft.com/office/spreadsheetml/2009/9/main" objectType="CheckBox" fmlaLink="PedBerAfspr!$F$13" lockText="1"/>
</file>

<file path=xl/ctrlProps/ctrlProp574.xml><?xml version="1.0" encoding="utf-8"?>
<formControlPr xmlns="http://schemas.microsoft.com/office/spreadsheetml/2009/9/main" objectType="CheckBox" fmlaLink="PedBerAfspr!$F$14" lockText="1"/>
</file>

<file path=xl/ctrlProps/ctrlProp575.xml><?xml version="1.0" encoding="utf-8"?>
<formControlPr xmlns="http://schemas.microsoft.com/office/spreadsheetml/2009/9/main" objectType="CheckBox" fmlaLink="PedBerAfspr!$F$15" lockText="1"/>
</file>

<file path=xl/ctrlProps/ctrlProp576.xml><?xml version="1.0" encoding="utf-8"?>
<formControlPr xmlns="http://schemas.microsoft.com/office/spreadsheetml/2009/9/main" objectType="CheckBox" fmlaLink="PedBerAfspr!$B$24" lockText="1"/>
</file>

<file path=xl/ctrlProps/ctrlProp577.xml><?xml version="1.0" encoding="utf-8"?>
<formControlPr xmlns="http://schemas.microsoft.com/office/spreadsheetml/2009/9/main" objectType="CheckBox" fmlaLink="PedBerAfspr!$B$25" lockText="1"/>
</file>

<file path=xl/ctrlProps/ctrlProp578.xml><?xml version="1.0" encoding="utf-8"?>
<formControlPr xmlns="http://schemas.microsoft.com/office/spreadsheetml/2009/9/main" objectType="Spin" dx="15" fmlaLink="PedBerAfspr!$C$8" max="10" page="10" val="0"/>
</file>

<file path=xl/ctrlProps/ctrlProp579.xml><?xml version="1.0" encoding="utf-8"?>
<formControlPr xmlns="http://schemas.microsoft.com/office/spreadsheetml/2009/9/main" objectType="Spin" dx="15" fmlaLink="PedBerAfspr!$C$9" max="10" page="10" val="0"/>
</file>

<file path=xl/ctrlProps/ctrlProp580.xml><?xml version="1.0" encoding="utf-8"?>
<formControlPr xmlns="http://schemas.microsoft.com/office/spreadsheetml/2009/9/main" objectType="CheckBox" fmlaLink="PedBerAfspr!$F$16" lockText="1"/>
</file>

<file path=xl/ctrlProps/ctrlProp581.xml><?xml version="1.0" encoding="utf-8"?>
<formControlPr xmlns="http://schemas.microsoft.com/office/spreadsheetml/2009/9/main" objectType="Spin" dx="15" fmlaLink="PedBerAfspr!$G$16" max="24" page="10" val="0"/>
</file>

<file path=xl/ctrlProps/ctrlProp582.xml><?xml version="1.0" encoding="utf-8"?>
<formControlPr xmlns="http://schemas.microsoft.com/office/spreadsheetml/2009/9/main" objectType="Spin" dx="15" fmlaLink="PedBerAfspr!$G$18" max="24" page="10" val="0"/>
</file>

<file path=xl/ctrlProps/ctrlProp583.xml><?xml version="1.0" encoding="utf-8"?>
<formControlPr xmlns="http://schemas.microsoft.com/office/spreadsheetml/2009/9/main" objectType="CheckBox" fmlaLink="PedBerAfspr!$F$18" lockText="1"/>
</file>

<file path=xl/ctrlProps/ctrlProp584.xml><?xml version="1.0" encoding="utf-8"?>
<formControlPr xmlns="http://schemas.microsoft.com/office/spreadsheetml/2009/9/main" objectType="CheckBox" fmlaLink="PedBerAfspr!$B$42" lockText="1"/>
</file>

<file path=xl/ctrlProps/ctrlProp585.xml><?xml version="1.0" encoding="utf-8"?>
<formControlPr xmlns="http://schemas.microsoft.com/office/spreadsheetml/2009/9/main" objectType="CheckBox" fmlaLink="PedBerAfspr!$B$43" lockText="1"/>
</file>

<file path=xl/ctrlProps/ctrlProp586.xml><?xml version="1.0" encoding="utf-8"?>
<formControlPr xmlns="http://schemas.microsoft.com/office/spreadsheetml/2009/9/main" objectType="CheckBox" fmlaLink="PedBerAfspr!$B$44" lockText="1"/>
</file>

<file path=xl/ctrlProps/ctrlProp587.xml><?xml version="1.0" encoding="utf-8"?>
<formControlPr xmlns="http://schemas.microsoft.com/office/spreadsheetml/2009/9/main" objectType="Spin" dx="15" fmlaLink="PedBerAfspr!$C$42" max="24" page="10" val="0"/>
</file>

<file path=xl/ctrlProps/ctrlProp588.xml><?xml version="1.0" encoding="utf-8"?>
<formControlPr xmlns="http://schemas.microsoft.com/office/spreadsheetml/2009/9/main" objectType="Spin" dx="15" fmlaLink="PedBerAfspr!$C$43" max="24" page="10" val="0"/>
</file>

<file path=xl/ctrlProps/ctrlProp589.xml><?xml version="1.0" encoding="utf-8"?>
<formControlPr xmlns="http://schemas.microsoft.com/office/spreadsheetml/2009/9/main" objectType="Drop" dropStyle="combo" dx="16" fmlaLink="NeoBerInfB!$B$20" fmlaRange="tbl_Neo_MedIV" sel="1" val="0"/>
</file>

<file path=xl/ctrlProps/ctrlProp590.xml><?xml version="1.0" encoding="utf-8"?>
<formControlPr xmlns="http://schemas.microsoft.com/office/spreadsheetml/2009/9/main" objectType="Drop" dropStyle="combo" dx="16" fmlaLink="NeoBerInfB!$B$21" fmlaRange="tbl_Neo_MedIV" sel="1" val="0"/>
</file>

<file path=xl/ctrlProps/ctrlProp591.xml><?xml version="1.0" encoding="utf-8"?>
<formControlPr xmlns="http://schemas.microsoft.com/office/spreadsheetml/2009/9/main" objectType="Drop" dropStyle="combo" dx="16" fmlaLink="NeoBerInfB!$B$22" fmlaRange="tbl_Neo_MedIV" sel="1" val="0"/>
</file>

<file path=xl/ctrlProps/ctrlProp592.xml><?xml version="1.0" encoding="utf-8"?>
<formControlPr xmlns="http://schemas.microsoft.com/office/spreadsheetml/2009/9/main" objectType="Drop" dropStyle="combo" dx="16" fmlaLink="NeoBerInfB!$B$23" fmlaRange="tbl_Neo_MedIV" sel="1" val="0"/>
</file>

<file path=xl/ctrlProps/ctrlProp593.xml><?xml version="1.0" encoding="utf-8"?>
<formControlPr xmlns="http://schemas.microsoft.com/office/spreadsheetml/2009/9/main" objectType="Drop" dropStyle="combo" dx="16" fmlaLink="NeoBerInfB!$B$24" fmlaRange="tbl_Neo_MedIV" sel="1" val="0"/>
</file>

<file path=xl/ctrlProps/ctrlProp594.xml><?xml version="1.0" encoding="utf-8"?>
<formControlPr xmlns="http://schemas.microsoft.com/office/spreadsheetml/2009/9/main" objectType="Drop" dropStyle="combo" dx="16" fmlaLink="NeoBerInfB!$B$25" fmlaRange="tbl_Neo_MedIV" sel="1" val="0"/>
</file>

<file path=xl/ctrlProps/ctrlProp595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596.xml><?xml version="1.0" encoding="utf-8"?>
<formControlPr xmlns="http://schemas.microsoft.com/office/spreadsheetml/2009/9/main" objectType="Spin" dx="15" fmlaLink="NeoBerInfB!$B$18" inc="5" max="10" page="10" val="0"/>
</file>

<file path=xl/ctrlProps/ctrlProp597.xml><?xml version="1.0" encoding="utf-8"?>
<formControlPr xmlns="http://schemas.microsoft.com/office/spreadsheetml/2009/9/main" objectType="Spin" dx="15" fmlaLink="NeoBerInfB!$F$20" max="30000" page="10" val="0"/>
</file>

<file path=xl/ctrlProps/ctrlProp598.xml><?xml version="1.0" encoding="utf-8"?>
<formControlPr xmlns="http://schemas.microsoft.com/office/spreadsheetml/2009/9/main" objectType="Spin" dx="15" fmlaLink="NeoBerInfB!$F$21" max="30000" page="10" val="0"/>
</file>

<file path=xl/ctrlProps/ctrlProp599.xml><?xml version="1.0" encoding="utf-8"?>
<formControlPr xmlns="http://schemas.microsoft.com/office/spreadsheetml/2009/9/main" objectType="Spin" dx="15" fmlaLink="NeoBerInfB!$F$22" max="30000" page="10" val="0"/>
</file>

<file path=xl/ctrlProps/ctrlProp600.xml><?xml version="1.0" encoding="utf-8"?>
<formControlPr xmlns="http://schemas.microsoft.com/office/spreadsheetml/2009/9/main" objectType="Spin" dx="15" fmlaLink="NeoBerInfB!$F$23" max="30000" page="10" val="0"/>
</file>

<file path=xl/ctrlProps/ctrlProp601.xml><?xml version="1.0" encoding="utf-8"?>
<formControlPr xmlns="http://schemas.microsoft.com/office/spreadsheetml/2009/9/main" objectType="Spin" dx="15" fmlaLink="NeoBerInfB!$F$24" max="30000" page="10" val="0"/>
</file>

<file path=xl/ctrlProps/ctrlProp602.xml><?xml version="1.0" encoding="utf-8"?>
<formControlPr xmlns="http://schemas.microsoft.com/office/spreadsheetml/2009/9/main" objectType="Spin" dx="15" fmlaLink="NeoBerInfB!$F$25" max="30000" page="10" val="0"/>
</file>

<file path=xl/ctrlProps/ctrlProp603.xml><?xml version="1.0" encoding="utf-8"?>
<formControlPr xmlns="http://schemas.microsoft.com/office/spreadsheetml/2009/9/main" objectType="Spin" dx="15" fmlaLink="NeoBerInfB!$F$26" max="30000" page="10" val="0"/>
</file>

<file path=xl/ctrlProps/ctrlProp604.xml><?xml version="1.0" encoding="utf-8"?>
<formControlPr xmlns="http://schemas.microsoft.com/office/spreadsheetml/2009/9/main" objectType="Radio" firstButton="1" fmlaLink="NeoBerInfB!$J$14" lockText="1"/>
</file>

<file path=xl/ctrlProps/ctrlProp605.xml><?xml version="1.0" encoding="utf-8"?>
<formControlPr xmlns="http://schemas.microsoft.com/office/spreadsheetml/2009/9/main" objectType="Radio" checked="Checked" lockText="1"/>
</file>

<file path=xl/ctrlProps/ctrlProp606.xml><?xml version="1.0" encoding="utf-8"?>
<formControlPr xmlns="http://schemas.microsoft.com/office/spreadsheetml/2009/9/main" objectType="Spin" dx="15" fmlaLink="NeoBerInfB!$D$10" max="24" page="10" val="0"/>
</file>

<file path=xl/ctrlProps/ctrlProp607.xml><?xml version="1.0" encoding="utf-8"?>
<formControlPr xmlns="http://schemas.microsoft.com/office/spreadsheetml/2009/9/main" objectType="Spin" dx="15" fmlaLink="NeoBerInfB!$D$11" inc="5" max="30000" page="10" val="0"/>
</file>

<file path=xl/ctrlProps/ctrlProp608.xml><?xml version="1.0" encoding="utf-8"?>
<formControlPr xmlns="http://schemas.microsoft.com/office/spreadsheetml/2009/9/main" objectType="Spin" dx="15" fmlaLink="NeoBerInfB!$D$16" inc="5" max="30000" page="10" val="5000"/>
</file>

<file path=xl/ctrlProps/ctrlProp609.xml><?xml version="1.0" encoding="utf-8"?>
<formControlPr xmlns="http://schemas.microsoft.com/office/spreadsheetml/2009/9/main" objectType="Radio" checked="Checked" firstButton="1" fmlaLink="NeoBerInfB!$D$36" lockText="1"/>
</file>

<file path=xl/ctrlProps/ctrlProp610.xml><?xml version="1.0" encoding="utf-8"?>
<formControlPr xmlns="http://schemas.microsoft.com/office/spreadsheetml/2009/9/main" objectType="Radio" lockText="1"/>
</file>

<file path=xl/ctrlProps/ctrlProp611.xml><?xml version="1.0" encoding="utf-8"?>
<formControlPr xmlns="http://schemas.microsoft.com/office/spreadsheetml/2009/9/main" objectType="Radio" lockText="1"/>
</file>

<file path=xl/ctrlProps/ctrlProp612.xml><?xml version="1.0" encoding="utf-8"?>
<formControlPr xmlns="http://schemas.microsoft.com/office/spreadsheetml/2009/9/main" objectType="Spin" dx="15" fmlaLink="NeoBerInfB!$D$37" inc="10" max="30000" page="10" val="5000"/>
</file>

<file path=xl/ctrlProps/ctrlProp613.xml><?xml version="1.0" encoding="utf-8"?>
<formControlPr xmlns="http://schemas.microsoft.com/office/spreadsheetml/2009/9/main" objectType="Spin" dx="15" fmlaLink="NeoBerInfB!$D$38" inc="10" max="30000" page="10" val="5000"/>
</file>

<file path=xl/ctrlProps/ctrlProp614.xml><?xml version="1.0" encoding="utf-8"?>
<formControlPr xmlns="http://schemas.microsoft.com/office/spreadsheetml/2009/9/main" objectType="Spin" dx="15" fmlaLink="NeoBerInfB!$D$39" inc="10" max="30000" page="10" val="5000"/>
</file>

<file path=xl/ctrlProps/ctrlProp615.xml><?xml version="1.0" encoding="utf-8"?>
<formControlPr xmlns="http://schemas.microsoft.com/office/spreadsheetml/2009/9/main" objectType="Spin" dx="15" fmlaLink="NeoBerInfB!$D$40" max="30000" page="10" val="5000"/>
</file>

<file path=xl/ctrlProps/ctrlProp616.xml><?xml version="1.0" encoding="utf-8"?>
<formControlPr xmlns="http://schemas.microsoft.com/office/spreadsheetml/2009/9/main" objectType="Spin" dx="15" fmlaLink="NeoBerInfB!$D$41" max="30000" page="10" val="5000"/>
</file>

<file path=xl/ctrlProps/ctrlProp617.xml><?xml version="1.0" encoding="utf-8"?>
<formControlPr xmlns="http://schemas.microsoft.com/office/spreadsheetml/2009/9/main" objectType="Spin" dx="15" fmlaLink="NeoBerInfB!$D$42" max="30000" page="10" val="5000"/>
</file>

<file path=xl/ctrlProps/ctrlProp618.xml><?xml version="1.0" encoding="utf-8"?>
<formControlPr xmlns="http://schemas.microsoft.com/office/spreadsheetml/2009/9/main" objectType="Spin" dx="15" fmlaLink="NeoBerInfB!$D$43" max="30000" page="10" val="5000"/>
</file>

<file path=xl/ctrlProps/ctrlProp619.xml><?xml version="1.0" encoding="utf-8"?>
<formControlPr xmlns="http://schemas.microsoft.com/office/spreadsheetml/2009/9/main" objectType="Spin" dx="15" fmlaLink="NeoBerInfB!$D$37" max="30000" page="10" val="5000"/>
</file>

<file path=xl/ctrlProps/ctrlProp620.xml><?xml version="1.0" encoding="utf-8"?>
<formControlPr xmlns="http://schemas.microsoft.com/office/spreadsheetml/2009/9/main" objectType="Spin" dx="15" fmlaLink="NeoBerInfB!$D$38" max="30000" page="10" val="5000"/>
</file>

<file path=xl/ctrlProps/ctrlProp621.xml><?xml version="1.0" encoding="utf-8"?>
<formControlPr xmlns="http://schemas.microsoft.com/office/spreadsheetml/2009/9/main" objectType="Spin" dx="15" fmlaLink="NeoBerInfB!$D$44" max="30000" page="10" val="5000"/>
</file>

<file path=xl/ctrlProps/ctrlProp622.xml><?xml version="1.0" encoding="utf-8"?>
<formControlPr xmlns="http://schemas.microsoft.com/office/spreadsheetml/2009/9/main" objectType="Radio" firstButton="1" fmlaLink="NeoBerInfB!$B$15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Drop" dropStyle="combo" dx="16" fmlaLink="NeoBerInfB!$E$20" fmlaRange="tbl_Neo_Opl" sel="1" val="8"/>
</file>

<file path=xl/ctrlProps/ctrlProp625.xml><?xml version="1.0" encoding="utf-8"?>
<formControlPr xmlns="http://schemas.microsoft.com/office/spreadsheetml/2009/9/main" objectType="Drop" dropStyle="combo" dx="16" fmlaLink="NeoBerInfB!$E$21" fmlaRange="tbl_Neo_Opl" sel="1" val="0"/>
</file>

<file path=xl/ctrlProps/ctrlProp626.xml><?xml version="1.0" encoding="utf-8"?>
<formControlPr xmlns="http://schemas.microsoft.com/office/spreadsheetml/2009/9/main" objectType="Drop" dropStyle="combo" dx="16" fmlaLink="NeoBerInfB!$E$22" fmlaRange="tbl_Neo_Opl" sel="1" val="0"/>
</file>

<file path=xl/ctrlProps/ctrlProp627.xml><?xml version="1.0" encoding="utf-8"?>
<formControlPr xmlns="http://schemas.microsoft.com/office/spreadsheetml/2009/9/main" objectType="Drop" dropStyle="combo" dx="16" fmlaLink="NeoBerInfB!$E$23" fmlaRange="tbl_Neo_Opl" sel="1" val="0"/>
</file>

<file path=xl/ctrlProps/ctrlProp628.xml><?xml version="1.0" encoding="utf-8"?>
<formControlPr xmlns="http://schemas.microsoft.com/office/spreadsheetml/2009/9/main" objectType="Drop" dropStyle="combo" dx="16" fmlaLink="NeoBerInfB!$E$24" fmlaRange="tbl_Neo_Opl" sel="1" val="0"/>
</file>

<file path=xl/ctrlProps/ctrlProp629.xml><?xml version="1.0" encoding="utf-8"?>
<formControlPr xmlns="http://schemas.microsoft.com/office/spreadsheetml/2009/9/main" objectType="Drop" dropStyle="combo" dx="16" fmlaLink="NeoBerInfB!$E$25" fmlaRange="tbl_Neo_Opl" sel="1" val="0"/>
</file>

<file path=xl/ctrlProps/ctrlProp630.xml><?xml version="1.0" encoding="utf-8"?>
<formControlPr xmlns="http://schemas.microsoft.com/office/spreadsheetml/2009/9/main" objectType="Spin" dx="15" fmlaLink="NeoBerInfB!$D$20" max="30000" page="10" val="0"/>
</file>

<file path=xl/ctrlProps/ctrlProp631.xml><?xml version="1.0" encoding="utf-8"?>
<formControlPr xmlns="http://schemas.microsoft.com/office/spreadsheetml/2009/9/main" objectType="Spin" dx="15" fmlaLink="NeoBerInfB!$D$21" max="30000" page="10" val="0"/>
</file>

<file path=xl/ctrlProps/ctrlProp632.xml><?xml version="1.0" encoding="utf-8"?>
<formControlPr xmlns="http://schemas.microsoft.com/office/spreadsheetml/2009/9/main" objectType="Spin" dx="15" fmlaLink="NeoBerInfB!$D$22" max="30000" page="10" val="0"/>
</file>

<file path=xl/ctrlProps/ctrlProp633.xml><?xml version="1.0" encoding="utf-8"?>
<formControlPr xmlns="http://schemas.microsoft.com/office/spreadsheetml/2009/9/main" objectType="Spin" dx="15" fmlaLink="NeoBerInfB!$D$23" max="30000" page="10" val="0"/>
</file>

<file path=xl/ctrlProps/ctrlProp634.xml><?xml version="1.0" encoding="utf-8"?>
<formControlPr xmlns="http://schemas.microsoft.com/office/spreadsheetml/2009/9/main" objectType="Spin" dx="15" fmlaLink="NeoBerInfB!$D$24" max="30000" page="10" val="0"/>
</file>

<file path=xl/ctrlProps/ctrlProp635.xml><?xml version="1.0" encoding="utf-8"?>
<formControlPr xmlns="http://schemas.microsoft.com/office/spreadsheetml/2009/9/main" objectType="Spin" dx="15" fmlaLink="NeoBerInfB!$D$25" max="30000" page="10" val="0"/>
</file>

<file path=xl/ctrlProps/ctrlProp636.xml><?xml version="1.0" encoding="utf-8"?>
<formControlPr xmlns="http://schemas.microsoft.com/office/spreadsheetml/2009/9/main" objectType="Spin" dx="15" fmlaLink="NeoBerInfB!$D$26" max="30000" page="10" val="0"/>
</file>

<file path=xl/ctrlProps/ctrlProp637.xml><?xml version="1.0" encoding="utf-8"?>
<formControlPr xmlns="http://schemas.microsoft.com/office/spreadsheetml/2009/9/main" objectType="Spin" dx="15" fmlaLink="NeoBerInfB!$C$20" inc="10" max="30000" page="10" val="0"/>
</file>

<file path=xl/ctrlProps/ctrlProp638.xml><?xml version="1.0" encoding="utf-8"?>
<formControlPr xmlns="http://schemas.microsoft.com/office/spreadsheetml/2009/9/main" objectType="Spin" dx="15" fmlaLink="NeoBerInfB!$C$21" inc="10" max="30000" page="10" val="0"/>
</file>

<file path=xl/ctrlProps/ctrlProp639.xml><?xml version="1.0" encoding="utf-8"?>
<formControlPr xmlns="http://schemas.microsoft.com/office/spreadsheetml/2009/9/main" objectType="Spin" dx="15" fmlaLink="NeoBerInfB!$C$22" inc="10" max="30000" page="10" val="0"/>
</file>

<file path=xl/ctrlProps/ctrlProp640.xml><?xml version="1.0" encoding="utf-8"?>
<formControlPr xmlns="http://schemas.microsoft.com/office/spreadsheetml/2009/9/main" objectType="Spin" dx="15" fmlaLink="NeoBerInfB!$C$23" inc="10" max="30000" page="10" val="0"/>
</file>

<file path=xl/ctrlProps/ctrlProp641.xml><?xml version="1.0" encoding="utf-8"?>
<formControlPr xmlns="http://schemas.microsoft.com/office/spreadsheetml/2009/9/main" objectType="Spin" dx="15" fmlaLink="NeoBerInfB!$C$24" inc="10" max="30000" page="10" val="0"/>
</file>

<file path=xl/ctrlProps/ctrlProp642.xml><?xml version="1.0" encoding="utf-8"?>
<formControlPr xmlns="http://schemas.microsoft.com/office/spreadsheetml/2009/9/main" objectType="Spin" dx="15" fmlaLink="NeoBerInfB!$C$25" inc="10" max="30000" page="10" val="0"/>
</file>

<file path=xl/ctrlProps/ctrlProp643.xml><?xml version="1.0" encoding="utf-8"?>
<formControlPr xmlns="http://schemas.microsoft.com/office/spreadsheetml/2009/9/main" objectType="Spin" dx="15" fmlaLink="NeoBerInfB!$C$26" inc="10" max="30000" page="10" val="0"/>
</file>

<file path=xl/ctrlProps/ctrlProp644.xml><?xml version="1.0" encoding="utf-8"?>
<formControlPr xmlns="http://schemas.microsoft.com/office/spreadsheetml/2009/9/main" objectType="GBox"/>
</file>

<file path=xl/ctrlProps/ctrlProp645.xml><?xml version="1.0" encoding="utf-8"?>
<formControlPr xmlns="http://schemas.microsoft.com/office/spreadsheetml/2009/9/main" objectType="GBox" noThreeD="1"/>
</file>

<file path=xl/ctrlProps/ctrlProp646.xml><?xml version="1.0" encoding="utf-8"?>
<formControlPr xmlns="http://schemas.microsoft.com/office/spreadsheetml/2009/9/main" objectType="CheckBox" fmlaLink="NeoBerInfB!$J$18" lockText="1"/>
</file>

<file path=xl/ctrlProps/ctrlProp647.xml><?xml version="1.0" encoding="utf-8"?>
<formControlPr xmlns="http://schemas.microsoft.com/office/spreadsheetml/2009/9/main" objectType="CheckBox" fmlaLink="NeoBerInfB!$J$20" lockText="1"/>
</file>

<file path=xl/ctrlProps/ctrlProp648.xml><?xml version="1.0" encoding="utf-8"?>
<formControlPr xmlns="http://schemas.microsoft.com/office/spreadsheetml/2009/9/main" objectType="CheckBox" fmlaLink="NeoBerInfB!$J$21" lockText="1"/>
</file>

<file path=xl/ctrlProps/ctrlProp649.xml><?xml version="1.0" encoding="utf-8"?>
<formControlPr xmlns="http://schemas.microsoft.com/office/spreadsheetml/2009/9/main" objectType="CheckBox" fmlaLink="NeoBerInfB!$J$22" lockText="1"/>
</file>

<file path=xl/ctrlProps/ctrlProp650.xml><?xml version="1.0" encoding="utf-8"?>
<formControlPr xmlns="http://schemas.microsoft.com/office/spreadsheetml/2009/9/main" objectType="CheckBox" fmlaLink="NeoBerInfB!$J$23" lockText="1"/>
</file>

<file path=xl/ctrlProps/ctrlProp651.xml><?xml version="1.0" encoding="utf-8"?>
<formControlPr xmlns="http://schemas.microsoft.com/office/spreadsheetml/2009/9/main" objectType="CheckBox" fmlaLink="NeoBerInfB!$J$24" lockText="1"/>
</file>

<file path=xl/ctrlProps/ctrlProp652.xml><?xml version="1.0" encoding="utf-8"?>
<formControlPr xmlns="http://schemas.microsoft.com/office/spreadsheetml/2009/9/main" objectType="CheckBox" fmlaLink="NeoBerInfB!$J$25" lockText="1"/>
</file>

<file path=xl/ctrlProps/ctrlProp653.xml><?xml version="1.0" encoding="utf-8"?>
<formControlPr xmlns="http://schemas.microsoft.com/office/spreadsheetml/2009/9/main" objectType="CheckBox" lockText="1"/>
</file>

<file path=xl/ctrlProps/ctrlProp654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55.xml><?xml version="1.0" encoding="utf-8"?>
<formControlPr xmlns="http://schemas.microsoft.com/office/spreadsheetml/2009/9/main" objectType="Spin" dx="15" fmlaLink="NeoBerInfB!$F$27" max="30000" page="10" val="0"/>
</file>

<file path=xl/ctrlProps/ctrlProp656.xml><?xml version="1.0" encoding="utf-8"?>
<formControlPr xmlns="http://schemas.microsoft.com/office/spreadsheetml/2009/9/main" objectType="Drop" dropStyle="combo" dx="16" fmlaLink="NeoBerInfB!$E$26" fmlaRange="tbl_Neo_Opl" sel="1" val="0"/>
</file>

<file path=xl/ctrlProps/ctrlProp657.xml><?xml version="1.0" encoding="utf-8"?>
<formControlPr xmlns="http://schemas.microsoft.com/office/spreadsheetml/2009/9/main" objectType="Spin" dx="15" fmlaLink="NeoBerInfB!$D$27" max="30000" page="10" val="0"/>
</file>

<file path=xl/ctrlProps/ctrlProp658.xml><?xml version="1.0" encoding="utf-8"?>
<formControlPr xmlns="http://schemas.microsoft.com/office/spreadsheetml/2009/9/main" objectType="Spin" dx="15" fmlaLink="NeoBerInfB!$C$27" inc="10" max="30000" page="10" val="0"/>
</file>

<file path=xl/ctrlProps/ctrlProp659.xml><?xml version="1.0" encoding="utf-8"?>
<formControlPr xmlns="http://schemas.microsoft.com/office/spreadsheetml/2009/9/main" objectType="CheckBox" fmlaLink="NeoBerInfB!$J$26" lockText="1"/>
</file>

<file path=xl/ctrlProps/ctrlProp660.xml><?xml version="1.0" encoding="utf-8"?>
<formControlPr xmlns="http://schemas.microsoft.com/office/spreadsheetml/2009/9/main" objectType="CheckBox" lockText="1"/>
</file>

<file path=xl/ctrlProps/ctrlProp661.xml><?xml version="1.0" encoding="utf-8"?>
<formControlPr xmlns="http://schemas.microsoft.com/office/spreadsheetml/2009/9/main" objectType="Spin" dx="15" fmlaLink="NeoBerInfB!$F$28" max="30000" page="10" val="0"/>
</file>

<file path=xl/ctrlProps/ctrlProp662.xml><?xml version="1.0" encoding="utf-8"?>
<formControlPr xmlns="http://schemas.microsoft.com/office/spreadsheetml/2009/9/main" objectType="Drop" dropStyle="combo" dx="16" fmlaLink="NeoBerInfB!$E$27" fmlaRange="tbl_Neo_Opl" sel="1" val="0"/>
</file>

<file path=xl/ctrlProps/ctrlProp663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64.xml><?xml version="1.0" encoding="utf-8"?>
<formControlPr xmlns="http://schemas.microsoft.com/office/spreadsheetml/2009/9/main" objectType="CheckBox" fmlaLink="NeoBerInfB!$J$27" lockText="1"/>
</file>

<file path=xl/ctrlProps/ctrlProp665.xml><?xml version="1.0" encoding="utf-8"?>
<formControlPr xmlns="http://schemas.microsoft.com/office/spreadsheetml/2009/9/main" objectType="CheckBox" fmlaLink="NeoBerInfB!$J$28" lockText="1"/>
</file>

<file path=xl/ctrlProps/ctrlProp666.xml><?xml version="1.0" encoding="utf-8"?>
<formControlPr xmlns="http://schemas.microsoft.com/office/spreadsheetml/2009/9/main" objectType="Spin" dx="15" fmlaLink="NeoBerInfB!$D$35" max="30000" page="10" val="5000"/>
</file>

<file path=xl/ctrlProps/ctrlProp667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68.xml><?xml version="1.0" encoding="utf-8"?>
<formControlPr xmlns="http://schemas.microsoft.com/office/spreadsheetml/2009/9/main" objectType="Spin" dx="15" fmlaLink="NeoBerInfB!$D$4" max="43" min="24" page="10" val="30"/>
</file>

<file path=xl/ctrlProps/ctrlProp669.xml><?xml version="1.0" encoding="utf-8"?>
<formControlPr xmlns="http://schemas.microsoft.com/office/spreadsheetml/2009/9/main" objectType="Spin" dx="15" fmlaLink="NeoBerInfB!$D$5" max="6" page="10" val="0"/>
</file>

<file path=xl/ctrlProps/ctrlProp670.xml><?xml version="1.0" encoding="utf-8"?>
<formControlPr xmlns="http://schemas.microsoft.com/office/spreadsheetml/2009/9/main" objectType="Drop" dropStyle="combo" dx="16" fmlaLink="NeoBerInfB!$B$54" fmlaRange="tbl_Neo_NutrMMToev" sel="1" val="0"/>
</file>

<file path=xl/ctrlProps/ctrlProp671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72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73.xml><?xml version="1.0" encoding="utf-8"?>
<formControlPr xmlns="http://schemas.microsoft.com/office/spreadsheetml/2009/9/main" objectType="Spin" dx="15" fmlaLink="NeoBerInfB!$D$12" max="24" page="10" val="0"/>
</file>

<file path=xl/ctrlProps/ctrlProp674.xml><?xml version="1.0" encoding="utf-8"?>
<formControlPr xmlns="http://schemas.microsoft.com/office/spreadsheetml/2009/9/main" objectType="Spin" dx="15" fmlaLink="NeoBerInfB!$D$13" inc="5" max="30000" page="10" val="0"/>
</file>

<file path=xl/ctrlProps/ctrlProp675.xml><?xml version="1.0" encoding="utf-8"?>
<formControlPr xmlns="http://schemas.microsoft.com/office/spreadsheetml/2009/9/main" objectType="Drop" dropStyle="combo" dx="16" fmlaLink="NeoBerInfB!$B$55" fmlaRange="tbl_Neo_NutrMMToev" sel="1" val="0"/>
</file>

<file path=xl/ctrlProps/ctrlProp676.xml><?xml version="1.0" encoding="utf-8"?>
<formControlPr xmlns="http://schemas.microsoft.com/office/spreadsheetml/2009/9/main" objectType="Drop" dropStyle="combo" dx="16" fmlaLink="NeoBerInfB!$B$56" fmlaRange="tbl_Neo_NutrMMToev" sel="1" val="0"/>
</file>

<file path=xl/ctrlProps/ctrlProp677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78.xml><?xml version="1.0" encoding="utf-8"?>
<formControlPr xmlns="http://schemas.microsoft.com/office/spreadsheetml/2009/9/main" objectType="Spin" dx="15" fmlaLink="NeoBerInfB!$D$28" max="30000" page="10" val="0"/>
</file>

<file path=xl/ctrlProps/ctrlProp679.xml><?xml version="1.0" encoding="utf-8"?>
<formControlPr xmlns="http://schemas.microsoft.com/office/spreadsheetml/2009/9/main" objectType="Spin" dx="15" fmlaLink="NeoBerInfB!$C$28" inc="10" max="30000" page="10" val="0"/>
</file>

<file path=xl/ctrlProps/ctrlProp680.xml><?xml version="1.0" encoding="utf-8"?>
<formControlPr xmlns="http://schemas.microsoft.com/office/spreadsheetml/2009/9/main" objectType="Drop" dropStyle="combo" dx="16" fmlaLink="NeoBerInfB!$E$28" fmlaRange="tbl_Neo_Opl" sel="1" val="0"/>
</file>

<file path=xl/ctrlProps/ctrlProp681.xml><?xml version="1.0" encoding="utf-8"?>
<formControlPr xmlns="http://schemas.microsoft.com/office/spreadsheetml/2009/9/main" objectType="Drop" dropStyle="combo" dx="16" fmlaLink="NeoBerInfB!$E$29" fmlaRange="tbl_Neo_Opl" sel="0" val="8"/>
</file>

<file path=xl/ctrlProps/ctrlProp682.xml><?xml version="1.0" encoding="utf-8"?>
<formControlPr xmlns="http://schemas.microsoft.com/office/spreadsheetml/2009/9/main" objectType="Spin" dx="15" fmlaLink="NeoBerInfB!$F$29" max="30000" page="10" val="0"/>
</file>

<file path=xl/ctrlProps/ctrlProp683.xml><?xml version="1.0" encoding="utf-8"?>
<formControlPr xmlns="http://schemas.microsoft.com/office/spreadsheetml/2009/9/main" objectType="CheckBox" fmlaLink="NeoBerInfB!$J$29" lockText="1"/>
</file>

<file path=xl/ctrlProps/ctrlProp684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685.xml><?xml version="1.0" encoding="utf-8"?>
<formControlPr xmlns="http://schemas.microsoft.com/office/spreadsheetml/2009/9/main" objectType="Spin" dx="15" fmlaLink="NeoBerInfB!$F$30" max="30000" page="10" val="0"/>
</file>

<file path=xl/ctrlProps/ctrlProp686.xml><?xml version="1.0" encoding="utf-8"?>
<formControlPr xmlns="http://schemas.microsoft.com/office/spreadsheetml/2009/9/main" objectType="CheckBox" fmlaLink="NeoBerInfB!$J$30" lockText="1"/>
</file>

<file path=xl/ctrlProps/ctrlProp687.xml><?xml version="1.0" encoding="utf-8"?>
<formControlPr xmlns="http://schemas.microsoft.com/office/spreadsheetml/2009/9/main" objectType="CheckBox" fmlaLink="NeoBerInfB!$J$30" lockText="1"/>
</file>

<file path=xl/ctrlProps/ctrlProp688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689.xml><?xml version="1.0" encoding="utf-8"?>
<formControlPr xmlns="http://schemas.microsoft.com/office/spreadsheetml/2009/9/main" objectType="Spin" dx="15" fmlaLink="NeoBerInfB!$F$31" max="30000" page="10" val="0"/>
</file>

<file path=xl/ctrlProps/ctrlProp690.xml><?xml version="1.0" encoding="utf-8"?>
<formControlPr xmlns="http://schemas.microsoft.com/office/spreadsheetml/2009/9/main" objectType="CheckBox" fmlaLink="NeoBerInfB!$J$31" lockText="1"/>
</file>

<file path=xl/ctrlProps/ctrlProp691.xml><?xml version="1.0" encoding="utf-8"?>
<formControlPr xmlns="http://schemas.microsoft.com/office/spreadsheetml/2009/9/main" objectType="Drop" dropStyle="combo" dx="16" fmlaLink="NeoBerInfB!$B$59" fmlaRange="tbl_Neo_NutrKunstToev" sel="1" val="0"/>
</file>

<file path=xl/ctrlProps/ctrlProp692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3.xml><?xml version="1.0" encoding="utf-8"?>
<formControlPr xmlns="http://schemas.microsoft.com/office/spreadsheetml/2009/9/main" objectType="Drop" dropStyle="combo" dx="16" fmlaLink="NeoBerInfB!$B$60" fmlaRange="tbl_Neo_NutrKunstToev" sel="1" val="0"/>
</file>

<file path=xl/ctrlProps/ctrlProp694.xml><?xml version="1.0" encoding="utf-8"?>
<formControlPr xmlns="http://schemas.microsoft.com/office/spreadsheetml/2009/9/main" objectType="Drop" dropStyle="combo" dx="16" fmlaLink="NeoBerInfB!$B$61" fmlaRange="tbl_Neo_NutrKunstToev" sel="1" val="0"/>
</file>

<file path=xl/ctrlProps/ctrlProp695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696.xml><?xml version="1.0" encoding="utf-8"?>
<formControlPr xmlns="http://schemas.microsoft.com/office/spreadsheetml/2009/9/main" objectType="Drop" dropStyle="combo" dx="16" fmlaLink="NeoBerInfB!$J$59" fmlaRange="tbl_Neo_NutrToevWaard" sel="1" val="0"/>
</file>

<file path=xl/ctrlProps/ctrlProp697.xml><?xml version="1.0" encoding="utf-8"?>
<formControlPr xmlns="http://schemas.microsoft.com/office/spreadsheetml/2009/9/main" objectType="Drop" dropStyle="combo" dx="16" fmlaLink="NeoBerInfB!$J$60" fmlaRange="tbl_Neo_NutrToevWaard" sel="1" val="0"/>
</file>

<file path=xl/ctrlProps/ctrlProp698.xml><?xml version="1.0" encoding="utf-8"?>
<formControlPr xmlns="http://schemas.microsoft.com/office/spreadsheetml/2009/9/main" objectType="Drop" dropStyle="combo" dx="16" fmlaLink="NeoBerInfB!$J$61" fmlaRange="tbl_Neo_NutrToevWaard" sel="1" val="0"/>
</file>

<file path=xl/ctrlProps/ctrlProp699.xml><?xml version="1.0" encoding="utf-8"?>
<formControlPr xmlns="http://schemas.microsoft.com/office/spreadsheetml/2009/9/main" objectType="Drop" dropStyle="combo" dx="16" fmlaLink="NeoBerInfB!$B$53" fmlaRange="tbl_Neo_NutrMMToev" sel="1" val="0"/>
</file>

<file path=xl/ctrlProps/ctrlProp700.xml><?xml version="1.0" encoding="utf-8"?>
<formControlPr xmlns="http://schemas.microsoft.com/office/spreadsheetml/2009/9/main" objectType="Drop" dropStyle="combo" dx="16" fmlaLink="NeoBerInfB!$B$58" fmlaRange="tbl_Neo_NutrKunstToev" sel="1" val="0"/>
</file>

<file path=xl/ctrlProps/ctrlProp701.xml><?xml version="1.0" encoding="utf-8"?>
<formControlPr xmlns="http://schemas.microsoft.com/office/spreadsheetml/2009/9/main" objectType="Drop" dropStyle="combo" dx="16" fmlaLink="NeoBerInfB!$J$58" fmlaRange="tbl_Neo_NutrToevWaard" sel="1" val="0"/>
</file>

<file path=xl/ctrlProps/ctrlProp702.xml><?xml version="1.0" encoding="utf-8"?>
<formControlPr xmlns="http://schemas.microsoft.com/office/spreadsheetml/2009/9/main" objectType="Drop" dropStyle="combo" dx="16" fmlaLink="NeoBerInfB!$J$52" fmlaRange="tbl_Neo_NutrBMFWaard" sel="1" val="0"/>
</file>

<file path=xl/ctrlProps/ctrlProp703.xml><?xml version="1.0" encoding="utf-8"?>
<formControlPr xmlns="http://schemas.microsoft.com/office/spreadsheetml/2009/9/main" objectType="Drop" dropStyle="combo" dx="16" fmlaLink="NeoBerInfB!$J$54" fmlaRange="tbl_Neo_NutrToevWaard" sel="1" val="0"/>
</file>

<file path=xl/ctrlProps/ctrlProp704.xml><?xml version="1.0" encoding="utf-8"?>
<formControlPr xmlns="http://schemas.microsoft.com/office/spreadsheetml/2009/9/main" objectType="Drop" dropStyle="combo" dx="16" fmlaLink="NeoBerInfB!$J$55" fmlaRange="tbl_Neo_NutrToevWaard" sel="1" val="0"/>
</file>

<file path=xl/ctrlProps/ctrlProp705.xml><?xml version="1.0" encoding="utf-8"?>
<formControlPr xmlns="http://schemas.microsoft.com/office/spreadsheetml/2009/9/main" objectType="Drop" dropStyle="combo" dx="16" fmlaLink="NeoBerInfB!$J$56" fmlaRange="tbl_Neo_NutrToevWaard" sel="1" val="0"/>
</file>

<file path=xl/ctrlProps/ctrlProp706.xml><?xml version="1.0" encoding="utf-8"?>
<formControlPr xmlns="http://schemas.microsoft.com/office/spreadsheetml/2009/9/main" objectType="Drop" dropStyle="combo" dx="16" fmlaLink="NeoBerInfB!$J$53" fmlaRange="tbl_Neo_NutrToevWaard" sel="1" val="0"/>
</file>

<file path=xl/ctrlProps/ctrlProp707.xml><?xml version="1.0" encoding="utf-8"?>
<formControlPr xmlns="http://schemas.microsoft.com/office/spreadsheetml/2009/9/main" objectType="CheckBox" fmlaLink="NeoBerInfB!$B$17" lockText="1" noThreeD="1"/>
</file>

<file path=xl/ctrlProps/ctrlProp708.xml><?xml version="1.0" encoding="utf-8"?>
<formControlPr xmlns="http://schemas.microsoft.com/office/spreadsheetml/2009/9/main" objectType="Spin" dx="15" fmlaLink="NeoBerInfB!$F$21" max="30000" page="10" val="0"/>
</file>

<file path=xl/ctrlProps/ctrlProp709.xml><?xml version="1.0" encoding="utf-8"?>
<formControlPr xmlns="http://schemas.microsoft.com/office/spreadsheetml/2009/9/main" objectType="Spin" dx="15" fmlaLink="NeoBerInfB!$F$22" max="30000" page="10" val="0"/>
</file>

<file path=xl/ctrlProps/ctrlProp710.xml><?xml version="1.0" encoding="utf-8"?>
<formControlPr xmlns="http://schemas.microsoft.com/office/spreadsheetml/2009/9/main" objectType="Spin" dx="15" fmlaLink="NeoBerInfB!$F$23" max="30000" page="10" val="0"/>
</file>

<file path=xl/ctrlProps/ctrlProp711.xml><?xml version="1.0" encoding="utf-8"?>
<formControlPr xmlns="http://schemas.microsoft.com/office/spreadsheetml/2009/9/main" objectType="Spin" dx="15" fmlaLink="NeoBerInfB!$F$24" max="30000" page="10" val="0"/>
</file>

<file path=xl/ctrlProps/ctrlProp712.xml><?xml version="1.0" encoding="utf-8"?>
<formControlPr xmlns="http://schemas.microsoft.com/office/spreadsheetml/2009/9/main" objectType="Spin" dx="15" fmlaLink="NeoBerInfB!$F$25" max="30000" page="10" val="0"/>
</file>

<file path=xl/ctrlProps/ctrlProp713.xml><?xml version="1.0" encoding="utf-8"?>
<formControlPr xmlns="http://schemas.microsoft.com/office/spreadsheetml/2009/9/main" objectType="Spin" dx="15" fmlaLink="NeoBerInfB!$F$26" max="30000" page="10" val="0"/>
</file>

<file path=xl/ctrlProps/ctrlProp714.xml><?xml version="1.0" encoding="utf-8"?>
<formControlPr xmlns="http://schemas.microsoft.com/office/spreadsheetml/2009/9/main" objectType="Spin" dx="15" fmlaLink="NeoBerInfB!$F$27" max="30000" page="10" val="0"/>
</file>

<file path=xl/ctrlProps/ctrlProp715.xml><?xml version="1.0" encoding="utf-8"?>
<formControlPr xmlns="http://schemas.microsoft.com/office/spreadsheetml/2009/9/main" objectType="Spin" dx="15" fmlaLink="NeoBerInfB!$F$28" max="30000" page="10" val="0"/>
</file>

<file path=xl/ctrlProps/ctrlProp716.xml><?xml version="1.0" encoding="utf-8"?>
<formControlPr xmlns="http://schemas.microsoft.com/office/spreadsheetml/2009/9/main" objectType="Drop" dropStyle="combo" dx="16" fmlaLink="NeoBerInfB!$F$35" fmlaRange="tbl_Neo_IntralipidSmof" sel="1" val="0"/>
</file>

<file path=xl/ctrlProps/ctrlProp717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18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19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20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21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22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23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24.xml><?xml version="1.0" encoding="utf-8"?>
<formControlPr xmlns="http://schemas.microsoft.com/office/spreadsheetml/2009/9/main" objectType="Spin" dx="15" fmlaLink="NeoBer1700!$B$18" inc="5" max="10" page="10" val="0"/>
</file>

<file path=xl/ctrlProps/ctrlProp725.xml><?xml version="1.0" encoding="utf-8"?>
<formControlPr xmlns="http://schemas.microsoft.com/office/spreadsheetml/2009/9/main" objectType="Spin" dx="15" fmlaLink="NeoBer1700!$F$20" max="30000" page="10" val="0"/>
</file>

<file path=xl/ctrlProps/ctrlProp726.xml><?xml version="1.0" encoding="utf-8"?>
<formControlPr xmlns="http://schemas.microsoft.com/office/spreadsheetml/2009/9/main" objectType="Spin" dx="15" fmlaLink="NeoBer1700!$F$21" max="30000" page="10" val="0"/>
</file>

<file path=xl/ctrlProps/ctrlProp727.xml><?xml version="1.0" encoding="utf-8"?>
<formControlPr xmlns="http://schemas.microsoft.com/office/spreadsheetml/2009/9/main" objectType="Spin" dx="15" fmlaLink="NeoBer1700!$F$22" max="30000" page="10" val="0"/>
</file>

<file path=xl/ctrlProps/ctrlProp728.xml><?xml version="1.0" encoding="utf-8"?>
<formControlPr xmlns="http://schemas.microsoft.com/office/spreadsheetml/2009/9/main" objectType="Spin" dx="15" fmlaLink="NeoBer1700!$F$23" max="30000" page="10" val="0"/>
</file>

<file path=xl/ctrlProps/ctrlProp729.xml><?xml version="1.0" encoding="utf-8"?>
<formControlPr xmlns="http://schemas.microsoft.com/office/spreadsheetml/2009/9/main" objectType="Spin" dx="15" fmlaLink="NeoBer1700!$F$24" max="30000" page="10" val="0"/>
</file>

<file path=xl/ctrlProps/ctrlProp730.xml><?xml version="1.0" encoding="utf-8"?>
<formControlPr xmlns="http://schemas.microsoft.com/office/spreadsheetml/2009/9/main" objectType="Spin" dx="15" fmlaLink="NeoBer1700!$F$25" max="30000" page="10" val="0"/>
</file>

<file path=xl/ctrlProps/ctrlProp731.xml><?xml version="1.0" encoding="utf-8"?>
<formControlPr xmlns="http://schemas.microsoft.com/office/spreadsheetml/2009/9/main" objectType="Spin" dx="15" fmlaLink="NeoBer1700!$F$26" max="30000" page="10" val="0"/>
</file>

<file path=xl/ctrlProps/ctrlProp732.xml><?xml version="1.0" encoding="utf-8"?>
<formControlPr xmlns="http://schemas.microsoft.com/office/spreadsheetml/2009/9/main" objectType="Radio" checked="Checked" firstButton="1" fmlaLink="NeoBer1700!$J$14" lockText="1"/>
</file>

<file path=xl/ctrlProps/ctrlProp733.xml><?xml version="1.0" encoding="utf-8"?>
<formControlPr xmlns="http://schemas.microsoft.com/office/spreadsheetml/2009/9/main" objectType="Radio" lockText="1"/>
</file>

<file path=xl/ctrlProps/ctrlProp734.xml><?xml version="1.0" encoding="utf-8"?>
<formControlPr xmlns="http://schemas.microsoft.com/office/spreadsheetml/2009/9/main" objectType="Spin" dx="15" fmlaLink="NeoBer1700!$D$10" max="24" page="10" val="0"/>
</file>

<file path=xl/ctrlProps/ctrlProp735.xml><?xml version="1.0" encoding="utf-8"?>
<formControlPr xmlns="http://schemas.microsoft.com/office/spreadsheetml/2009/9/main" objectType="Spin" dx="15" fmlaLink="NeoBer1700!$D$11" inc="5" max="30000" page="10" val="0"/>
</file>

<file path=xl/ctrlProps/ctrlProp736.xml><?xml version="1.0" encoding="utf-8"?>
<formControlPr xmlns="http://schemas.microsoft.com/office/spreadsheetml/2009/9/main" objectType="Spin" dx="15" fmlaLink="NeoBer1700!$D$16" inc="5" max="30000" page="10" val="5000"/>
</file>

<file path=xl/ctrlProps/ctrlProp737.xml><?xml version="1.0" encoding="utf-8"?>
<formControlPr xmlns="http://schemas.microsoft.com/office/spreadsheetml/2009/9/main" objectType="Radio" checked="Checked" firstButton="1" fmlaLink="NeoBer1700!$D$36" lockText="1"/>
</file>

<file path=xl/ctrlProps/ctrlProp738.xml><?xml version="1.0" encoding="utf-8"?>
<formControlPr xmlns="http://schemas.microsoft.com/office/spreadsheetml/2009/9/main" objectType="Radio" lockText="1"/>
</file>

<file path=xl/ctrlProps/ctrlProp739.xml><?xml version="1.0" encoding="utf-8"?>
<formControlPr xmlns="http://schemas.microsoft.com/office/spreadsheetml/2009/9/main" objectType="Radio" lockText="1"/>
</file>

<file path=xl/ctrlProps/ctrlProp740.xml><?xml version="1.0" encoding="utf-8"?>
<formControlPr xmlns="http://schemas.microsoft.com/office/spreadsheetml/2009/9/main" objectType="Spin" dx="15" fmlaLink="NeoBer1700!$D$37" inc="10" max="30000" page="10" val="5000"/>
</file>

<file path=xl/ctrlProps/ctrlProp741.xml><?xml version="1.0" encoding="utf-8"?>
<formControlPr xmlns="http://schemas.microsoft.com/office/spreadsheetml/2009/9/main" objectType="Spin" dx="15" fmlaLink="NeoBer1700!$D$38" inc="10" max="30000" page="10" val="5000"/>
</file>

<file path=xl/ctrlProps/ctrlProp742.xml><?xml version="1.0" encoding="utf-8"?>
<formControlPr xmlns="http://schemas.microsoft.com/office/spreadsheetml/2009/9/main" objectType="Spin" dx="15" fmlaLink="NeoBer1700!$D$39" inc="10" max="30000" page="10" val="5000"/>
</file>

<file path=xl/ctrlProps/ctrlProp743.xml><?xml version="1.0" encoding="utf-8"?>
<formControlPr xmlns="http://schemas.microsoft.com/office/spreadsheetml/2009/9/main" objectType="Spin" dx="15" fmlaLink="NeoBer1700!$D$40" max="30000" page="10" val="5000"/>
</file>

<file path=xl/ctrlProps/ctrlProp744.xml><?xml version="1.0" encoding="utf-8"?>
<formControlPr xmlns="http://schemas.microsoft.com/office/spreadsheetml/2009/9/main" objectType="Spin" dx="15" fmlaLink="NeoBer1700!$D$41" max="30000" page="10" val="5000"/>
</file>

<file path=xl/ctrlProps/ctrlProp745.xml><?xml version="1.0" encoding="utf-8"?>
<formControlPr xmlns="http://schemas.microsoft.com/office/spreadsheetml/2009/9/main" objectType="Spin" dx="15" fmlaLink="NeoBer1700!$D$42" max="30000" page="10" val="5000"/>
</file>

<file path=xl/ctrlProps/ctrlProp746.xml><?xml version="1.0" encoding="utf-8"?>
<formControlPr xmlns="http://schemas.microsoft.com/office/spreadsheetml/2009/9/main" objectType="Spin" dx="15" fmlaLink="NeoBer1700!$D$43" max="30000" page="10" val="5000"/>
</file>

<file path=xl/ctrlProps/ctrlProp747.xml><?xml version="1.0" encoding="utf-8"?>
<formControlPr xmlns="http://schemas.microsoft.com/office/spreadsheetml/2009/9/main" objectType="Spin" dx="15" fmlaLink="NeoBer1700!$D$37" max="30000" page="10" val="5000"/>
</file>

<file path=xl/ctrlProps/ctrlProp748.xml><?xml version="1.0" encoding="utf-8"?>
<formControlPr xmlns="http://schemas.microsoft.com/office/spreadsheetml/2009/9/main" objectType="Spin" dx="15" fmlaLink="NeoBer1700!$D$38" max="30000" page="10" val="5000"/>
</file>

<file path=xl/ctrlProps/ctrlProp749.xml><?xml version="1.0" encoding="utf-8"?>
<formControlPr xmlns="http://schemas.microsoft.com/office/spreadsheetml/2009/9/main" objectType="Spin" dx="15" fmlaLink="NeoBer1700!$D$44" max="30000" page="10" val="5000"/>
</file>

<file path=xl/ctrlProps/ctrlProp750.xml><?xml version="1.0" encoding="utf-8"?>
<formControlPr xmlns="http://schemas.microsoft.com/office/spreadsheetml/2009/9/main" objectType="Radio" firstButton="1" fmlaLink="NeoBer1700!$B$15" lockText="1"/>
</file>

<file path=xl/ctrlProps/ctrlProp751.xml><?xml version="1.0" encoding="utf-8"?>
<formControlPr xmlns="http://schemas.microsoft.com/office/spreadsheetml/2009/9/main" objectType="Radio" checked="Checked" lockText="1"/>
</file>

<file path=xl/ctrlProps/ctrlProp752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53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54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55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56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57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58.xml><?xml version="1.0" encoding="utf-8"?>
<formControlPr xmlns="http://schemas.microsoft.com/office/spreadsheetml/2009/9/main" objectType="Spin" dx="15" fmlaLink="NeoBer1700!$D$20" max="30000" page="10" val="0"/>
</file>

<file path=xl/ctrlProps/ctrlProp759.xml><?xml version="1.0" encoding="utf-8"?>
<formControlPr xmlns="http://schemas.microsoft.com/office/spreadsheetml/2009/9/main" objectType="Spin" dx="15" fmlaLink="NeoBer1700!$D$21" max="30000" page="10" val="0"/>
</file>

<file path=xl/ctrlProps/ctrlProp760.xml><?xml version="1.0" encoding="utf-8"?>
<formControlPr xmlns="http://schemas.microsoft.com/office/spreadsheetml/2009/9/main" objectType="Spin" dx="15" fmlaLink="NeoBer1700!$D$22" max="30000" page="10" val="0"/>
</file>

<file path=xl/ctrlProps/ctrlProp761.xml><?xml version="1.0" encoding="utf-8"?>
<formControlPr xmlns="http://schemas.microsoft.com/office/spreadsheetml/2009/9/main" objectType="Spin" dx="15" fmlaLink="NeoBer1700!$D$23" max="30000" page="10" val="0"/>
</file>

<file path=xl/ctrlProps/ctrlProp762.xml><?xml version="1.0" encoding="utf-8"?>
<formControlPr xmlns="http://schemas.microsoft.com/office/spreadsheetml/2009/9/main" objectType="Spin" dx="15" fmlaLink="NeoBer1700!$D$24" max="30000" page="10" val="0"/>
</file>

<file path=xl/ctrlProps/ctrlProp763.xml><?xml version="1.0" encoding="utf-8"?>
<formControlPr xmlns="http://schemas.microsoft.com/office/spreadsheetml/2009/9/main" objectType="Spin" dx="15" fmlaLink="NeoBer1700!$D$25" max="30000" page="10" val="0"/>
</file>

<file path=xl/ctrlProps/ctrlProp764.xml><?xml version="1.0" encoding="utf-8"?>
<formControlPr xmlns="http://schemas.microsoft.com/office/spreadsheetml/2009/9/main" objectType="Spin" dx="15" fmlaLink="NeoBer1700!$D$26" max="30000" page="10" val="0"/>
</file>

<file path=xl/ctrlProps/ctrlProp765.xml><?xml version="1.0" encoding="utf-8"?>
<formControlPr xmlns="http://schemas.microsoft.com/office/spreadsheetml/2009/9/main" objectType="Spin" dx="15" fmlaLink="NeoBer1700!$C$20" inc="10" max="30000" page="10" val="0"/>
</file>

<file path=xl/ctrlProps/ctrlProp766.xml><?xml version="1.0" encoding="utf-8"?>
<formControlPr xmlns="http://schemas.microsoft.com/office/spreadsheetml/2009/9/main" objectType="Spin" dx="15" fmlaLink="NeoBer1700!$C$21" inc="10" max="30000" page="10" val="0"/>
</file>

<file path=xl/ctrlProps/ctrlProp767.xml><?xml version="1.0" encoding="utf-8"?>
<formControlPr xmlns="http://schemas.microsoft.com/office/spreadsheetml/2009/9/main" objectType="Spin" dx="15" fmlaLink="NeoBer1700!$C$22" inc="10" max="30000" page="10" val="0"/>
</file>

<file path=xl/ctrlProps/ctrlProp768.xml><?xml version="1.0" encoding="utf-8"?>
<formControlPr xmlns="http://schemas.microsoft.com/office/spreadsheetml/2009/9/main" objectType="Spin" dx="15" fmlaLink="NeoBer1700!$C$23" inc="10" max="30000" page="10" val="0"/>
</file>

<file path=xl/ctrlProps/ctrlProp769.xml><?xml version="1.0" encoding="utf-8"?>
<formControlPr xmlns="http://schemas.microsoft.com/office/spreadsheetml/2009/9/main" objectType="Spin" dx="15" fmlaLink="NeoBer1700!$C$24" inc="10" max="30000" page="10" val="0"/>
</file>

<file path=xl/ctrlProps/ctrlProp770.xml><?xml version="1.0" encoding="utf-8"?>
<formControlPr xmlns="http://schemas.microsoft.com/office/spreadsheetml/2009/9/main" objectType="Spin" dx="15" fmlaLink="NeoBer1700!$C$25" inc="10" max="30000" page="10" val="0"/>
</file>

<file path=xl/ctrlProps/ctrlProp771.xml><?xml version="1.0" encoding="utf-8"?>
<formControlPr xmlns="http://schemas.microsoft.com/office/spreadsheetml/2009/9/main" objectType="Spin" dx="15" fmlaLink="NeoBer1700!$C$26" inc="10" max="30000" page="10" val="0"/>
</file>

<file path=xl/ctrlProps/ctrlProp772.xml><?xml version="1.0" encoding="utf-8"?>
<formControlPr xmlns="http://schemas.microsoft.com/office/spreadsheetml/2009/9/main" objectType="GBox"/>
</file>

<file path=xl/ctrlProps/ctrlProp773.xml><?xml version="1.0" encoding="utf-8"?>
<formControlPr xmlns="http://schemas.microsoft.com/office/spreadsheetml/2009/9/main" objectType="GBox" noThreeD="1"/>
</file>

<file path=xl/ctrlProps/ctrlProp774.xml><?xml version="1.0" encoding="utf-8"?>
<formControlPr xmlns="http://schemas.microsoft.com/office/spreadsheetml/2009/9/main" objectType="CheckBox" fmlaLink="NeoBer1700!$J$18" lockText="1"/>
</file>

<file path=xl/ctrlProps/ctrlProp775.xml><?xml version="1.0" encoding="utf-8"?>
<formControlPr xmlns="http://schemas.microsoft.com/office/spreadsheetml/2009/9/main" objectType="CheckBox" fmlaLink="NeoBer1700!$J$20" lockText="1"/>
</file>

<file path=xl/ctrlProps/ctrlProp776.xml><?xml version="1.0" encoding="utf-8"?>
<formControlPr xmlns="http://schemas.microsoft.com/office/spreadsheetml/2009/9/main" objectType="CheckBox" fmlaLink="NeoBer1700!$J$21" lockText="1"/>
</file>

<file path=xl/ctrlProps/ctrlProp777.xml><?xml version="1.0" encoding="utf-8"?>
<formControlPr xmlns="http://schemas.microsoft.com/office/spreadsheetml/2009/9/main" objectType="CheckBox" fmlaLink="NeoBer1700!$J$22" lockText="1"/>
</file>

<file path=xl/ctrlProps/ctrlProp778.xml><?xml version="1.0" encoding="utf-8"?>
<formControlPr xmlns="http://schemas.microsoft.com/office/spreadsheetml/2009/9/main" objectType="CheckBox" fmlaLink="NeoBer1700!$J$23" lockText="1"/>
</file>

<file path=xl/ctrlProps/ctrlProp779.xml><?xml version="1.0" encoding="utf-8"?>
<formControlPr xmlns="http://schemas.microsoft.com/office/spreadsheetml/2009/9/main" objectType="CheckBox" fmlaLink="NeoBer1700!$J$24" lockText="1"/>
</file>

<file path=xl/ctrlProps/ctrlProp780.xml><?xml version="1.0" encoding="utf-8"?>
<formControlPr xmlns="http://schemas.microsoft.com/office/spreadsheetml/2009/9/main" objectType="CheckBox" fmlaLink="NeoBer1700!$J$25" lockText="1"/>
</file>

<file path=xl/ctrlProps/ctrlProp781.xml><?xml version="1.0" encoding="utf-8"?>
<formControlPr xmlns="http://schemas.microsoft.com/office/spreadsheetml/2009/9/main" objectType="CheckBox" lockText="1"/>
</file>

<file path=xl/ctrlProps/ctrlProp782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83.xml><?xml version="1.0" encoding="utf-8"?>
<formControlPr xmlns="http://schemas.microsoft.com/office/spreadsheetml/2009/9/main" objectType="Spin" dx="15" fmlaLink="NeoBer1700!$F$27" max="30000" page="10" val="0"/>
</file>

<file path=xl/ctrlProps/ctrlProp784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85.xml><?xml version="1.0" encoding="utf-8"?>
<formControlPr xmlns="http://schemas.microsoft.com/office/spreadsheetml/2009/9/main" objectType="Spin" dx="15" fmlaLink="NeoBer1700!$D$27" max="30000" page="10" val="0"/>
</file>

<file path=xl/ctrlProps/ctrlProp786.xml><?xml version="1.0" encoding="utf-8"?>
<formControlPr xmlns="http://schemas.microsoft.com/office/spreadsheetml/2009/9/main" objectType="Spin" dx="15" fmlaLink="NeoBer1700!$C$27" inc="10" max="30000" page="10" val="0"/>
</file>

<file path=xl/ctrlProps/ctrlProp787.xml><?xml version="1.0" encoding="utf-8"?>
<formControlPr xmlns="http://schemas.microsoft.com/office/spreadsheetml/2009/9/main" objectType="CheckBox" fmlaLink="NeoBer1700!$J$26" lockText="1"/>
</file>

<file path=xl/ctrlProps/ctrlProp788.xml><?xml version="1.0" encoding="utf-8"?>
<formControlPr xmlns="http://schemas.microsoft.com/office/spreadsheetml/2009/9/main" objectType="CheckBox" lockText="1"/>
</file>

<file path=xl/ctrlProps/ctrlProp789.xml><?xml version="1.0" encoding="utf-8"?>
<formControlPr xmlns="http://schemas.microsoft.com/office/spreadsheetml/2009/9/main" objectType="Spin" dx="15" fmlaLink="NeoBer1700!$F$28" max="30000" page="10" val="0"/>
</file>

<file path=xl/ctrlProps/ctrlProp790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791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792.xml><?xml version="1.0" encoding="utf-8"?>
<formControlPr xmlns="http://schemas.microsoft.com/office/spreadsheetml/2009/9/main" objectType="CheckBox" fmlaLink="NeoBer1700!$J$27" lockText="1"/>
</file>

<file path=xl/ctrlProps/ctrlProp793.xml><?xml version="1.0" encoding="utf-8"?>
<formControlPr xmlns="http://schemas.microsoft.com/office/spreadsheetml/2009/9/main" objectType="CheckBox" fmlaLink="NeoBer1700!$J$28" lockText="1"/>
</file>

<file path=xl/ctrlProps/ctrlProp794.xml><?xml version="1.0" encoding="utf-8"?>
<formControlPr xmlns="http://schemas.microsoft.com/office/spreadsheetml/2009/9/main" objectType="Spin" dx="15" fmlaLink="NeoBer1700!$D$35" max="30000" page="10" val="5000"/>
</file>

<file path=xl/ctrlProps/ctrlProp795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796.xml><?xml version="1.0" encoding="utf-8"?>
<formControlPr xmlns="http://schemas.microsoft.com/office/spreadsheetml/2009/9/main" objectType="Spin" dx="15" fmlaLink="NeoBerInfB!$D$4" max="43" min="24" page="10" val="30"/>
</file>

<file path=xl/ctrlProps/ctrlProp797.xml><?xml version="1.0" encoding="utf-8"?>
<formControlPr xmlns="http://schemas.microsoft.com/office/spreadsheetml/2009/9/main" objectType="Spin" dx="15" fmlaLink="NeoBerInfB!$D$5" max="6" page="10" val="0"/>
</file>

<file path=xl/ctrlProps/ctrlProp798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799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00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01.xml><?xml version="1.0" encoding="utf-8"?>
<formControlPr xmlns="http://schemas.microsoft.com/office/spreadsheetml/2009/9/main" objectType="Spin" dx="15" fmlaLink="NeoBer1700!$D$12" max="24" page="10" val="0"/>
</file>

<file path=xl/ctrlProps/ctrlProp802.xml><?xml version="1.0" encoding="utf-8"?>
<formControlPr xmlns="http://schemas.microsoft.com/office/spreadsheetml/2009/9/main" objectType="Spin" dx="15" fmlaLink="NeoBer1700!$D$13" inc="5" max="30000" page="10" val="0"/>
</file>

<file path=xl/ctrlProps/ctrlProp803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04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05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06.xml><?xml version="1.0" encoding="utf-8"?>
<formControlPr xmlns="http://schemas.microsoft.com/office/spreadsheetml/2009/9/main" objectType="Spin" dx="15" fmlaLink="NeoBer1700!$D$28" max="30000" page="10" val="0"/>
</file>

<file path=xl/ctrlProps/ctrlProp807.xml><?xml version="1.0" encoding="utf-8"?>
<formControlPr xmlns="http://schemas.microsoft.com/office/spreadsheetml/2009/9/main" objectType="Spin" dx="15" fmlaLink="NeoBer1700!$C$28" inc="10" max="30000" page="10" val="0"/>
</file>

<file path=xl/ctrlProps/ctrlProp808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09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10.xml><?xml version="1.0" encoding="utf-8"?>
<formControlPr xmlns="http://schemas.microsoft.com/office/spreadsheetml/2009/9/main" objectType="Spin" dx="15" fmlaLink="NeoBer1700!$F$29" max="30000" page="10" val="0"/>
</file>

<file path=xl/ctrlProps/ctrlProp811.xml><?xml version="1.0" encoding="utf-8"?>
<formControlPr xmlns="http://schemas.microsoft.com/office/spreadsheetml/2009/9/main" objectType="CheckBox" fmlaLink="NeoBer1700!$J$29" lockText="1"/>
</file>

<file path=xl/ctrlProps/ctrlProp812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13.xml><?xml version="1.0" encoding="utf-8"?>
<formControlPr xmlns="http://schemas.microsoft.com/office/spreadsheetml/2009/9/main" objectType="Spin" dx="15" fmlaLink="NeoBer1700!$F$30" max="30000" page="10" val="0"/>
</file>

<file path=xl/ctrlProps/ctrlProp814.xml><?xml version="1.0" encoding="utf-8"?>
<formControlPr xmlns="http://schemas.microsoft.com/office/spreadsheetml/2009/9/main" objectType="CheckBox" fmlaLink="NeoBer1700!$J$30" lockText="1"/>
</file>

<file path=xl/ctrlProps/ctrlProp815.xml><?xml version="1.0" encoding="utf-8"?>
<formControlPr xmlns="http://schemas.microsoft.com/office/spreadsheetml/2009/9/main" objectType="CheckBox" fmlaLink="NeoBer1700!$J$30" lockText="1"/>
</file>

<file path=xl/ctrlProps/ctrlProp816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17.xml><?xml version="1.0" encoding="utf-8"?>
<formControlPr xmlns="http://schemas.microsoft.com/office/spreadsheetml/2009/9/main" objectType="Spin" dx="15" fmlaLink="NeoBer1700!$F$31" max="30000" page="10" val="0"/>
</file>

<file path=xl/ctrlProps/ctrlProp818.xml><?xml version="1.0" encoding="utf-8"?>
<formControlPr xmlns="http://schemas.microsoft.com/office/spreadsheetml/2009/9/main" objectType="CheckBox" fmlaLink="NeoBer1700!$J$31" lockText="1"/>
</file>

<file path=xl/ctrlProps/ctrlProp819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20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21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22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23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24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25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26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27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28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29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30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31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32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33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34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35.xml><?xml version="1.0" encoding="utf-8"?>
<formControlPr xmlns="http://schemas.microsoft.com/office/spreadsheetml/2009/9/main" objectType="CheckBox" fmlaLink="NeoBer1700!$B$17" lockText="1" noThreeD="1"/>
</file>

<file path=xl/ctrlProps/ctrlProp836.xml><?xml version="1.0" encoding="utf-8"?>
<formControlPr xmlns="http://schemas.microsoft.com/office/spreadsheetml/2009/9/main" objectType="Spin" dx="15" fmlaLink="NeoBer1700!$F$21" max="30000" page="10" val="0"/>
</file>

<file path=xl/ctrlProps/ctrlProp837.xml><?xml version="1.0" encoding="utf-8"?>
<formControlPr xmlns="http://schemas.microsoft.com/office/spreadsheetml/2009/9/main" objectType="Spin" dx="15" fmlaLink="NeoBer1700!$F$21" max="30000" page="10" val="0"/>
</file>

<file path=xl/ctrlProps/ctrlProp838.xml><?xml version="1.0" encoding="utf-8"?>
<formControlPr xmlns="http://schemas.microsoft.com/office/spreadsheetml/2009/9/main" objectType="Spin" dx="15" fmlaLink="NeoBer1700!$F$22" max="30000" page="10" val="0"/>
</file>

<file path=xl/ctrlProps/ctrlProp839.xml><?xml version="1.0" encoding="utf-8"?>
<formControlPr xmlns="http://schemas.microsoft.com/office/spreadsheetml/2009/9/main" objectType="Spin" dx="15" fmlaLink="NeoBer1700!$F$21" max="30000" page="10" val="0"/>
</file>

<file path=xl/ctrlProps/ctrlProp840.xml><?xml version="1.0" encoding="utf-8"?>
<formControlPr xmlns="http://schemas.microsoft.com/office/spreadsheetml/2009/9/main" objectType="Spin" dx="15" fmlaLink="NeoBer1700!$F$23" max="30000" page="10" val="0"/>
</file>

<file path=xl/ctrlProps/ctrlProp841.xml><?xml version="1.0" encoding="utf-8"?>
<formControlPr xmlns="http://schemas.microsoft.com/office/spreadsheetml/2009/9/main" objectType="Spin" dx="15" fmlaLink="NeoBer1700!$F$21" max="30000" page="10" val="0"/>
</file>

<file path=xl/ctrlProps/ctrlProp842.xml><?xml version="1.0" encoding="utf-8"?>
<formControlPr xmlns="http://schemas.microsoft.com/office/spreadsheetml/2009/9/main" objectType="Spin" dx="15" fmlaLink="NeoBer1700!$F$24" max="30000" page="10" val="0"/>
</file>

<file path=xl/ctrlProps/ctrlProp843.xml><?xml version="1.0" encoding="utf-8"?>
<formControlPr xmlns="http://schemas.microsoft.com/office/spreadsheetml/2009/9/main" objectType="Spin" dx="15" fmlaLink="NeoBer1700!$F$21" max="30000" page="10" val="0"/>
</file>

<file path=xl/ctrlProps/ctrlProp844.xml><?xml version="1.0" encoding="utf-8"?>
<formControlPr xmlns="http://schemas.microsoft.com/office/spreadsheetml/2009/9/main" objectType="Spin" dx="15" fmlaLink="NeoBer1700!$F$25" max="30000" page="10" val="0"/>
</file>

<file path=xl/ctrlProps/ctrlProp845.xml><?xml version="1.0" encoding="utf-8"?>
<formControlPr xmlns="http://schemas.microsoft.com/office/spreadsheetml/2009/9/main" objectType="Spin" dx="15" fmlaLink="NeoBer1700!$F$21" max="30000" page="10" val="0"/>
</file>

<file path=xl/ctrlProps/ctrlProp846.xml><?xml version="1.0" encoding="utf-8"?>
<formControlPr xmlns="http://schemas.microsoft.com/office/spreadsheetml/2009/9/main" objectType="Spin" dx="15" fmlaLink="NeoBer1700!$F$26" max="30000" page="10" val="0"/>
</file>

<file path=xl/ctrlProps/ctrlProp847.xml><?xml version="1.0" encoding="utf-8"?>
<formControlPr xmlns="http://schemas.microsoft.com/office/spreadsheetml/2009/9/main" objectType="Spin" dx="15" fmlaLink="NeoBer1700!$F$21" max="30000" page="10" val="0"/>
</file>

<file path=xl/ctrlProps/ctrlProp848.xml><?xml version="1.0" encoding="utf-8"?>
<formControlPr xmlns="http://schemas.microsoft.com/office/spreadsheetml/2009/9/main" objectType="Spin" dx="15" fmlaLink="NeoBer1700!$F$27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8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2" max="30000" page="10" val="0"/>
</file>

<file path=xl/ctrlProps/ctrlProp853.xml><?xml version="1.0" encoding="utf-8"?>
<formControlPr xmlns="http://schemas.microsoft.com/office/spreadsheetml/2009/9/main" objectType="Spin" dx="15" fmlaLink="NeoBer1700!$F$23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5" max="30000" page="10" val="0"/>
</file>

<file path=xl/ctrlProps/ctrlProp856.xml><?xml version="1.0" encoding="utf-8"?>
<formControlPr xmlns="http://schemas.microsoft.com/office/spreadsheetml/2009/9/main" objectType="Spin" dx="15" fmlaLink="NeoBer1700!$F$26" max="30000" page="10" val="0"/>
</file>

<file path=xl/ctrlProps/ctrlProp857.xml><?xml version="1.0" encoding="utf-8"?>
<formControlPr xmlns="http://schemas.microsoft.com/office/spreadsheetml/2009/9/main" objectType="Spin" dx="15" fmlaLink="NeoBer1700!$F$27" max="30000" page="10" val="0"/>
</file>

<file path=xl/ctrlProps/ctrlProp858.xml><?xml version="1.0" encoding="utf-8"?>
<formControlPr xmlns="http://schemas.microsoft.com/office/spreadsheetml/2009/9/main" objectType="Spin" dx="15" fmlaLink="NeoBer1700!$F$28" max="30000" page="10" val="0"/>
</file>

<file path=xl/ctrlProps/ctrlProp859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60.xml><?xml version="1.0" encoding="utf-8"?>
<formControlPr xmlns="http://schemas.microsoft.com/office/spreadsheetml/2009/9/main" objectType="Spin" dx="15" fmlaLink="PatDetails!$B$7" max="200" min="25" page="10" val="80"/>
</file>

<file path=xl/ctrlProps/ctrlProp861.xml><?xml version="1.0" encoding="utf-8"?>
<formControlPr xmlns="http://schemas.microsoft.com/office/spreadsheetml/2009/9/main" objectType="CheckBox" fmlaLink="NeoBerAfspr!$F$7" lockText="1"/>
</file>

<file path=xl/ctrlProps/ctrlProp862.xml><?xml version="1.0" encoding="utf-8"?>
<formControlPr xmlns="http://schemas.microsoft.com/office/spreadsheetml/2009/9/main" objectType="CheckBox" fmlaLink="NeoBerAfspr!$F$8" lockText="1"/>
</file>

<file path=xl/ctrlProps/ctrlProp863.xml><?xml version="1.0" encoding="utf-8"?>
<formControlPr xmlns="http://schemas.microsoft.com/office/spreadsheetml/2009/9/main" objectType="CheckBox" fmlaLink="NeoBerAfspr!$F$13" lockText="1"/>
</file>

<file path=xl/ctrlProps/ctrlProp864.xml><?xml version="1.0" encoding="utf-8"?>
<formControlPr xmlns="http://schemas.microsoft.com/office/spreadsheetml/2009/9/main" objectType="CheckBox" fmlaLink="NeoBerAfspr!$F$14" lockText="1"/>
</file>

<file path=xl/ctrlProps/ctrlProp865.xml><?xml version="1.0" encoding="utf-8"?>
<formControlPr xmlns="http://schemas.microsoft.com/office/spreadsheetml/2009/9/main" objectType="CheckBox" fmlaLink="NeoBerAfspr!$F$15" lockText="1"/>
</file>

<file path=xl/ctrlProps/ctrlProp866.xml><?xml version="1.0" encoding="utf-8"?>
<formControlPr xmlns="http://schemas.microsoft.com/office/spreadsheetml/2009/9/main" objectType="CheckBox" fmlaLink="NeoBerAfspr!$F$17" lockText="1"/>
</file>

<file path=xl/ctrlProps/ctrlProp867.xml><?xml version="1.0" encoding="utf-8"?>
<formControlPr xmlns="http://schemas.microsoft.com/office/spreadsheetml/2009/9/main" objectType="CheckBox" fmlaLink="NeoBerAfspr!$F$18" lockText="1"/>
</file>

<file path=xl/ctrlProps/ctrlProp868.xml><?xml version="1.0" encoding="utf-8"?>
<formControlPr xmlns="http://schemas.microsoft.com/office/spreadsheetml/2009/9/main" objectType="CheckBox" fmlaLink="NeoBerAfspr!$F$21" lockText="1"/>
</file>

<file path=xl/ctrlProps/ctrlProp869.xml><?xml version="1.0" encoding="utf-8"?>
<formControlPr xmlns="http://schemas.microsoft.com/office/spreadsheetml/2009/9/main" objectType="CheckBox" fmlaLink="NeoBerAfspr!$F$22" lockText="1"/>
</file>

<file path=xl/ctrlProps/ctrlProp870.xml><?xml version="1.0" encoding="utf-8"?>
<formControlPr xmlns="http://schemas.microsoft.com/office/spreadsheetml/2009/9/main" objectType="CheckBox" fmlaLink="NeoBerAfspr!$H$9" lockText="1"/>
</file>

<file path=xl/ctrlProps/ctrlProp871.xml><?xml version="1.0" encoding="utf-8"?>
<formControlPr xmlns="http://schemas.microsoft.com/office/spreadsheetml/2009/9/main" objectType="CheckBox" fmlaLink="NeoBerAfspr!$H$10" lockText="1"/>
</file>

<file path=xl/ctrlProps/ctrlProp872.xml><?xml version="1.0" encoding="utf-8"?>
<formControlPr xmlns="http://schemas.microsoft.com/office/spreadsheetml/2009/9/main" objectType="CheckBox" fmlaLink="NeoBerAfspr!$H$11" lockText="1"/>
</file>

<file path=xl/ctrlProps/ctrlProp873.xml><?xml version="1.0" encoding="utf-8"?>
<formControlPr xmlns="http://schemas.microsoft.com/office/spreadsheetml/2009/9/main" objectType="CheckBox" fmlaLink="NeoBerAfspr!$H$8" lockText="1"/>
</file>

<file path=xl/ctrlProps/ctrlProp874.xml><?xml version="1.0" encoding="utf-8"?>
<formControlPr xmlns="http://schemas.microsoft.com/office/spreadsheetml/2009/9/main" objectType="CheckBox" fmlaLink="NeoBerAfspr!$F$12" lockText="1"/>
</file>

<file path=xl/ctrlProps/ctrlProp875.xml><?xml version="1.0" encoding="utf-8"?>
<formControlPr xmlns="http://schemas.microsoft.com/office/spreadsheetml/2009/9/main" objectType="CheckBox" fmlaLink="NeoBerAfspr!$H$13" lockText="1"/>
</file>

<file path=xl/ctrlProps/ctrlProp876.xml><?xml version="1.0" encoding="utf-8"?>
<formControlPr xmlns="http://schemas.microsoft.com/office/spreadsheetml/2009/9/main" objectType="CheckBox" fmlaLink="NeoBerAfspr!$H$15" lockText="1"/>
</file>

<file path=xl/ctrlProps/ctrlProp877.xml><?xml version="1.0" encoding="utf-8"?>
<formControlPr xmlns="http://schemas.microsoft.com/office/spreadsheetml/2009/9/main" objectType="CheckBox" fmlaLink="NeoBerAfspr!$H$16" lockText="1"/>
</file>

<file path=xl/ctrlProps/ctrlProp878.xml><?xml version="1.0" encoding="utf-8"?>
<formControlPr xmlns="http://schemas.microsoft.com/office/spreadsheetml/2009/9/main" objectType="CheckBox" fmlaLink="NeoBerAfspr!$H$18" lockText="1"/>
</file>

<file path=xl/ctrlProps/ctrlProp879.xml><?xml version="1.0" encoding="utf-8"?>
<formControlPr xmlns="http://schemas.microsoft.com/office/spreadsheetml/2009/9/main" objectType="CheckBox" fmlaLink="NeoBerAfspr!$H$20" lockText="1"/>
</file>

<file path=xl/ctrlProps/ctrlProp880.xml><?xml version="1.0" encoding="utf-8"?>
<formControlPr xmlns="http://schemas.microsoft.com/office/spreadsheetml/2009/9/main" objectType="CheckBox" fmlaLink="NeoBerAfspr!$H$19" lockText="1"/>
</file>

<file path=xl/ctrlProps/ctrlProp881.xml><?xml version="1.0" encoding="utf-8"?>
<formControlPr xmlns="http://schemas.microsoft.com/office/spreadsheetml/2009/9/main" objectType="CheckBox" fmlaLink="NeoBerAfspr!$H$22" lockText="1"/>
</file>

<file path=xl/ctrlProps/ctrlProp882.xml><?xml version="1.0" encoding="utf-8"?>
<formControlPr xmlns="http://schemas.microsoft.com/office/spreadsheetml/2009/9/main" objectType="CheckBox" fmlaLink="NeoBerAfspr!$F$23" lockText="1"/>
</file>

<file path=xl/ctrlProps/ctrlProp883.xml><?xml version="1.0" encoding="utf-8"?>
<formControlPr xmlns="http://schemas.microsoft.com/office/spreadsheetml/2009/9/main" objectType="CheckBox" fmlaLink="NeoBerAfspr!$H$23" lockText="1"/>
</file>

<file path=xl/ctrlProps/ctrlProp884.xml><?xml version="1.0" encoding="utf-8"?>
<formControlPr xmlns="http://schemas.microsoft.com/office/spreadsheetml/2009/9/main" objectType="CheckBox" fmlaLink="NeoBerAfspr!$H$24" lockText="1"/>
</file>

<file path=xl/ctrlProps/ctrlProp885.xml><?xml version="1.0" encoding="utf-8"?>
<formControlPr xmlns="http://schemas.microsoft.com/office/spreadsheetml/2009/9/main" objectType="CheckBox" fmlaLink="NeoBerAfspr!$H$25" lockText="1"/>
</file>

<file path=xl/ctrlProps/ctrlProp886.xml><?xml version="1.0" encoding="utf-8"?>
<formControlPr xmlns="http://schemas.microsoft.com/office/spreadsheetml/2009/9/main" objectType="CheckBox" fmlaLink="NeoBerAfspr!$H$26" lockText="1"/>
</file>

<file path=xl/ctrlProps/ctrlProp887.xml><?xml version="1.0" encoding="utf-8"?>
<formControlPr xmlns="http://schemas.microsoft.com/office/spreadsheetml/2009/9/main" objectType="CheckBox" fmlaLink="NeoBerAfspr!$H$27" lockText="1"/>
</file>

<file path=xl/ctrlProps/ctrlProp888.xml><?xml version="1.0" encoding="utf-8"?>
<formControlPr xmlns="http://schemas.microsoft.com/office/spreadsheetml/2009/9/main" objectType="CheckBox" fmlaLink="NeoBerAfspr!$H$28" lockText="1"/>
</file>

<file path=xl/ctrlProps/ctrlProp889.xml><?xml version="1.0" encoding="utf-8"?>
<formControlPr xmlns="http://schemas.microsoft.com/office/spreadsheetml/2009/9/main" objectType="CheckBox" fmlaLink="NeoBerAfspr!$H$29" lockText="1"/>
</file>

<file path=xl/ctrlProps/ctrlProp890.xml><?xml version="1.0" encoding="utf-8"?>
<formControlPr xmlns="http://schemas.microsoft.com/office/spreadsheetml/2009/9/main" objectType="CheckBox" fmlaLink="NeoBerAfspr!$H$30" lockText="1"/>
</file>

<file path=xl/ctrlProps/ctrlProp891.xml><?xml version="1.0" encoding="utf-8"?>
<formControlPr xmlns="http://schemas.microsoft.com/office/spreadsheetml/2009/9/main" objectType="CheckBox" fmlaLink="NeoBerAfspr!$F$31" lockText="1"/>
</file>

<file path=xl/ctrlProps/ctrlProp892.xml><?xml version="1.0" encoding="utf-8"?>
<formControlPr xmlns="http://schemas.microsoft.com/office/spreadsheetml/2009/9/main" objectType="CheckBox" fmlaLink="NeoBerAfspr!$J$7" lockText="1"/>
</file>

<file path=xl/ctrlProps/ctrlProp893.xml><?xml version="1.0" encoding="utf-8"?>
<formControlPr xmlns="http://schemas.microsoft.com/office/spreadsheetml/2009/9/main" objectType="CheckBox" fmlaLink="NeoBerAfspr!$J$8" lockText="1"/>
</file>

<file path=xl/ctrlProps/ctrlProp894.xml><?xml version="1.0" encoding="utf-8"?>
<formControlPr xmlns="http://schemas.microsoft.com/office/spreadsheetml/2009/9/main" objectType="CheckBox" fmlaLink="NeoBerAfspr!$J$9" lockText="1"/>
</file>

<file path=xl/ctrlProps/ctrlProp895.xml><?xml version="1.0" encoding="utf-8"?>
<formControlPr xmlns="http://schemas.microsoft.com/office/spreadsheetml/2009/9/main" objectType="CheckBox" fmlaLink="NeoBerAfspr!$J$10" lockText="1"/>
</file>

<file path=xl/ctrlProps/ctrlProp896.xml><?xml version="1.0" encoding="utf-8"?>
<formControlPr xmlns="http://schemas.microsoft.com/office/spreadsheetml/2009/9/main" objectType="CheckBox" fmlaLink="NeoBerAfspr!$J$12" lockText="1"/>
</file>

<file path=xl/ctrlProps/ctrlProp897.xml><?xml version="1.0" encoding="utf-8"?>
<formControlPr xmlns="http://schemas.microsoft.com/office/spreadsheetml/2009/9/main" objectType="CheckBox" fmlaLink="NeoBerAfspr!$J$13" lockText="1"/>
</file>

<file path=xl/ctrlProps/ctrlProp898.xml><?xml version="1.0" encoding="utf-8"?>
<formControlPr xmlns="http://schemas.microsoft.com/office/spreadsheetml/2009/9/main" objectType="CheckBox" fmlaLink="NeoBerAfspr!$J$14" lockText="1"/>
</file>

<file path=xl/ctrlProps/ctrlProp899.xml><?xml version="1.0" encoding="utf-8"?>
<formControlPr xmlns="http://schemas.microsoft.com/office/spreadsheetml/2009/9/main" objectType="CheckBox" fmlaLink="NeoBerAfspr!$J$15" lockText="1"/>
</file>

<file path=xl/ctrlProps/ctrlProp900.xml><?xml version="1.0" encoding="utf-8"?>
<formControlPr xmlns="http://schemas.microsoft.com/office/spreadsheetml/2009/9/main" objectType="CheckBox" fmlaLink="NeoBerAfspr!$J$16" lockText="1"/>
</file>

<file path=xl/ctrlProps/ctrlProp901.xml><?xml version="1.0" encoding="utf-8"?>
<formControlPr xmlns="http://schemas.microsoft.com/office/spreadsheetml/2009/9/main" objectType="CheckBox" fmlaLink="NeoBerAfspr!$J$19" lockText="1"/>
</file>

<file path=xl/ctrlProps/ctrlProp902.xml><?xml version="1.0" encoding="utf-8"?>
<formControlPr xmlns="http://schemas.microsoft.com/office/spreadsheetml/2009/9/main" objectType="CheckBox" fmlaLink="NeoBerAfspr!$J$17" lockText="1"/>
</file>

<file path=xl/ctrlProps/ctrlProp903.xml><?xml version="1.0" encoding="utf-8"?>
<formControlPr xmlns="http://schemas.microsoft.com/office/spreadsheetml/2009/9/main" objectType="CheckBox" fmlaLink="NeoBerAfspr!$J$24" lockText="1"/>
</file>

<file path=xl/ctrlProps/ctrlProp904.xml><?xml version="1.0" encoding="utf-8"?>
<formControlPr xmlns="http://schemas.microsoft.com/office/spreadsheetml/2009/9/main" objectType="CheckBox" fmlaLink="NeoBerAfspr!$L$24" lockText="1"/>
</file>

<file path=xl/ctrlProps/ctrlProp905.xml><?xml version="1.0" encoding="utf-8"?>
<formControlPr xmlns="http://schemas.microsoft.com/office/spreadsheetml/2009/9/main" objectType="CheckBox" fmlaLink="NeoBerAfspr!$L$25" lockText="1"/>
</file>

<file path=xl/ctrlProps/ctrlProp906.xml><?xml version="1.0" encoding="utf-8"?>
<formControlPr xmlns="http://schemas.microsoft.com/office/spreadsheetml/2009/9/main" objectType="CheckBox" fmlaLink="NeoBerAfspr!$L$26" lockText="1"/>
</file>

<file path=xl/ctrlProps/ctrlProp907.xml><?xml version="1.0" encoding="utf-8"?>
<formControlPr xmlns="http://schemas.microsoft.com/office/spreadsheetml/2009/9/main" objectType="CheckBox" fmlaLink="NeoBerAfspr!$L$27" lockText="1"/>
</file>

<file path=xl/ctrlProps/ctrlProp908.xml><?xml version="1.0" encoding="utf-8"?>
<formControlPr xmlns="http://schemas.microsoft.com/office/spreadsheetml/2009/9/main" objectType="CheckBox" fmlaLink="NeoBerAfspr!$J$20" lockText="1"/>
</file>

<file path=xl/ctrlProps/ctrlProp909.xml><?xml version="1.0" encoding="utf-8"?>
<formControlPr xmlns="http://schemas.microsoft.com/office/spreadsheetml/2009/9/main" objectType="CheckBox" fmlaLink="NeoBerAfspr!$L$21" lockText="1"/>
</file>

<file path=xl/ctrlProps/ctrlProp910.xml><?xml version="1.0" encoding="utf-8"?>
<formControlPr xmlns="http://schemas.microsoft.com/office/spreadsheetml/2009/9/main" objectType="CheckBox" fmlaLink="NeoBerAfspr!$L$22" lockText="1"/>
</file>

<file path=xl/ctrlProps/ctrlProp911.xml><?xml version="1.0" encoding="utf-8"?>
<formControlPr xmlns="http://schemas.microsoft.com/office/spreadsheetml/2009/9/main" objectType="CheckBox" fmlaLink="NeoBerAfspr!$L$23" lockText="1"/>
</file>

<file path=xl/ctrlProps/ctrlProp912.xml><?xml version="1.0" encoding="utf-8"?>
<formControlPr xmlns="http://schemas.microsoft.com/office/spreadsheetml/2009/9/main" objectType="Spin" dx="15" fmlaLink="NeoBerAfspr!$B$12" max="24" page="10" val="0"/>
</file>

<file path=xl/ctrlProps/ctrlProp913.xml><?xml version="1.0" encoding="utf-8"?>
<formControlPr xmlns="http://schemas.microsoft.com/office/spreadsheetml/2009/9/main" objectType="Spin" dx="15" fmlaLink="NeoBerAfspr!$K$17" max="24" page="10" val="0"/>
</file>

<file path=xl/ctrlProps/ctrlProp914.xml><?xml version="1.0" encoding="utf-8"?>
<formControlPr xmlns="http://schemas.microsoft.com/office/spreadsheetml/2009/9/main" objectType="Spin" dx="15" fmlaLink="NeoBerAfspr!$L$17" max="1000" page="10" val="0"/>
</file>

<file path=xl/ctrlProps/ctrlProp915.xml><?xml version="1.0" encoding="utf-8"?>
<formControlPr xmlns="http://schemas.microsoft.com/office/spreadsheetml/2009/9/main" objectType="CheckBox" fmlaLink="NeoBerAfspr!$B$27" lockText="1"/>
</file>

<file path=xl/ctrlProps/ctrlProp916.xml><?xml version="1.0" encoding="utf-8"?>
<formControlPr xmlns="http://schemas.microsoft.com/office/spreadsheetml/2009/9/main" objectType="CheckBox" fmlaLink="NeoBerAfspr!$B$28" lockText="1"/>
</file>

<file path=xl/ctrlProps/ctrlProp917.xml><?xml version="1.0" encoding="utf-8"?>
<formControlPr xmlns="http://schemas.microsoft.com/office/spreadsheetml/2009/9/main" objectType="CheckBox" fmlaLink="NeoBerAfspr!$B$29" lockText="1"/>
</file>

<file path=xl/ctrlProps/ctrlProp918.xml><?xml version="1.0" encoding="utf-8"?>
<formControlPr xmlns="http://schemas.microsoft.com/office/spreadsheetml/2009/9/main" objectType="CheckBox" fmlaLink="NeoBerAfspr!$B$30" lockText="1"/>
</file>

<file path=xl/ctrlProps/ctrlProp919.xml><?xml version="1.0" encoding="utf-8"?>
<formControlPr xmlns="http://schemas.microsoft.com/office/spreadsheetml/2009/9/main" objectType="CheckBox" fmlaLink="NeoBerAfspr!$B$34" lockText="1"/>
</file>

<file path=xl/ctrlProps/ctrlProp920.xml><?xml version="1.0" encoding="utf-8"?>
<formControlPr xmlns="http://schemas.microsoft.com/office/spreadsheetml/2009/9/main" objectType="CheckBox" fmlaLink="NeoBerAfspr!$D$35" lockText="1"/>
</file>

<file path=xl/ctrlProps/ctrlProp921.xml><?xml version="1.0" encoding="utf-8"?>
<formControlPr xmlns="http://schemas.microsoft.com/office/spreadsheetml/2009/9/main" objectType="CheckBox" fmlaLink="NeoBerAfspr!$D$36" lockText="1"/>
</file>

<file path=xl/ctrlProps/ctrlProp922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23.xml><?xml version="1.0" encoding="utf-8"?>
<formControlPr xmlns="http://schemas.microsoft.com/office/spreadsheetml/2009/9/main" objectType="CheckBox" fmlaLink="NeoBerAfspr!$B$37" lockText="1"/>
</file>

<file path=xl/ctrlProps/ctrlProp924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25.xml><?xml version="1.0" encoding="utf-8"?>
<formControlPr xmlns="http://schemas.microsoft.com/office/spreadsheetml/2009/9/main" objectType="CheckBox" fmlaLink="NeoBerAfspr!$B$7" lockText="1"/>
</file>

<file path=xl/ctrlProps/ctrlProp926.xml><?xml version="1.0" encoding="utf-8"?>
<formControlPr xmlns="http://schemas.microsoft.com/office/spreadsheetml/2009/9/main" objectType="CheckBox" fmlaLink="NeoBerAfspr!$B$8" lockText="1"/>
</file>

<file path=xl/ctrlProps/ctrlProp927.xml><?xml version="1.0" encoding="utf-8"?>
<formControlPr xmlns="http://schemas.microsoft.com/office/spreadsheetml/2009/9/main" objectType="CheckBox" fmlaLink="NeoBerAfspr!$B$9" lockText="1"/>
</file>

<file path=xl/ctrlProps/ctrlProp928.xml><?xml version="1.0" encoding="utf-8"?>
<formControlPr xmlns="http://schemas.microsoft.com/office/spreadsheetml/2009/9/main" objectType="CheckBox" fmlaLink="NeoBerAfspr!$B$10" lockText="1"/>
</file>

<file path=xl/ctrlProps/ctrlProp929.xml><?xml version="1.0" encoding="utf-8"?>
<formControlPr xmlns="http://schemas.microsoft.com/office/spreadsheetml/2009/9/main" objectType="CheckBox" fmlaLink="NeoBerAfspr!$B$22" lockText="1"/>
</file>

<file path=xl/ctrlProps/ctrlProp930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31.xml><?xml version="1.0" encoding="utf-8"?>
<formControlPr xmlns="http://schemas.microsoft.com/office/spreadsheetml/2009/9/main" objectType="CheckBox" fmlaLink="NeoBerAfspr!$B$23" lockText="1"/>
</file>

<file path=xl/ctrlProps/ctrlProp932.xml><?xml version="1.0" encoding="utf-8"?>
<formControlPr xmlns="http://schemas.microsoft.com/office/spreadsheetml/2009/9/main" objectType="CheckBox" fmlaLink="NeoBerAfspr!$B$25" lockText="1"/>
</file>

<file path=xl/ctrlProps/ctrlProp933.xml><?xml version="1.0" encoding="utf-8"?>
<formControlPr xmlns="http://schemas.microsoft.com/office/spreadsheetml/2009/9/main" objectType="CheckBox" fmlaLink="NeoBerAfspr!$B$26" lockText="1"/>
</file>

<file path=xl/ctrlProps/ctrlProp934.xml><?xml version="1.0" encoding="utf-8"?>
<formControlPr xmlns="http://schemas.microsoft.com/office/spreadsheetml/2009/9/main" objectType="CheckBox" fmlaLink="NeoBerAfspr!$B$24" lockText="1"/>
</file>

<file path=xl/ctrlProps/ctrlProp935.xml><?xml version="1.0" encoding="utf-8"?>
<formControlPr xmlns="http://schemas.microsoft.com/office/spreadsheetml/2009/9/main" objectType="CheckBox" fmlaLink="NeoBerAfspr!$B$31" lockText="1"/>
</file>

<file path=xl/ctrlProps/ctrlProp936.xml><?xml version="1.0" encoding="utf-8"?>
<formControlPr xmlns="http://schemas.microsoft.com/office/spreadsheetml/2009/9/main" objectType="CheckBox" fmlaLink="NeoBerAfspr!$B$32" lockText="1"/>
</file>

<file path=xl/ctrlProps/ctrlProp937.xml><?xml version="1.0" encoding="utf-8"?>
<formControlPr xmlns="http://schemas.microsoft.com/office/spreadsheetml/2009/9/main" objectType="CheckBox" fmlaLink="NeoBerAfspr!$B$11" lockText="1"/>
</file>

<file path=xl/ctrlProps/ctrlProp938.xml><?xml version="1.0" encoding="utf-8"?>
<formControlPr xmlns="http://schemas.microsoft.com/office/spreadsheetml/2009/9/main" objectType="CheckBox" fmlaLink="NeoBerAfspr!$B$15" lockText="1"/>
</file>

<file path=xl/ctrlProps/ctrlProp939.xml><?xml version="1.0" encoding="utf-8"?>
<formControlPr xmlns="http://schemas.microsoft.com/office/spreadsheetml/2009/9/main" objectType="CheckBox" fmlaLink="NeoBerAfspr!$B$16" lockText="1"/>
</file>

<file path=xl/ctrlProps/ctrlProp940.xml><?xml version="1.0" encoding="utf-8"?>
<formControlPr xmlns="http://schemas.microsoft.com/office/spreadsheetml/2009/9/main" objectType="CheckBox" fmlaLink="NeoBerAfspr!$B$17" lockText="1"/>
</file>

<file path=xl/ctrlProps/ctrlProp941.xml><?xml version="1.0" encoding="utf-8"?>
<formControlPr xmlns="http://schemas.microsoft.com/office/spreadsheetml/2009/9/main" objectType="CheckBox" fmlaLink="NeoBerAfspr!$B$19" lockText="1"/>
</file>

<file path=xl/ctrlProps/ctrlProp942.xml><?xml version="1.0" encoding="utf-8"?>
<formControlPr xmlns="http://schemas.microsoft.com/office/spreadsheetml/2009/9/main" objectType="CheckBox" fmlaLink="NeoBerAfspr!$D$11" lockText="1"/>
</file>

<file path=xl/ctrlProps/ctrlProp943.xml><?xml version="1.0" encoding="utf-8"?>
<formControlPr xmlns="http://schemas.microsoft.com/office/spreadsheetml/2009/9/main" objectType="CheckBox" fmlaLink="NeoBerAfspr!$D$12" lockText="1"/>
</file>

<file path=xl/ctrlProps/ctrlProp944.xml><?xml version="1.0" encoding="utf-8"?>
<formControlPr xmlns="http://schemas.microsoft.com/office/spreadsheetml/2009/9/main" objectType="CheckBox" fmlaLink="NeoBerAfspr!$D$13" lockText="1"/>
</file>

<file path=xl/ctrlProps/ctrlProp945.xml><?xml version="1.0" encoding="utf-8"?>
<formControlPr xmlns="http://schemas.microsoft.com/office/spreadsheetml/2009/9/main" objectType="CheckBox" fmlaLink="NeoBerAfspr!$D$14" lockText="1"/>
</file>

<file path=xl/ctrlProps/ctrlProp946.xml><?xml version="1.0" encoding="utf-8"?>
<formControlPr xmlns="http://schemas.microsoft.com/office/spreadsheetml/2009/9/main" objectType="Spin" dx="15" fmlaLink="NeoBerAfspr!$D$27" max="97" min="1" page="10" val="50"/>
</file>

<file path=xl/ctrlProps/ctrlProp947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48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49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50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51.xml><?xml version="1.0" encoding="utf-8"?>
<formControlPr xmlns="http://schemas.microsoft.com/office/spreadsheetml/2009/9/main" objectType="CheckBox" fmlaLink="NeoBerAfspr!$D$35" lockText="1"/>
</file>

<file path=xl/ctrlProps/ctrlProp952.xml><?xml version="1.0" encoding="utf-8"?>
<formControlPr xmlns="http://schemas.microsoft.com/office/spreadsheetml/2009/9/main" objectType="CheckBox" fmlaLink="NeoBerAfspr!$D$36" lockText="1"/>
</file>

<file path=xl/ctrlProps/ctrlProp953.xml><?xml version="1.0" encoding="utf-8"?>
<formControlPr xmlns="http://schemas.microsoft.com/office/spreadsheetml/2009/9/main" objectType="CheckBox" fmlaLink="NeoBerAfspr!$B$40" lockText="1"/>
</file>

<file path=xl/ctrlProps/ctrlProp954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55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56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57.xml><?xml version="1.0" encoding="utf-8"?>
<formControlPr xmlns="http://schemas.microsoft.com/office/spreadsheetml/2009/9/main" objectType="CheckBox" fmlaLink="NeoBerAfspr!$B$43" lockText="1"/>
</file>

<file path=xl/ctrlProps/ctrlProp958.xml><?xml version="1.0" encoding="utf-8"?>
<formControlPr xmlns="http://schemas.microsoft.com/office/spreadsheetml/2009/9/main" objectType="CheckBox" fmlaLink="NeoBerAfspr!$B$45" lockText="1"/>
</file>

<file path=xl/ctrlProps/ctrlProp959.xml><?xml version="1.0" encoding="utf-8"?>
<formControlPr xmlns="http://schemas.microsoft.com/office/spreadsheetml/2009/9/main" objectType="CheckBox" fmlaLink="NeoBerAfspr!$B$44" lockText="1"/>
</file>

<file path=xl/ctrlProps/ctrlProp960.xml><?xml version="1.0" encoding="utf-8"?>
<formControlPr xmlns="http://schemas.microsoft.com/office/spreadsheetml/2009/9/main" objectType="CheckBox" fmlaLink="NeoBerAfspr!$D$43" lockText="1"/>
</file>

<file path=xl/ctrlProps/ctrlProp961.xml><?xml version="1.0" encoding="utf-8"?>
<formControlPr xmlns="http://schemas.microsoft.com/office/spreadsheetml/2009/9/main" objectType="CheckBox" fmlaLink="NeoBerAfspr!$D$44" lockText="1"/>
</file>

<file path=xl/ctrlProps/ctrlProp962.xml><?xml version="1.0" encoding="utf-8"?>
<formControlPr xmlns="http://schemas.microsoft.com/office/spreadsheetml/2009/9/main" objectType="CheckBox" fmlaLink="NeoBerAfspr!$D$45" lockText="1"/>
</file>

<file path=xl/ctrlProps/ctrlProp963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64.xml><?xml version="1.0" encoding="utf-8"?>
<formControlPr xmlns="http://schemas.microsoft.com/office/spreadsheetml/2009/9/main" objectType="Spin" dx="15" fmlaLink="NeoBerAfspr!$D$47" max="100" page="10" val="0"/>
</file>

<file path=xl/ctrlProps/ctrlProp965.xml><?xml version="1.0" encoding="utf-8"?>
<formControlPr xmlns="http://schemas.microsoft.com/office/spreadsheetml/2009/9/main" objectType="CheckBox" fmlaLink="NeoBerAfspr!$B$46" lockText="1"/>
</file>

<file path=xl/ctrlProps/ctrlProp966.xml><?xml version="1.0" encoding="utf-8"?>
<formControlPr xmlns="http://schemas.microsoft.com/office/spreadsheetml/2009/9/main" objectType="CheckBox" fmlaLink="NeoBerAfspr!$L$28" lockText="1"/>
</file>

<file path=xl/ctrlProps/ctrlProp967.xml><?xml version="1.0" encoding="utf-8"?>
<formControlPr xmlns="http://schemas.microsoft.com/office/spreadsheetml/2009/9/main" objectType="Spin" dx="15" fmlaLink="NeoBerAfspr!$C$8" max="10" page="10" val="0"/>
</file>

<file path=xl/ctrlProps/ctrlProp968.xml><?xml version="1.0" encoding="utf-8"?>
<formControlPr xmlns="http://schemas.microsoft.com/office/spreadsheetml/2009/9/main" objectType="Spin" dx="15" fmlaLink="PedBerAfspr!$C$8" max="10" page="10" val="0"/>
</file>

<file path=xl/ctrlProps/ctrlProp969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70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71.xml><?xml version="1.0" encoding="utf-8"?>
<formControlPr xmlns="http://schemas.microsoft.com/office/spreadsheetml/2009/9/main" objectType="Spin" dx="15" fmlaLink="PedBerAfspr!$C$8" max="10" page="10" val="0"/>
</file>

<file path=xl/ctrlProps/ctrlProp972.xml><?xml version="1.0" encoding="utf-8"?>
<formControlPr xmlns="http://schemas.microsoft.com/office/spreadsheetml/2009/9/main" objectType="Spin" dx="15" fmlaLink="NeoBerAfspr!$C$9" max="10" page="10" val="0"/>
</file>

<file path=xl/ctrlProps/ctrlProp973.xml><?xml version="1.0" encoding="utf-8"?>
<formControlPr xmlns="http://schemas.microsoft.com/office/spreadsheetml/2009/9/main" objectType="Spin" dx="15" fmlaLink="NeoBerAfspr!$K$20" max="24" page="10" val="0"/>
</file>

<file path=xl/ctrlProps/ctrlProp974.xml><?xml version="1.0" encoding="utf-8"?>
<formControlPr xmlns="http://schemas.microsoft.com/office/spreadsheetml/2009/9/main" objectType="CheckBox" fmlaLink="NeoBerAfspr!$J$29" lockText="1"/>
</file>

<file path=xl/ctrlProps/ctrlProp975.xml><?xml version="1.0" encoding="utf-8"?>
<formControlPr xmlns="http://schemas.microsoft.com/office/spreadsheetml/2009/9/main" objectType="Spin" dx="15" fmlaLink="NeoBerAfspr!$K$29" max="3" page="10" val="0"/>
</file>

<file path=xl/ctrlProps/ctrlProp976.xml><?xml version="1.0" encoding="utf-8"?>
<formControlPr xmlns="http://schemas.microsoft.com/office/spreadsheetml/2009/9/main" objectType="CheckBox" fmlaLink="NeoBerAfspr!$B$18" lockText="1"/>
</file>

<file path=xl/ctrlProps/ctrlProp977.xml><?xml version="1.0" encoding="utf-8"?>
<formControlPr xmlns="http://schemas.microsoft.com/office/spreadsheetml/2009/9/main" objectType="Spin" dx="15" fmlaLink="PedBerAfspr!$C$8" max="10" page="10" val="0"/>
</file>

<file path=xl/ctrlProps/ctrlProp978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79.xml><?xml version="1.0" encoding="utf-8"?>
<formControlPr xmlns="http://schemas.microsoft.com/office/spreadsheetml/2009/9/main" objectType="Spin" dx="15" fmlaLink="PedBerAfspr!$C$8" max="10" page="10" val="0"/>
</file>

<file path=xl/ctrlProps/ctrlProp980.xml><?xml version="1.0" encoding="utf-8"?>
<formControlPr xmlns="http://schemas.microsoft.com/office/spreadsheetml/2009/9/main" objectType="Spin" dx="15" fmlaLink="NeoBerAfspr!$C$18" max="10" page="10" val="0"/>
</file>

<file path=xl/ctrlProps/ctrlProp981.xml><?xml version="1.0" encoding="utf-8"?>
<formControlPr xmlns="http://schemas.microsoft.com/office/spreadsheetml/2009/9/main" objectType="CheckBox" fmlaLink="NeoBerLab!$C$4" lockText="1"/>
</file>

<file path=xl/ctrlProps/ctrlProp982.xml><?xml version="1.0" encoding="utf-8"?>
<formControlPr xmlns="http://schemas.microsoft.com/office/spreadsheetml/2009/9/main" objectType="CheckBox" fmlaLink="NeoBerLab!C5" lockText="1"/>
</file>

<file path=xl/ctrlProps/ctrlProp983.xml><?xml version="1.0" encoding="utf-8"?>
<formControlPr xmlns="http://schemas.microsoft.com/office/spreadsheetml/2009/9/main" objectType="CheckBox" fmlaLink="NeoBerLab!C7" lockText="1"/>
</file>

<file path=xl/ctrlProps/ctrlProp984.xml><?xml version="1.0" encoding="utf-8"?>
<formControlPr xmlns="http://schemas.microsoft.com/office/spreadsheetml/2009/9/main" objectType="CheckBox" fmlaLink="NeoBerLab!C8" lockText="1"/>
</file>

<file path=xl/ctrlProps/ctrlProp985.xml><?xml version="1.0" encoding="utf-8"?>
<formControlPr xmlns="http://schemas.microsoft.com/office/spreadsheetml/2009/9/main" objectType="CheckBox" fmlaLink="NeoBerLab!C14" lockText="1"/>
</file>

<file path=xl/ctrlProps/ctrlProp986.xml><?xml version="1.0" encoding="utf-8"?>
<formControlPr xmlns="http://schemas.microsoft.com/office/spreadsheetml/2009/9/main" objectType="CheckBox" fmlaLink="NeoBerLab!C13" lockText="1"/>
</file>

<file path=xl/ctrlProps/ctrlProp987.xml><?xml version="1.0" encoding="utf-8"?>
<formControlPr xmlns="http://schemas.microsoft.com/office/spreadsheetml/2009/9/main" objectType="CheckBox" fmlaLink="NeoBerLab!C30" lockText="1"/>
</file>

<file path=xl/ctrlProps/ctrlProp988.xml><?xml version="1.0" encoding="utf-8"?>
<formControlPr xmlns="http://schemas.microsoft.com/office/spreadsheetml/2009/9/main" objectType="CheckBox" fmlaLink="NeoBerLab!C16" lockText="1"/>
</file>

<file path=xl/ctrlProps/ctrlProp989.xml><?xml version="1.0" encoding="utf-8"?>
<formControlPr xmlns="http://schemas.microsoft.com/office/spreadsheetml/2009/9/main" objectType="CheckBox" fmlaLink="NeoBerLab!C19" lockText="1"/>
</file>

<file path=xl/ctrlProps/ctrlProp990.xml><?xml version="1.0" encoding="utf-8"?>
<formControlPr xmlns="http://schemas.microsoft.com/office/spreadsheetml/2009/9/main" objectType="CheckBox" fmlaLink="NeoBerLab!C20" lockText="1"/>
</file>

<file path=xl/ctrlProps/ctrlProp991.xml><?xml version="1.0" encoding="utf-8"?>
<formControlPr xmlns="http://schemas.microsoft.com/office/spreadsheetml/2009/9/main" objectType="CheckBox" fmlaLink="NeoBerLab!C21" lockText="1"/>
</file>

<file path=xl/ctrlProps/ctrlProp992.xml><?xml version="1.0" encoding="utf-8"?>
<formControlPr xmlns="http://schemas.microsoft.com/office/spreadsheetml/2009/9/main" objectType="CheckBox" fmlaLink="NeoBerLab!C12" lockText="1"/>
</file>

<file path=xl/ctrlProps/ctrlProp993.xml><?xml version="1.0" encoding="utf-8"?>
<formControlPr xmlns="http://schemas.microsoft.com/office/spreadsheetml/2009/9/main" objectType="CheckBox" fmlaLink="NeoBerLab!C28" lockText="1"/>
</file>

<file path=xl/ctrlProps/ctrlProp994.xml><?xml version="1.0" encoding="utf-8"?>
<formControlPr xmlns="http://schemas.microsoft.com/office/spreadsheetml/2009/9/main" objectType="CheckBox" fmlaLink="NeoBerLab!$G$4" lockText="1"/>
</file>

<file path=xl/ctrlProps/ctrlProp995.xml><?xml version="1.0" encoding="utf-8"?>
<formControlPr xmlns="http://schemas.microsoft.com/office/spreadsheetml/2009/9/main" objectType="CheckBox" fmlaLink="NeoBerLab!G5" lockText="1"/>
</file>

<file path=xl/ctrlProps/ctrlProp996.xml><?xml version="1.0" encoding="utf-8"?>
<formControlPr xmlns="http://schemas.microsoft.com/office/spreadsheetml/2009/9/main" objectType="CheckBox" fmlaLink="NeoBerLab!G7" lockText="1"/>
</file>

<file path=xl/ctrlProps/ctrlProp997.xml><?xml version="1.0" encoding="utf-8"?>
<formControlPr xmlns="http://schemas.microsoft.com/office/spreadsheetml/2009/9/main" objectType="CheckBox" fmlaLink="NeoBerLab!G8" lockText="1"/>
</file>

<file path=xl/ctrlProps/ctrlProp998.xml><?xml version="1.0" encoding="utf-8"?>
<formControlPr xmlns="http://schemas.microsoft.com/office/spreadsheetml/2009/9/main" objectType="CheckBox" fmlaLink="NeoBerLab!G14" lockText="1"/>
</file>

<file path=xl/ctrlProps/ctrlProp999.xml><?xml version="1.0" encoding="utf-8"?>
<formControlPr xmlns="http://schemas.microsoft.com/office/spreadsheetml/2009/9/main" objectType="CheckBox" fmlaLink="NeoBerLab!G13" lockText="1"/>
</file>

<file path=xl/ctrlProps/ctrlProp1000.xml><?xml version="1.0" encoding="utf-8"?>
<formControlPr xmlns="http://schemas.microsoft.com/office/spreadsheetml/2009/9/main" objectType="CheckBox" fmlaLink="NeoBerLab!G30" lockText="1"/>
</file>

<file path=xl/ctrlProps/ctrlProp1001.xml><?xml version="1.0" encoding="utf-8"?>
<formControlPr xmlns="http://schemas.microsoft.com/office/spreadsheetml/2009/9/main" objectType="CheckBox" fmlaLink="NeoBerLab!G16" lockText="1"/>
</file>

<file path=xl/ctrlProps/ctrlProp1002.xml><?xml version="1.0" encoding="utf-8"?>
<formControlPr xmlns="http://schemas.microsoft.com/office/spreadsheetml/2009/9/main" objectType="CheckBox" fmlaLink="NeoBerLab!G19" lockText="1"/>
</file>

<file path=xl/ctrlProps/ctrlProp1003.xml><?xml version="1.0" encoding="utf-8"?>
<formControlPr xmlns="http://schemas.microsoft.com/office/spreadsheetml/2009/9/main" objectType="CheckBox" fmlaLink="NeoBerLab!G20" lockText="1"/>
</file>

<file path=xl/ctrlProps/ctrlProp1004.xml><?xml version="1.0" encoding="utf-8"?>
<formControlPr xmlns="http://schemas.microsoft.com/office/spreadsheetml/2009/9/main" objectType="CheckBox" fmlaLink="NeoBerLab!G21" lockText="1"/>
</file>

<file path=xl/ctrlProps/ctrlProp1005.xml><?xml version="1.0" encoding="utf-8"?>
<formControlPr xmlns="http://schemas.microsoft.com/office/spreadsheetml/2009/9/main" objectType="CheckBox" fmlaLink="NeoBerLab!G12" lockText="1"/>
</file>

<file path=xl/ctrlProps/ctrlProp1006.xml><?xml version="1.0" encoding="utf-8"?>
<formControlPr xmlns="http://schemas.microsoft.com/office/spreadsheetml/2009/9/main" objectType="CheckBox" fmlaLink="NeoBerLab!G28" lockText="1"/>
</file>

<file path=xl/ctrlProps/ctrlProp1007.xml><?xml version="1.0" encoding="utf-8"?>
<formControlPr xmlns="http://schemas.microsoft.com/office/spreadsheetml/2009/9/main" objectType="CheckBox" fmlaLink="NeoBerLab!$I$4" lockText="1"/>
</file>

<file path=xl/ctrlProps/ctrlProp1008.xml><?xml version="1.0" encoding="utf-8"?>
<formControlPr xmlns="http://schemas.microsoft.com/office/spreadsheetml/2009/9/main" objectType="CheckBox" fmlaLink="NeoBerLab!I5" lockText="1"/>
</file>

<file path=xl/ctrlProps/ctrlProp1009.xml><?xml version="1.0" encoding="utf-8"?>
<formControlPr xmlns="http://schemas.microsoft.com/office/spreadsheetml/2009/9/main" objectType="CheckBox" fmlaLink="NeoBerLab!I7" lockText="1"/>
</file>

<file path=xl/ctrlProps/ctrlProp1010.xml><?xml version="1.0" encoding="utf-8"?>
<formControlPr xmlns="http://schemas.microsoft.com/office/spreadsheetml/2009/9/main" objectType="CheckBox" fmlaLink="NeoBerLab!I8" lockText="1"/>
</file>

<file path=xl/ctrlProps/ctrlProp1011.xml><?xml version="1.0" encoding="utf-8"?>
<formControlPr xmlns="http://schemas.microsoft.com/office/spreadsheetml/2009/9/main" objectType="CheckBox" fmlaLink="NeoBerLab!I14" lockText="1"/>
</file>

<file path=xl/ctrlProps/ctrlProp1012.xml><?xml version="1.0" encoding="utf-8"?>
<formControlPr xmlns="http://schemas.microsoft.com/office/spreadsheetml/2009/9/main" objectType="CheckBox" fmlaLink="NeoBerLab!I13" lockText="1"/>
</file>

<file path=xl/ctrlProps/ctrlProp1013.xml><?xml version="1.0" encoding="utf-8"?>
<formControlPr xmlns="http://schemas.microsoft.com/office/spreadsheetml/2009/9/main" objectType="CheckBox" fmlaLink="NeoBerLab!I30" lockText="1"/>
</file>

<file path=xl/ctrlProps/ctrlProp1014.xml><?xml version="1.0" encoding="utf-8"?>
<formControlPr xmlns="http://schemas.microsoft.com/office/spreadsheetml/2009/9/main" objectType="CheckBox" fmlaLink="NeoBerLab!I16" lockText="1"/>
</file>

<file path=xl/ctrlProps/ctrlProp1015.xml><?xml version="1.0" encoding="utf-8"?>
<formControlPr xmlns="http://schemas.microsoft.com/office/spreadsheetml/2009/9/main" objectType="CheckBox" fmlaLink="NeoBerLab!I19" lockText="1"/>
</file>

<file path=xl/ctrlProps/ctrlProp1016.xml><?xml version="1.0" encoding="utf-8"?>
<formControlPr xmlns="http://schemas.microsoft.com/office/spreadsheetml/2009/9/main" objectType="CheckBox" fmlaLink="NeoBerLab!I20" lockText="1"/>
</file>

<file path=xl/ctrlProps/ctrlProp1017.xml><?xml version="1.0" encoding="utf-8"?>
<formControlPr xmlns="http://schemas.microsoft.com/office/spreadsheetml/2009/9/main" objectType="CheckBox" fmlaLink="NeoBerLab!I21" lockText="1"/>
</file>

<file path=xl/ctrlProps/ctrlProp1018.xml><?xml version="1.0" encoding="utf-8"?>
<formControlPr xmlns="http://schemas.microsoft.com/office/spreadsheetml/2009/9/main" objectType="CheckBox" fmlaLink="NeoBerLab!I12" lockText="1"/>
</file>

<file path=xl/ctrlProps/ctrlProp1019.xml><?xml version="1.0" encoding="utf-8"?>
<formControlPr xmlns="http://schemas.microsoft.com/office/spreadsheetml/2009/9/main" objectType="CheckBox" fmlaLink="NeoBerLab!I28" lockText="1"/>
</file>

<file path=xl/ctrlProps/ctrlProp1020.xml><?xml version="1.0" encoding="utf-8"?>
<formControlPr xmlns="http://schemas.microsoft.com/office/spreadsheetml/2009/9/main" objectType="CheckBox" fmlaLink="NeoBerLab!$O$4" lockText="1"/>
</file>

<file path=xl/ctrlProps/ctrlProp1021.xml><?xml version="1.0" encoding="utf-8"?>
<formControlPr xmlns="http://schemas.microsoft.com/office/spreadsheetml/2009/9/main" objectType="CheckBox" fmlaLink="NeoBerLab!O5" lockText="1"/>
</file>

<file path=xl/ctrlProps/ctrlProp1022.xml><?xml version="1.0" encoding="utf-8"?>
<formControlPr xmlns="http://schemas.microsoft.com/office/spreadsheetml/2009/9/main" objectType="CheckBox" fmlaLink="NeoBerLab!O7" lockText="1"/>
</file>

<file path=xl/ctrlProps/ctrlProp1023.xml><?xml version="1.0" encoding="utf-8"?>
<formControlPr xmlns="http://schemas.microsoft.com/office/spreadsheetml/2009/9/main" objectType="CheckBox" fmlaLink="NeoBerLab!O8" lockText="1"/>
</file>

<file path=xl/ctrlProps/ctrlProp1024.xml><?xml version="1.0" encoding="utf-8"?>
<formControlPr xmlns="http://schemas.microsoft.com/office/spreadsheetml/2009/9/main" objectType="CheckBox" fmlaLink="NeoBerLab!O14" lockText="1"/>
</file>

<file path=xl/ctrlProps/ctrlProp1025.xml><?xml version="1.0" encoding="utf-8"?>
<formControlPr xmlns="http://schemas.microsoft.com/office/spreadsheetml/2009/9/main" objectType="CheckBox" fmlaLink="NeoBerLab!O13" lockText="1"/>
</file>

<file path=xl/ctrlProps/ctrlProp1026.xml><?xml version="1.0" encoding="utf-8"?>
<formControlPr xmlns="http://schemas.microsoft.com/office/spreadsheetml/2009/9/main" objectType="CheckBox" fmlaLink="NeoBerLab!O30" lockText="1"/>
</file>

<file path=xl/ctrlProps/ctrlProp1027.xml><?xml version="1.0" encoding="utf-8"?>
<formControlPr xmlns="http://schemas.microsoft.com/office/spreadsheetml/2009/9/main" objectType="CheckBox" fmlaLink="NeoBerLab!O16" lockText="1"/>
</file>

<file path=xl/ctrlProps/ctrlProp1028.xml><?xml version="1.0" encoding="utf-8"?>
<formControlPr xmlns="http://schemas.microsoft.com/office/spreadsheetml/2009/9/main" objectType="CheckBox" fmlaLink="NeoBerLab!O19" lockText="1"/>
</file>

<file path=xl/ctrlProps/ctrlProp1029.xml><?xml version="1.0" encoding="utf-8"?>
<formControlPr xmlns="http://schemas.microsoft.com/office/spreadsheetml/2009/9/main" objectType="CheckBox" fmlaLink="NeoBerLab!O20" lockText="1"/>
</file>

<file path=xl/ctrlProps/ctrlProp1030.xml><?xml version="1.0" encoding="utf-8"?>
<formControlPr xmlns="http://schemas.microsoft.com/office/spreadsheetml/2009/9/main" objectType="CheckBox" fmlaLink="NeoBerLab!O21" lockText="1"/>
</file>

<file path=xl/ctrlProps/ctrlProp1031.xml><?xml version="1.0" encoding="utf-8"?>
<formControlPr xmlns="http://schemas.microsoft.com/office/spreadsheetml/2009/9/main" objectType="CheckBox" fmlaLink="NeoBerLab!O12" lockText="1"/>
</file>

<file path=xl/ctrlProps/ctrlProp1032.xml><?xml version="1.0" encoding="utf-8"?>
<formControlPr xmlns="http://schemas.microsoft.com/office/spreadsheetml/2009/9/main" objectType="CheckBox" fmlaLink="NeoBerLab!O28" lockText="1"/>
</file>

<file path=xl/ctrlProps/ctrlProp1033.xml><?xml version="1.0" encoding="utf-8"?>
<formControlPr xmlns="http://schemas.microsoft.com/office/spreadsheetml/2009/9/main" objectType="CheckBox" fmlaLink="NeoBerLab!C32" lockText="1"/>
</file>

<file path=xl/ctrlProps/ctrlProp1034.xml><?xml version="1.0" encoding="utf-8"?>
<formControlPr xmlns="http://schemas.microsoft.com/office/spreadsheetml/2009/9/main" objectType="CheckBox" fmlaLink="NeoBerLab!G32" lockText="1"/>
</file>

<file path=xl/ctrlProps/ctrlProp1035.xml><?xml version="1.0" encoding="utf-8"?>
<formControlPr xmlns="http://schemas.microsoft.com/office/spreadsheetml/2009/9/main" objectType="CheckBox" fmlaLink="NeoBerLab!I32" lockText="1"/>
</file>

<file path=xl/ctrlProps/ctrlProp1036.xml><?xml version="1.0" encoding="utf-8"?>
<formControlPr xmlns="http://schemas.microsoft.com/office/spreadsheetml/2009/9/main" objectType="CheckBox" fmlaLink="NeoBerLab!O32" lockText="1"/>
</file>

<file path=xl/ctrlProps/ctrlProp1037.xml><?xml version="1.0" encoding="utf-8"?>
<formControlPr xmlns="http://schemas.microsoft.com/office/spreadsheetml/2009/9/main" objectType="CheckBox" fmlaLink="NeoBerLab!C6" lockText="1"/>
</file>

<file path=xl/ctrlProps/ctrlProp1038.xml><?xml version="1.0" encoding="utf-8"?>
<formControlPr xmlns="http://schemas.microsoft.com/office/spreadsheetml/2009/9/main" objectType="CheckBox" fmlaLink="NeoBerLab!G6" lockText="1"/>
</file>

<file path=xl/ctrlProps/ctrlProp1039.xml><?xml version="1.0" encoding="utf-8"?>
<formControlPr xmlns="http://schemas.microsoft.com/office/spreadsheetml/2009/9/main" objectType="CheckBox" fmlaLink="NeoBerLab!I6" lockText="1"/>
</file>

<file path=xl/ctrlProps/ctrlProp1040.xml><?xml version="1.0" encoding="utf-8"?>
<formControlPr xmlns="http://schemas.microsoft.com/office/spreadsheetml/2009/9/main" objectType="CheckBox" fmlaLink="NeoBerLab!O6" lockText="1"/>
</file>

<file path=xl/ctrlProps/ctrlProp1041.xml><?xml version="1.0" encoding="utf-8"?>
<formControlPr xmlns="http://schemas.microsoft.com/office/spreadsheetml/2009/9/main" objectType="CheckBox" fmlaLink="NeoBerLab!C17" lockText="1"/>
</file>

<file path=xl/ctrlProps/ctrlProp1042.xml><?xml version="1.0" encoding="utf-8"?>
<formControlPr xmlns="http://schemas.microsoft.com/office/spreadsheetml/2009/9/main" objectType="CheckBox" fmlaLink="NeoBerLab!G17" lockText="1"/>
</file>

<file path=xl/ctrlProps/ctrlProp1043.xml><?xml version="1.0" encoding="utf-8"?>
<formControlPr xmlns="http://schemas.microsoft.com/office/spreadsheetml/2009/9/main" objectType="CheckBox" fmlaLink="NeoBerLab!I17" lockText="1"/>
</file>

<file path=xl/ctrlProps/ctrlProp1044.xml><?xml version="1.0" encoding="utf-8"?>
<formControlPr xmlns="http://schemas.microsoft.com/office/spreadsheetml/2009/9/main" objectType="CheckBox" fmlaLink="NeoBerLab!O17" lockText="1"/>
</file>

<file path=xl/ctrlProps/ctrlProp1045.xml><?xml version="1.0" encoding="utf-8"?>
<formControlPr xmlns="http://schemas.microsoft.com/office/spreadsheetml/2009/9/main" objectType="CheckBox" fmlaLink="NeoBerLab!$E$4" lockText="1"/>
</file>

<file path=xl/ctrlProps/ctrlProp1046.xml><?xml version="1.0" encoding="utf-8"?>
<formControlPr xmlns="http://schemas.microsoft.com/office/spreadsheetml/2009/9/main" objectType="CheckBox" fmlaLink="NeoBerLab!E5" lockText="1"/>
</file>

<file path=xl/ctrlProps/ctrlProp1047.xml><?xml version="1.0" encoding="utf-8"?>
<formControlPr xmlns="http://schemas.microsoft.com/office/spreadsheetml/2009/9/main" objectType="CheckBox" fmlaLink="NeoBerLab!E7" lockText="1"/>
</file>

<file path=xl/ctrlProps/ctrlProp1048.xml><?xml version="1.0" encoding="utf-8"?>
<formControlPr xmlns="http://schemas.microsoft.com/office/spreadsheetml/2009/9/main" objectType="CheckBox" fmlaLink="NeoBerLab!E8" lockText="1"/>
</file>

<file path=xl/ctrlProps/ctrlProp1049.xml><?xml version="1.0" encoding="utf-8"?>
<formControlPr xmlns="http://schemas.microsoft.com/office/spreadsheetml/2009/9/main" objectType="CheckBox" fmlaLink="NeoBerLab!E14" lockText="1"/>
</file>

<file path=xl/ctrlProps/ctrlProp1050.xml><?xml version="1.0" encoding="utf-8"?>
<formControlPr xmlns="http://schemas.microsoft.com/office/spreadsheetml/2009/9/main" objectType="CheckBox" fmlaLink="NeoBerLab!E13" lockText="1"/>
</file>

<file path=xl/ctrlProps/ctrlProp1051.xml><?xml version="1.0" encoding="utf-8"?>
<formControlPr xmlns="http://schemas.microsoft.com/office/spreadsheetml/2009/9/main" objectType="CheckBox" fmlaLink="NeoBerLab!E30" lockText="1"/>
</file>

<file path=xl/ctrlProps/ctrlProp1052.xml><?xml version="1.0" encoding="utf-8"?>
<formControlPr xmlns="http://schemas.microsoft.com/office/spreadsheetml/2009/9/main" objectType="CheckBox" fmlaLink="NeoBerLab!E16" lockText="1"/>
</file>

<file path=xl/ctrlProps/ctrlProp1053.xml><?xml version="1.0" encoding="utf-8"?>
<formControlPr xmlns="http://schemas.microsoft.com/office/spreadsheetml/2009/9/main" objectType="CheckBox" fmlaLink="NeoBerLab!E19" lockText="1"/>
</file>

<file path=xl/ctrlProps/ctrlProp1054.xml><?xml version="1.0" encoding="utf-8"?>
<formControlPr xmlns="http://schemas.microsoft.com/office/spreadsheetml/2009/9/main" objectType="CheckBox" fmlaLink="NeoBerLab!E20" lockText="1"/>
</file>

<file path=xl/ctrlProps/ctrlProp1055.xml><?xml version="1.0" encoding="utf-8"?>
<formControlPr xmlns="http://schemas.microsoft.com/office/spreadsheetml/2009/9/main" objectType="CheckBox" fmlaLink="NeoBerLab!E21" lockText="1"/>
</file>

<file path=xl/ctrlProps/ctrlProp1056.xml><?xml version="1.0" encoding="utf-8"?>
<formControlPr xmlns="http://schemas.microsoft.com/office/spreadsheetml/2009/9/main" objectType="CheckBox" fmlaLink="NeoBerLab!E12" lockText="1"/>
</file>

<file path=xl/ctrlProps/ctrlProp1057.xml><?xml version="1.0" encoding="utf-8"?>
<formControlPr xmlns="http://schemas.microsoft.com/office/spreadsheetml/2009/9/main" objectType="CheckBox" fmlaLink="NeoBerLab!E28" lockText="1"/>
</file>

<file path=xl/ctrlProps/ctrlProp1058.xml><?xml version="1.0" encoding="utf-8"?>
<formControlPr xmlns="http://schemas.microsoft.com/office/spreadsheetml/2009/9/main" objectType="CheckBox" fmlaLink="NeoBerLab!E32" lockText="1"/>
</file>

<file path=xl/ctrlProps/ctrlProp1059.xml><?xml version="1.0" encoding="utf-8"?>
<formControlPr xmlns="http://schemas.microsoft.com/office/spreadsheetml/2009/9/main" objectType="CheckBox" fmlaLink="NeoBerLab!E6" lockText="1"/>
</file>

<file path=xl/ctrlProps/ctrlProp1060.xml><?xml version="1.0" encoding="utf-8"?>
<formControlPr xmlns="http://schemas.microsoft.com/office/spreadsheetml/2009/9/main" objectType="CheckBox" fmlaLink="NeoBerLab!E17" lockText="1"/>
</file>

<file path=xl/ctrlProps/ctrlProp1061.xml><?xml version="1.0" encoding="utf-8"?>
<formControlPr xmlns="http://schemas.microsoft.com/office/spreadsheetml/2009/9/main" objectType="CheckBox" fmlaLink="NeoBerLab!C33" lockText="1"/>
</file>

<file path=xl/ctrlProps/ctrlProp1062.xml><?xml version="1.0" encoding="utf-8"?>
<formControlPr xmlns="http://schemas.microsoft.com/office/spreadsheetml/2009/9/main" objectType="CheckBox" fmlaLink="NeoBerLab!G33" lockText="1"/>
</file>

<file path=xl/ctrlProps/ctrlProp1063.xml><?xml version="1.0" encoding="utf-8"?>
<formControlPr xmlns="http://schemas.microsoft.com/office/spreadsheetml/2009/9/main" objectType="CheckBox" fmlaLink="NeoBerLab!I33" lockText="1"/>
</file>

<file path=xl/ctrlProps/ctrlProp1064.xml><?xml version="1.0" encoding="utf-8"?>
<formControlPr xmlns="http://schemas.microsoft.com/office/spreadsheetml/2009/9/main" objectType="CheckBox" fmlaLink="NeoBerLab!O33" lockText="1"/>
</file>

<file path=xl/ctrlProps/ctrlProp1065.xml><?xml version="1.0" encoding="utf-8"?>
<formControlPr xmlns="http://schemas.microsoft.com/office/spreadsheetml/2009/9/main" objectType="CheckBox" fmlaLink="NeoBerLab!E33" lockText="1"/>
</file>

<file path=xl/ctrlProps/ctrlProp1066.xml><?xml version="1.0" encoding="utf-8"?>
<formControlPr xmlns="http://schemas.microsoft.com/office/spreadsheetml/2009/9/main" objectType="CheckBox" fmlaLink="NeoBerLab!C34" lockText="1"/>
</file>

<file path=xl/ctrlProps/ctrlProp1067.xml><?xml version="1.0" encoding="utf-8"?>
<formControlPr xmlns="http://schemas.microsoft.com/office/spreadsheetml/2009/9/main" objectType="CheckBox" fmlaLink="NeoBerLab!G34" lockText="1"/>
</file>

<file path=xl/ctrlProps/ctrlProp1068.xml><?xml version="1.0" encoding="utf-8"?>
<formControlPr xmlns="http://schemas.microsoft.com/office/spreadsheetml/2009/9/main" objectType="CheckBox" fmlaLink="NeoBerLab!I34" lockText="1"/>
</file>

<file path=xl/ctrlProps/ctrlProp1069.xml><?xml version="1.0" encoding="utf-8"?>
<formControlPr xmlns="http://schemas.microsoft.com/office/spreadsheetml/2009/9/main" objectType="CheckBox" fmlaLink="NeoBerLab!O34" lockText="1"/>
</file>

<file path=xl/ctrlProps/ctrlProp1070.xml><?xml version="1.0" encoding="utf-8"?>
<formControlPr xmlns="http://schemas.microsoft.com/office/spreadsheetml/2009/9/main" objectType="CheckBox" fmlaLink="NeoBerLab!E34" lockText="1"/>
</file>

<file path=xl/ctrlProps/ctrlProp1071.xml><?xml version="1.0" encoding="utf-8"?>
<formControlPr xmlns="http://schemas.microsoft.com/office/spreadsheetml/2009/9/main" objectType="CheckBox" fmlaLink="NeoBerLab!C9" lockText="1"/>
</file>

<file path=xl/ctrlProps/ctrlProp1072.xml><?xml version="1.0" encoding="utf-8"?>
<formControlPr xmlns="http://schemas.microsoft.com/office/spreadsheetml/2009/9/main" objectType="CheckBox" fmlaLink="NeoBerLab!G9" lockText="1"/>
</file>

<file path=xl/ctrlProps/ctrlProp1073.xml><?xml version="1.0" encoding="utf-8"?>
<formControlPr xmlns="http://schemas.microsoft.com/office/spreadsheetml/2009/9/main" objectType="CheckBox" fmlaLink="NeoBerLab!I9" lockText="1"/>
</file>

<file path=xl/ctrlProps/ctrlProp1074.xml><?xml version="1.0" encoding="utf-8"?>
<formControlPr xmlns="http://schemas.microsoft.com/office/spreadsheetml/2009/9/main" objectType="CheckBox" fmlaLink="NeoBerLab!O9" lockText="1"/>
</file>

<file path=xl/ctrlProps/ctrlProp1075.xml><?xml version="1.0" encoding="utf-8"?>
<formControlPr xmlns="http://schemas.microsoft.com/office/spreadsheetml/2009/9/main" objectType="CheckBox" fmlaLink="NeoBerLab!E9" lockText="1"/>
</file>

<file path=xl/ctrlProps/ctrlProp1076.xml><?xml version="1.0" encoding="utf-8"?>
<formControlPr xmlns="http://schemas.microsoft.com/office/spreadsheetml/2009/9/main" objectType="CheckBox" fmlaLink="NeoBerLab!C11" lockText="1"/>
</file>

<file path=xl/ctrlProps/ctrlProp1077.xml><?xml version="1.0" encoding="utf-8"?>
<formControlPr xmlns="http://schemas.microsoft.com/office/spreadsheetml/2009/9/main" objectType="CheckBox" fmlaLink="NeoBerLab!G11" lockText="1"/>
</file>

<file path=xl/ctrlProps/ctrlProp1078.xml><?xml version="1.0" encoding="utf-8"?>
<formControlPr xmlns="http://schemas.microsoft.com/office/spreadsheetml/2009/9/main" objectType="CheckBox" fmlaLink="NeoBerLab!I11" lockText="1"/>
</file>

<file path=xl/ctrlProps/ctrlProp1079.xml><?xml version="1.0" encoding="utf-8"?>
<formControlPr xmlns="http://schemas.microsoft.com/office/spreadsheetml/2009/9/main" objectType="CheckBox" fmlaLink="NeoBerLab!O11" lockText="1"/>
</file>

<file path=xl/ctrlProps/ctrlProp1080.xml><?xml version="1.0" encoding="utf-8"?>
<formControlPr xmlns="http://schemas.microsoft.com/office/spreadsheetml/2009/9/main" objectType="CheckBox" fmlaLink="NeoBerLab!E11" lockText="1"/>
</file>

<file path=xl/ctrlProps/ctrlProp1081.xml><?xml version="1.0" encoding="utf-8"?>
<formControlPr xmlns="http://schemas.microsoft.com/office/spreadsheetml/2009/9/main" objectType="CheckBox" fmlaLink="NeoBerLab!C15" lockText="1"/>
</file>

<file path=xl/ctrlProps/ctrlProp1082.xml><?xml version="1.0" encoding="utf-8"?>
<formControlPr xmlns="http://schemas.microsoft.com/office/spreadsheetml/2009/9/main" objectType="CheckBox" fmlaLink="NeoBerLab!G15" lockText="1"/>
</file>

<file path=xl/ctrlProps/ctrlProp1083.xml><?xml version="1.0" encoding="utf-8"?>
<formControlPr xmlns="http://schemas.microsoft.com/office/spreadsheetml/2009/9/main" objectType="CheckBox" fmlaLink="NeoBerLab!I15" lockText="1"/>
</file>

<file path=xl/ctrlProps/ctrlProp1084.xml><?xml version="1.0" encoding="utf-8"?>
<formControlPr xmlns="http://schemas.microsoft.com/office/spreadsheetml/2009/9/main" objectType="CheckBox" fmlaLink="NeoBerLab!O15" lockText="1"/>
</file>

<file path=xl/ctrlProps/ctrlProp1085.xml><?xml version="1.0" encoding="utf-8"?>
<formControlPr xmlns="http://schemas.microsoft.com/office/spreadsheetml/2009/9/main" objectType="CheckBox" fmlaLink="NeoBerLab!E15" lockText="1"/>
</file>

<file path=xl/ctrlProps/ctrlProp1086.xml><?xml version="1.0" encoding="utf-8"?>
<formControlPr xmlns="http://schemas.microsoft.com/office/spreadsheetml/2009/9/main" objectType="CheckBox" fmlaLink="NeoBerLab!C22" lockText="1"/>
</file>

<file path=xl/ctrlProps/ctrlProp1087.xml><?xml version="1.0" encoding="utf-8"?>
<formControlPr xmlns="http://schemas.microsoft.com/office/spreadsheetml/2009/9/main" objectType="CheckBox" fmlaLink="NeoBerLab!G22" lockText="1"/>
</file>

<file path=xl/ctrlProps/ctrlProp1088.xml><?xml version="1.0" encoding="utf-8"?>
<formControlPr xmlns="http://schemas.microsoft.com/office/spreadsheetml/2009/9/main" objectType="CheckBox" fmlaLink="NeoBerLab!I22" lockText="1"/>
</file>

<file path=xl/ctrlProps/ctrlProp1089.xml><?xml version="1.0" encoding="utf-8"?>
<formControlPr xmlns="http://schemas.microsoft.com/office/spreadsheetml/2009/9/main" objectType="CheckBox" fmlaLink="NeoBerLab!O22" lockText="1"/>
</file>

<file path=xl/ctrlProps/ctrlProp1090.xml><?xml version="1.0" encoding="utf-8"?>
<formControlPr xmlns="http://schemas.microsoft.com/office/spreadsheetml/2009/9/main" objectType="CheckBox" fmlaLink="NeoBerLab!E22" lockText="1"/>
</file>

<file path=xl/ctrlProps/ctrlProp1091.xml><?xml version="1.0" encoding="utf-8"?>
<formControlPr xmlns="http://schemas.microsoft.com/office/spreadsheetml/2009/9/main" objectType="CheckBox" fmlaLink="NeoBerLab!C23" lockText="1"/>
</file>

<file path=xl/ctrlProps/ctrlProp1092.xml><?xml version="1.0" encoding="utf-8"?>
<formControlPr xmlns="http://schemas.microsoft.com/office/spreadsheetml/2009/9/main" objectType="CheckBox" fmlaLink="NeoBerLab!G23" lockText="1"/>
</file>

<file path=xl/ctrlProps/ctrlProp1093.xml><?xml version="1.0" encoding="utf-8"?>
<formControlPr xmlns="http://schemas.microsoft.com/office/spreadsheetml/2009/9/main" objectType="CheckBox" fmlaLink="NeoBerLab!I23" lockText="1"/>
</file>

<file path=xl/ctrlProps/ctrlProp1094.xml><?xml version="1.0" encoding="utf-8"?>
<formControlPr xmlns="http://schemas.microsoft.com/office/spreadsheetml/2009/9/main" objectType="CheckBox" fmlaLink="NeoBerLab!O23" lockText="1"/>
</file>

<file path=xl/ctrlProps/ctrlProp1095.xml><?xml version="1.0" encoding="utf-8"?>
<formControlPr xmlns="http://schemas.microsoft.com/office/spreadsheetml/2009/9/main" objectType="CheckBox" fmlaLink="NeoBerLab!E23" lockText="1"/>
</file>

<file path=xl/ctrlProps/ctrlProp1096.xml><?xml version="1.0" encoding="utf-8"?>
<formControlPr xmlns="http://schemas.microsoft.com/office/spreadsheetml/2009/9/main" objectType="CheckBox" fmlaLink="NeoBerLab!C24" lockText="1"/>
</file>

<file path=xl/ctrlProps/ctrlProp1097.xml><?xml version="1.0" encoding="utf-8"?>
<formControlPr xmlns="http://schemas.microsoft.com/office/spreadsheetml/2009/9/main" objectType="CheckBox" fmlaLink="NeoBerLab!G24" lockText="1"/>
</file>

<file path=xl/ctrlProps/ctrlProp1098.xml><?xml version="1.0" encoding="utf-8"?>
<formControlPr xmlns="http://schemas.microsoft.com/office/spreadsheetml/2009/9/main" objectType="CheckBox" fmlaLink="NeoBerLab!I24" lockText="1"/>
</file>

<file path=xl/ctrlProps/ctrlProp1099.xml><?xml version="1.0" encoding="utf-8"?>
<formControlPr xmlns="http://schemas.microsoft.com/office/spreadsheetml/2009/9/main" objectType="CheckBox" fmlaLink="NeoBerLab!O24" lockText="1"/>
</file>

<file path=xl/ctrlProps/ctrlProp1100.xml><?xml version="1.0" encoding="utf-8"?>
<formControlPr xmlns="http://schemas.microsoft.com/office/spreadsheetml/2009/9/main" objectType="CheckBox" fmlaLink="NeoBerLab!E24" lockText="1"/>
</file>

<file path=xl/ctrlProps/ctrlProp1101.xml><?xml version="1.0" encoding="utf-8"?>
<formControlPr xmlns="http://schemas.microsoft.com/office/spreadsheetml/2009/9/main" objectType="CheckBox" fmlaLink="NeoBerLab!C25" lockText="1"/>
</file>

<file path=xl/ctrlProps/ctrlProp1102.xml><?xml version="1.0" encoding="utf-8"?>
<formControlPr xmlns="http://schemas.microsoft.com/office/spreadsheetml/2009/9/main" objectType="CheckBox" fmlaLink="NeoBerLab!G25" lockText="1"/>
</file>

<file path=xl/ctrlProps/ctrlProp1103.xml><?xml version="1.0" encoding="utf-8"?>
<formControlPr xmlns="http://schemas.microsoft.com/office/spreadsheetml/2009/9/main" objectType="CheckBox" fmlaLink="NeoBerLab!I25" lockText="1"/>
</file>

<file path=xl/ctrlProps/ctrlProp1104.xml><?xml version="1.0" encoding="utf-8"?>
<formControlPr xmlns="http://schemas.microsoft.com/office/spreadsheetml/2009/9/main" objectType="CheckBox" fmlaLink="NeoBerLab!O25" lockText="1"/>
</file>

<file path=xl/ctrlProps/ctrlProp1105.xml><?xml version="1.0" encoding="utf-8"?>
<formControlPr xmlns="http://schemas.microsoft.com/office/spreadsheetml/2009/9/main" objectType="CheckBox" fmlaLink="NeoBerLab!E25" lockText="1"/>
</file>

<file path=xl/ctrlProps/ctrlProp1106.xml><?xml version="1.0" encoding="utf-8"?>
<formControlPr xmlns="http://schemas.microsoft.com/office/spreadsheetml/2009/9/main" objectType="CheckBox" fmlaLink="NeoBerLab!C26" lockText="1"/>
</file>

<file path=xl/ctrlProps/ctrlProp1107.xml><?xml version="1.0" encoding="utf-8"?>
<formControlPr xmlns="http://schemas.microsoft.com/office/spreadsheetml/2009/9/main" objectType="CheckBox" fmlaLink="NeoBerLab!G26" lockText="1"/>
</file>

<file path=xl/ctrlProps/ctrlProp1108.xml><?xml version="1.0" encoding="utf-8"?>
<formControlPr xmlns="http://schemas.microsoft.com/office/spreadsheetml/2009/9/main" objectType="CheckBox" fmlaLink="NeoBerLab!I26" lockText="1"/>
</file>

<file path=xl/ctrlProps/ctrlProp1109.xml><?xml version="1.0" encoding="utf-8"?>
<formControlPr xmlns="http://schemas.microsoft.com/office/spreadsheetml/2009/9/main" objectType="CheckBox" fmlaLink="NeoBerLab!O26" lockText="1"/>
</file>

<file path=xl/ctrlProps/ctrlProp1110.xml><?xml version="1.0" encoding="utf-8"?>
<formControlPr xmlns="http://schemas.microsoft.com/office/spreadsheetml/2009/9/main" objectType="CheckBox" fmlaLink="NeoBerLab!E26" lockText="1"/>
</file>

<file path=xl/ctrlProps/ctrlProp1111.xml><?xml version="1.0" encoding="utf-8"?>
<formControlPr xmlns="http://schemas.microsoft.com/office/spreadsheetml/2009/9/main" objectType="CheckBox" fmlaLink="NeoBerLab!C29" lockText="1"/>
</file>

<file path=xl/ctrlProps/ctrlProp1112.xml><?xml version="1.0" encoding="utf-8"?>
<formControlPr xmlns="http://schemas.microsoft.com/office/spreadsheetml/2009/9/main" objectType="CheckBox" fmlaLink="NeoBerLab!G29" lockText="1"/>
</file>

<file path=xl/ctrlProps/ctrlProp1113.xml><?xml version="1.0" encoding="utf-8"?>
<formControlPr xmlns="http://schemas.microsoft.com/office/spreadsheetml/2009/9/main" objectType="CheckBox" fmlaLink="NeoBerLab!I29" lockText="1"/>
</file>

<file path=xl/ctrlProps/ctrlProp1114.xml><?xml version="1.0" encoding="utf-8"?>
<formControlPr xmlns="http://schemas.microsoft.com/office/spreadsheetml/2009/9/main" objectType="CheckBox" fmlaLink="NeoBerLab!O29" lockText="1"/>
</file>

<file path=xl/ctrlProps/ctrlProp1115.xml><?xml version="1.0" encoding="utf-8"?>
<formControlPr xmlns="http://schemas.microsoft.com/office/spreadsheetml/2009/9/main" objectType="CheckBox" fmlaLink="NeoBerLab!E29" lockText="1"/>
</file>

<file path=xl/ctrlProps/ctrlProp1116.xml><?xml version="1.0" encoding="utf-8"?>
<formControlPr xmlns="http://schemas.microsoft.com/office/spreadsheetml/2009/9/main" objectType="CheckBox" fmlaLink="NeoBerLab!C18" lockText="1"/>
</file>

<file path=xl/ctrlProps/ctrlProp1117.xml><?xml version="1.0" encoding="utf-8"?>
<formControlPr xmlns="http://schemas.microsoft.com/office/spreadsheetml/2009/9/main" objectType="CheckBox" fmlaLink="NeoBerLab!G18" lockText="1"/>
</file>

<file path=xl/ctrlProps/ctrlProp1118.xml><?xml version="1.0" encoding="utf-8"?>
<formControlPr xmlns="http://schemas.microsoft.com/office/spreadsheetml/2009/9/main" objectType="CheckBox" fmlaLink="NeoBerLab!I18" lockText="1"/>
</file>

<file path=xl/ctrlProps/ctrlProp1119.xml><?xml version="1.0" encoding="utf-8"?>
<formControlPr xmlns="http://schemas.microsoft.com/office/spreadsheetml/2009/9/main" objectType="CheckBox" fmlaLink="NeoBerLab!O18" lockText="1"/>
</file>

<file path=xl/ctrlProps/ctrlProp1120.xml><?xml version="1.0" encoding="utf-8"?>
<formControlPr xmlns="http://schemas.microsoft.com/office/spreadsheetml/2009/9/main" objectType="CheckBox" fmlaLink="NeoBerLab!E18" lockText="1"/>
</file>

<file path=xl/ctrlProps/ctrlProp1121.xml><?xml version="1.0" encoding="utf-8"?>
<formControlPr xmlns="http://schemas.microsoft.com/office/spreadsheetml/2009/9/main" objectType="CheckBox" fmlaLink="NeoBerLab!$K$4" lockText="1"/>
</file>

<file path=xl/ctrlProps/ctrlProp1122.xml><?xml version="1.0" encoding="utf-8"?>
<formControlPr xmlns="http://schemas.microsoft.com/office/spreadsheetml/2009/9/main" objectType="CheckBox" fmlaLink="NeoBerLab!K5" lockText="1"/>
</file>

<file path=xl/ctrlProps/ctrlProp1123.xml><?xml version="1.0" encoding="utf-8"?>
<formControlPr xmlns="http://schemas.microsoft.com/office/spreadsheetml/2009/9/main" objectType="CheckBox" fmlaLink="NeoBerLab!K7" lockText="1"/>
</file>

<file path=xl/ctrlProps/ctrlProp1124.xml><?xml version="1.0" encoding="utf-8"?>
<formControlPr xmlns="http://schemas.microsoft.com/office/spreadsheetml/2009/9/main" objectType="CheckBox" fmlaLink="NeoBerLab!K8" lockText="1"/>
</file>

<file path=xl/ctrlProps/ctrlProp1125.xml><?xml version="1.0" encoding="utf-8"?>
<formControlPr xmlns="http://schemas.microsoft.com/office/spreadsheetml/2009/9/main" objectType="CheckBox" fmlaLink="NeoBerLab!K14" lockText="1"/>
</file>

<file path=xl/ctrlProps/ctrlProp1126.xml><?xml version="1.0" encoding="utf-8"?>
<formControlPr xmlns="http://schemas.microsoft.com/office/spreadsheetml/2009/9/main" objectType="CheckBox" fmlaLink="NeoBerLab!K13" lockText="1"/>
</file>

<file path=xl/ctrlProps/ctrlProp1127.xml><?xml version="1.0" encoding="utf-8"?>
<formControlPr xmlns="http://schemas.microsoft.com/office/spreadsheetml/2009/9/main" objectType="CheckBox" fmlaLink="NeoBerLab!K30" lockText="1"/>
</file>

<file path=xl/ctrlProps/ctrlProp1128.xml><?xml version="1.0" encoding="utf-8"?>
<formControlPr xmlns="http://schemas.microsoft.com/office/spreadsheetml/2009/9/main" objectType="CheckBox" fmlaLink="NeoBerLab!K16" lockText="1"/>
</file>

<file path=xl/ctrlProps/ctrlProp1129.xml><?xml version="1.0" encoding="utf-8"?>
<formControlPr xmlns="http://schemas.microsoft.com/office/spreadsheetml/2009/9/main" objectType="CheckBox" fmlaLink="NeoBerLab!K19" lockText="1"/>
</file>

<file path=xl/ctrlProps/ctrlProp1130.xml><?xml version="1.0" encoding="utf-8"?>
<formControlPr xmlns="http://schemas.microsoft.com/office/spreadsheetml/2009/9/main" objectType="CheckBox" fmlaLink="NeoBerLab!K20" lockText="1"/>
</file>

<file path=xl/ctrlProps/ctrlProp1131.xml><?xml version="1.0" encoding="utf-8"?>
<formControlPr xmlns="http://schemas.microsoft.com/office/spreadsheetml/2009/9/main" objectType="CheckBox" fmlaLink="NeoBerLab!K21" lockText="1"/>
</file>

<file path=xl/ctrlProps/ctrlProp1132.xml><?xml version="1.0" encoding="utf-8"?>
<formControlPr xmlns="http://schemas.microsoft.com/office/spreadsheetml/2009/9/main" objectType="CheckBox" fmlaLink="NeoBerLab!K12" lockText="1"/>
</file>

<file path=xl/ctrlProps/ctrlProp1133.xml><?xml version="1.0" encoding="utf-8"?>
<formControlPr xmlns="http://schemas.microsoft.com/office/spreadsheetml/2009/9/main" objectType="CheckBox" fmlaLink="NeoBerLab!K28" lockText="1"/>
</file>

<file path=xl/ctrlProps/ctrlProp1134.xml><?xml version="1.0" encoding="utf-8"?>
<formControlPr xmlns="http://schemas.microsoft.com/office/spreadsheetml/2009/9/main" objectType="CheckBox" fmlaLink="NeoBerLab!$M$4" lockText="1"/>
</file>

<file path=xl/ctrlProps/ctrlProp1135.xml><?xml version="1.0" encoding="utf-8"?>
<formControlPr xmlns="http://schemas.microsoft.com/office/spreadsheetml/2009/9/main" objectType="CheckBox" fmlaLink="NeoBerLab!M5" lockText="1"/>
</file>

<file path=xl/ctrlProps/ctrlProp1136.xml><?xml version="1.0" encoding="utf-8"?>
<formControlPr xmlns="http://schemas.microsoft.com/office/spreadsheetml/2009/9/main" objectType="CheckBox" fmlaLink="NeoBerLab!M7" lockText="1"/>
</file>

<file path=xl/ctrlProps/ctrlProp1137.xml><?xml version="1.0" encoding="utf-8"?>
<formControlPr xmlns="http://schemas.microsoft.com/office/spreadsheetml/2009/9/main" objectType="CheckBox" fmlaLink="NeoBerLab!M8" lockText="1"/>
</file>

<file path=xl/ctrlProps/ctrlProp1138.xml><?xml version="1.0" encoding="utf-8"?>
<formControlPr xmlns="http://schemas.microsoft.com/office/spreadsheetml/2009/9/main" objectType="CheckBox" fmlaLink="NeoBerLab!M14" lockText="1"/>
</file>

<file path=xl/ctrlProps/ctrlProp1139.xml><?xml version="1.0" encoding="utf-8"?>
<formControlPr xmlns="http://schemas.microsoft.com/office/spreadsheetml/2009/9/main" objectType="CheckBox" fmlaLink="NeoBerLab!M13" lockText="1"/>
</file>

<file path=xl/ctrlProps/ctrlProp1140.xml><?xml version="1.0" encoding="utf-8"?>
<formControlPr xmlns="http://schemas.microsoft.com/office/spreadsheetml/2009/9/main" objectType="CheckBox" fmlaLink="NeoBerLab!M30" lockText="1"/>
</file>

<file path=xl/ctrlProps/ctrlProp1141.xml><?xml version="1.0" encoding="utf-8"?>
<formControlPr xmlns="http://schemas.microsoft.com/office/spreadsheetml/2009/9/main" objectType="CheckBox" fmlaLink="NeoBerLab!M16" lockText="1"/>
</file>

<file path=xl/ctrlProps/ctrlProp1142.xml><?xml version="1.0" encoding="utf-8"?>
<formControlPr xmlns="http://schemas.microsoft.com/office/spreadsheetml/2009/9/main" objectType="CheckBox" fmlaLink="NeoBerLab!M19" lockText="1"/>
</file>

<file path=xl/ctrlProps/ctrlProp1143.xml><?xml version="1.0" encoding="utf-8"?>
<formControlPr xmlns="http://schemas.microsoft.com/office/spreadsheetml/2009/9/main" objectType="CheckBox" fmlaLink="NeoBerLab!M20" lockText="1"/>
</file>

<file path=xl/ctrlProps/ctrlProp1144.xml><?xml version="1.0" encoding="utf-8"?>
<formControlPr xmlns="http://schemas.microsoft.com/office/spreadsheetml/2009/9/main" objectType="CheckBox" fmlaLink="NeoBerLab!M21" lockText="1"/>
</file>

<file path=xl/ctrlProps/ctrlProp1145.xml><?xml version="1.0" encoding="utf-8"?>
<formControlPr xmlns="http://schemas.microsoft.com/office/spreadsheetml/2009/9/main" objectType="CheckBox" fmlaLink="NeoBerLab!M12" lockText="1"/>
</file>

<file path=xl/ctrlProps/ctrlProp1146.xml><?xml version="1.0" encoding="utf-8"?>
<formControlPr xmlns="http://schemas.microsoft.com/office/spreadsheetml/2009/9/main" objectType="CheckBox" fmlaLink="NeoBerLab!M28" lockText="1"/>
</file>

<file path=xl/ctrlProps/ctrlProp1147.xml><?xml version="1.0" encoding="utf-8"?>
<formControlPr xmlns="http://schemas.microsoft.com/office/spreadsheetml/2009/9/main" objectType="CheckBox" fmlaLink="NeoBerLab!K32" lockText="1"/>
</file>

<file path=xl/ctrlProps/ctrlProp1148.xml><?xml version="1.0" encoding="utf-8"?>
<formControlPr xmlns="http://schemas.microsoft.com/office/spreadsheetml/2009/9/main" objectType="CheckBox" fmlaLink="NeoBerLab!M32" lockText="1"/>
</file>

<file path=xl/ctrlProps/ctrlProp1149.xml><?xml version="1.0" encoding="utf-8"?>
<formControlPr xmlns="http://schemas.microsoft.com/office/spreadsheetml/2009/9/main" objectType="CheckBox" fmlaLink="NeoBerLab!K6" lockText="1"/>
</file>

<file path=xl/ctrlProps/ctrlProp1150.xml><?xml version="1.0" encoding="utf-8"?>
<formControlPr xmlns="http://schemas.microsoft.com/office/spreadsheetml/2009/9/main" objectType="CheckBox" fmlaLink="NeoBerLab!M6" lockText="1"/>
</file>

<file path=xl/ctrlProps/ctrlProp1151.xml><?xml version="1.0" encoding="utf-8"?>
<formControlPr xmlns="http://schemas.microsoft.com/office/spreadsheetml/2009/9/main" objectType="CheckBox" fmlaLink="NeoBerLab!K17" lockText="1"/>
</file>

<file path=xl/ctrlProps/ctrlProp1152.xml><?xml version="1.0" encoding="utf-8"?>
<formControlPr xmlns="http://schemas.microsoft.com/office/spreadsheetml/2009/9/main" objectType="CheckBox" fmlaLink="NeoBerLab!M17" lockText="1"/>
</file>

<file path=xl/ctrlProps/ctrlProp1153.xml><?xml version="1.0" encoding="utf-8"?>
<formControlPr xmlns="http://schemas.microsoft.com/office/spreadsheetml/2009/9/main" objectType="CheckBox" fmlaLink="NeoBerLab!K33" lockText="1"/>
</file>

<file path=xl/ctrlProps/ctrlProp1154.xml><?xml version="1.0" encoding="utf-8"?>
<formControlPr xmlns="http://schemas.microsoft.com/office/spreadsheetml/2009/9/main" objectType="CheckBox" fmlaLink="NeoBerLab!M33" lockText="1"/>
</file>

<file path=xl/ctrlProps/ctrlProp1155.xml><?xml version="1.0" encoding="utf-8"?>
<formControlPr xmlns="http://schemas.microsoft.com/office/spreadsheetml/2009/9/main" objectType="CheckBox" fmlaLink="NeoBerLab!K34" lockText="1"/>
</file>

<file path=xl/ctrlProps/ctrlProp1156.xml><?xml version="1.0" encoding="utf-8"?>
<formControlPr xmlns="http://schemas.microsoft.com/office/spreadsheetml/2009/9/main" objectType="CheckBox" fmlaLink="NeoBerLab!M34" lockText="1"/>
</file>

<file path=xl/ctrlProps/ctrlProp1157.xml><?xml version="1.0" encoding="utf-8"?>
<formControlPr xmlns="http://schemas.microsoft.com/office/spreadsheetml/2009/9/main" objectType="CheckBox" fmlaLink="NeoBerLab!K9" lockText="1"/>
</file>

<file path=xl/ctrlProps/ctrlProp1158.xml><?xml version="1.0" encoding="utf-8"?>
<formControlPr xmlns="http://schemas.microsoft.com/office/spreadsheetml/2009/9/main" objectType="CheckBox" fmlaLink="NeoBerLab!M9" lockText="1"/>
</file>

<file path=xl/ctrlProps/ctrlProp1159.xml><?xml version="1.0" encoding="utf-8"?>
<formControlPr xmlns="http://schemas.microsoft.com/office/spreadsheetml/2009/9/main" objectType="CheckBox" fmlaLink="NeoBerLab!K11" lockText="1"/>
</file>

<file path=xl/ctrlProps/ctrlProp1160.xml><?xml version="1.0" encoding="utf-8"?>
<formControlPr xmlns="http://schemas.microsoft.com/office/spreadsheetml/2009/9/main" objectType="CheckBox" fmlaLink="NeoBerLab!M11" lockText="1"/>
</file>

<file path=xl/ctrlProps/ctrlProp1161.xml><?xml version="1.0" encoding="utf-8"?>
<formControlPr xmlns="http://schemas.microsoft.com/office/spreadsheetml/2009/9/main" objectType="CheckBox" fmlaLink="NeoBerLab!K15" lockText="1"/>
</file>

<file path=xl/ctrlProps/ctrlProp1162.xml><?xml version="1.0" encoding="utf-8"?>
<formControlPr xmlns="http://schemas.microsoft.com/office/spreadsheetml/2009/9/main" objectType="CheckBox" fmlaLink="NeoBerLab!M15" lockText="1"/>
</file>

<file path=xl/ctrlProps/ctrlProp1163.xml><?xml version="1.0" encoding="utf-8"?>
<formControlPr xmlns="http://schemas.microsoft.com/office/spreadsheetml/2009/9/main" objectType="CheckBox" fmlaLink="NeoBerLab!K22" lockText="1"/>
</file>

<file path=xl/ctrlProps/ctrlProp1164.xml><?xml version="1.0" encoding="utf-8"?>
<formControlPr xmlns="http://schemas.microsoft.com/office/spreadsheetml/2009/9/main" objectType="CheckBox" fmlaLink="NeoBerLab!M22" lockText="1"/>
</file>

<file path=xl/ctrlProps/ctrlProp1165.xml><?xml version="1.0" encoding="utf-8"?>
<formControlPr xmlns="http://schemas.microsoft.com/office/spreadsheetml/2009/9/main" objectType="CheckBox" fmlaLink="NeoBerLab!K23" lockText="1"/>
</file>

<file path=xl/ctrlProps/ctrlProp1166.xml><?xml version="1.0" encoding="utf-8"?>
<formControlPr xmlns="http://schemas.microsoft.com/office/spreadsheetml/2009/9/main" objectType="CheckBox" fmlaLink="NeoBerLab!M23" lockText="1"/>
</file>

<file path=xl/ctrlProps/ctrlProp1167.xml><?xml version="1.0" encoding="utf-8"?>
<formControlPr xmlns="http://schemas.microsoft.com/office/spreadsheetml/2009/9/main" objectType="CheckBox" fmlaLink="NeoBerLab!K24" lockText="1"/>
</file>

<file path=xl/ctrlProps/ctrlProp1168.xml><?xml version="1.0" encoding="utf-8"?>
<formControlPr xmlns="http://schemas.microsoft.com/office/spreadsheetml/2009/9/main" objectType="CheckBox" fmlaLink="NeoBerLab!M24" lockText="1"/>
</file>

<file path=xl/ctrlProps/ctrlProp1169.xml><?xml version="1.0" encoding="utf-8"?>
<formControlPr xmlns="http://schemas.microsoft.com/office/spreadsheetml/2009/9/main" objectType="CheckBox" fmlaLink="NeoBerLab!K25" lockText="1"/>
</file>

<file path=xl/ctrlProps/ctrlProp1170.xml><?xml version="1.0" encoding="utf-8"?>
<formControlPr xmlns="http://schemas.microsoft.com/office/spreadsheetml/2009/9/main" objectType="CheckBox" fmlaLink="NeoBerLab!M25" lockText="1"/>
</file>

<file path=xl/ctrlProps/ctrlProp1171.xml><?xml version="1.0" encoding="utf-8"?>
<formControlPr xmlns="http://schemas.microsoft.com/office/spreadsheetml/2009/9/main" objectType="CheckBox" fmlaLink="NeoBerLab!K26" lockText="1"/>
</file>

<file path=xl/ctrlProps/ctrlProp1172.xml><?xml version="1.0" encoding="utf-8"?>
<formControlPr xmlns="http://schemas.microsoft.com/office/spreadsheetml/2009/9/main" objectType="CheckBox" fmlaLink="NeoBerLab!M26" lockText="1"/>
</file>

<file path=xl/ctrlProps/ctrlProp1173.xml><?xml version="1.0" encoding="utf-8"?>
<formControlPr xmlns="http://schemas.microsoft.com/office/spreadsheetml/2009/9/main" objectType="CheckBox" fmlaLink="NeoBerLab!K29" lockText="1"/>
</file>

<file path=xl/ctrlProps/ctrlProp1174.xml><?xml version="1.0" encoding="utf-8"?>
<formControlPr xmlns="http://schemas.microsoft.com/office/spreadsheetml/2009/9/main" objectType="CheckBox" fmlaLink="NeoBerLab!M29" lockText="1"/>
</file>

<file path=xl/ctrlProps/ctrlProp1175.xml><?xml version="1.0" encoding="utf-8"?>
<formControlPr xmlns="http://schemas.microsoft.com/office/spreadsheetml/2009/9/main" objectType="CheckBox" fmlaLink="NeoBerLab!K18" lockText="1"/>
</file>

<file path=xl/ctrlProps/ctrlProp1176.xml><?xml version="1.0" encoding="utf-8"?>
<formControlPr xmlns="http://schemas.microsoft.com/office/spreadsheetml/2009/9/main" objectType="CheckBox" fmlaLink="NeoBerLab!M18" lockText="1"/>
</file>

<file path=xl/ctrlProps/ctrlProp1177.xml><?xml version="1.0" encoding="utf-8"?>
<formControlPr xmlns="http://schemas.microsoft.com/office/spreadsheetml/2009/9/main" objectType="CheckBox" fmlaLink="NeoBerLab!C10" lockText="1"/>
</file>

<file path=xl/ctrlProps/ctrlProp1178.xml><?xml version="1.0" encoding="utf-8"?>
<formControlPr xmlns="http://schemas.microsoft.com/office/spreadsheetml/2009/9/main" objectType="CheckBox" fmlaLink="NeoBerLab!G10" lockText="1"/>
</file>

<file path=xl/ctrlProps/ctrlProp1179.xml><?xml version="1.0" encoding="utf-8"?>
<formControlPr xmlns="http://schemas.microsoft.com/office/spreadsheetml/2009/9/main" objectType="CheckBox" fmlaLink="NeoBerLab!I10" lockText="1"/>
</file>

<file path=xl/ctrlProps/ctrlProp1180.xml><?xml version="1.0" encoding="utf-8"?>
<formControlPr xmlns="http://schemas.microsoft.com/office/spreadsheetml/2009/9/main" objectType="CheckBox" fmlaLink="NeoBerLab!O10" lockText="1"/>
</file>

<file path=xl/ctrlProps/ctrlProp1181.xml><?xml version="1.0" encoding="utf-8"?>
<formControlPr xmlns="http://schemas.microsoft.com/office/spreadsheetml/2009/9/main" objectType="CheckBox" fmlaLink="NeoBerLab!E10" lockText="1"/>
</file>

<file path=xl/ctrlProps/ctrlProp1182.xml><?xml version="1.0" encoding="utf-8"?>
<formControlPr xmlns="http://schemas.microsoft.com/office/spreadsheetml/2009/9/main" objectType="CheckBox" fmlaLink="NeoBerLab!K10" lockText="1"/>
</file>

<file path=xl/ctrlProps/ctrlProp1183.xml><?xml version="1.0" encoding="utf-8"?>
<formControlPr xmlns="http://schemas.microsoft.com/office/spreadsheetml/2009/9/main" objectType="CheckBox" fmlaLink="NeoBerLab!M10" lockText="1"/>
</file>

<file path=xl/ctrlProps/ctrlProp1184.xml><?xml version="1.0" encoding="utf-8"?>
<formControlPr xmlns="http://schemas.microsoft.com/office/spreadsheetml/2009/9/main" objectType="CheckBox" fmlaLink="NeoBerLab!C31" lockText="1"/>
</file>

<file path=xl/ctrlProps/ctrlProp1185.xml><?xml version="1.0" encoding="utf-8"?>
<formControlPr xmlns="http://schemas.microsoft.com/office/spreadsheetml/2009/9/main" objectType="CheckBox" fmlaLink="NeoBerLab!G31" lockText="1"/>
</file>

<file path=xl/ctrlProps/ctrlProp1186.xml><?xml version="1.0" encoding="utf-8"?>
<formControlPr xmlns="http://schemas.microsoft.com/office/spreadsheetml/2009/9/main" objectType="CheckBox" fmlaLink="NeoBerLab!I31" lockText="1"/>
</file>

<file path=xl/ctrlProps/ctrlProp1187.xml><?xml version="1.0" encoding="utf-8"?>
<formControlPr xmlns="http://schemas.microsoft.com/office/spreadsheetml/2009/9/main" objectType="CheckBox" fmlaLink="NeoBerLab!O31" lockText="1"/>
</file>

<file path=xl/ctrlProps/ctrlProp1188.xml><?xml version="1.0" encoding="utf-8"?>
<formControlPr xmlns="http://schemas.microsoft.com/office/spreadsheetml/2009/9/main" objectType="CheckBox" fmlaLink="NeoBerLab!E31" lockText="1"/>
</file>

<file path=xl/ctrlProps/ctrlProp1189.xml><?xml version="1.0" encoding="utf-8"?>
<formControlPr xmlns="http://schemas.microsoft.com/office/spreadsheetml/2009/9/main" objectType="CheckBox" fmlaLink="NeoBerLab!K31" lockText="1"/>
</file>

<file path=xl/ctrlProps/ctrlProp1190.xml><?xml version="1.0" encoding="utf-8"?>
<formControlPr xmlns="http://schemas.microsoft.com/office/spreadsheetml/2009/9/main" objectType="CheckBox" fmlaLink="NeoBerLab!M31" lockText="1"/>
</file>

<file path=xl/ctrlProps/ctrlProp1191.xml><?xml version="1.0" encoding="utf-8"?>
<formControlPr xmlns="http://schemas.microsoft.com/office/spreadsheetml/2009/9/main" objectType="CheckBox" fmlaLink="NeoBerLab!C27" lockText="1"/>
</file>

<file path=xl/ctrlProps/ctrlProp1192.xml><?xml version="1.0" encoding="utf-8"?>
<formControlPr xmlns="http://schemas.microsoft.com/office/spreadsheetml/2009/9/main" objectType="CheckBox" fmlaLink="NeoBerLab!G27" lockText="1"/>
</file>

<file path=xl/ctrlProps/ctrlProp1193.xml><?xml version="1.0" encoding="utf-8"?>
<formControlPr xmlns="http://schemas.microsoft.com/office/spreadsheetml/2009/9/main" objectType="CheckBox" fmlaLink="NeoBerLab!I27" lockText="1"/>
</file>

<file path=xl/ctrlProps/ctrlProp1194.xml><?xml version="1.0" encoding="utf-8"?>
<formControlPr xmlns="http://schemas.microsoft.com/office/spreadsheetml/2009/9/main" objectType="CheckBox" fmlaLink="NeoBerLab!O27" lockText="1"/>
</file>

<file path=xl/ctrlProps/ctrlProp1195.xml><?xml version="1.0" encoding="utf-8"?>
<formControlPr xmlns="http://schemas.microsoft.com/office/spreadsheetml/2009/9/main" objectType="CheckBox" fmlaLink="NeoBerLab!E27" lockText="1"/>
</file>

<file path=xl/ctrlProps/ctrlProp1196.xml><?xml version="1.0" encoding="utf-8"?>
<formControlPr xmlns="http://schemas.microsoft.com/office/spreadsheetml/2009/9/main" objectType="CheckBox" fmlaLink="NeoBerLab!K27" lockText="1"/>
</file>

<file path=xl/ctrlProps/ctrlProp1197.xml><?xml version="1.0" encoding="utf-8"?>
<formControlPr xmlns="http://schemas.microsoft.com/office/spreadsheetml/2009/9/main" objectType="CheckBox" fmlaLink="NeoBerLab!M27" lockText="1"/>
</file>

<file path=xl/ctrlProps/ctrlProp1198.xml><?xml version="1.0" encoding="utf-8"?>
<formControlPr xmlns="http://schemas.microsoft.com/office/spreadsheetml/2009/9/main" objectType="CheckBox" fmlaLink="NeoBerLab!C35" lockText="1"/>
</file>

<file path=xl/ctrlProps/ctrlProp1199.xml><?xml version="1.0" encoding="utf-8"?>
<formControlPr xmlns="http://schemas.microsoft.com/office/spreadsheetml/2009/9/main" objectType="CheckBox" fmlaLink="NeoBerLab!$Q$4" lockText="1"/>
</file>

<file path=xl/ctrlProps/ctrlProp1200.xml><?xml version="1.0" encoding="utf-8"?>
<formControlPr xmlns="http://schemas.microsoft.com/office/spreadsheetml/2009/9/main" objectType="CheckBox" fmlaLink="NeoBerLab!Q5" lockText="1"/>
</file>

<file path=xl/ctrlProps/ctrlProp1201.xml><?xml version="1.0" encoding="utf-8"?>
<formControlPr xmlns="http://schemas.microsoft.com/office/spreadsheetml/2009/9/main" objectType="CheckBox" fmlaLink="NeoBerLab!Q7" lockText="1"/>
</file>

<file path=xl/ctrlProps/ctrlProp1202.xml><?xml version="1.0" encoding="utf-8"?>
<formControlPr xmlns="http://schemas.microsoft.com/office/spreadsheetml/2009/9/main" objectType="CheckBox" fmlaLink="NeoBerLab!Q8" lockText="1"/>
</file>

<file path=xl/ctrlProps/ctrlProp1203.xml><?xml version="1.0" encoding="utf-8"?>
<formControlPr xmlns="http://schemas.microsoft.com/office/spreadsheetml/2009/9/main" objectType="CheckBox" fmlaLink="NeoBerLab!Q14" lockText="1"/>
</file>

<file path=xl/ctrlProps/ctrlProp1204.xml><?xml version="1.0" encoding="utf-8"?>
<formControlPr xmlns="http://schemas.microsoft.com/office/spreadsheetml/2009/9/main" objectType="CheckBox" fmlaLink="NeoBerLab!Q13" lockText="1"/>
</file>

<file path=xl/ctrlProps/ctrlProp1205.xml><?xml version="1.0" encoding="utf-8"?>
<formControlPr xmlns="http://schemas.microsoft.com/office/spreadsheetml/2009/9/main" objectType="CheckBox" fmlaLink="NeoBerLab!Q30" lockText="1"/>
</file>

<file path=xl/ctrlProps/ctrlProp1206.xml><?xml version="1.0" encoding="utf-8"?>
<formControlPr xmlns="http://schemas.microsoft.com/office/spreadsheetml/2009/9/main" objectType="CheckBox" fmlaLink="NeoBerLab!Q16" lockText="1"/>
</file>

<file path=xl/ctrlProps/ctrlProp1207.xml><?xml version="1.0" encoding="utf-8"?>
<formControlPr xmlns="http://schemas.microsoft.com/office/spreadsheetml/2009/9/main" objectType="CheckBox" fmlaLink="NeoBerLab!Q19" lockText="1"/>
</file>

<file path=xl/ctrlProps/ctrlProp1208.xml><?xml version="1.0" encoding="utf-8"?>
<formControlPr xmlns="http://schemas.microsoft.com/office/spreadsheetml/2009/9/main" objectType="CheckBox" fmlaLink="NeoBerLab!Q20" lockText="1"/>
</file>

<file path=xl/ctrlProps/ctrlProp1209.xml><?xml version="1.0" encoding="utf-8"?>
<formControlPr xmlns="http://schemas.microsoft.com/office/spreadsheetml/2009/9/main" objectType="CheckBox" fmlaLink="NeoBerLab!Q21" lockText="1"/>
</file>

<file path=xl/ctrlProps/ctrlProp1210.xml><?xml version="1.0" encoding="utf-8"?>
<formControlPr xmlns="http://schemas.microsoft.com/office/spreadsheetml/2009/9/main" objectType="CheckBox" fmlaLink="NeoBerLab!Q12" lockText="1"/>
</file>

<file path=xl/ctrlProps/ctrlProp1211.xml><?xml version="1.0" encoding="utf-8"?>
<formControlPr xmlns="http://schemas.microsoft.com/office/spreadsheetml/2009/9/main" objectType="CheckBox" fmlaLink="NeoBerLab!Q28" lockText="1"/>
</file>

<file path=xl/ctrlProps/ctrlProp1212.xml><?xml version="1.0" encoding="utf-8"?>
<formControlPr xmlns="http://schemas.microsoft.com/office/spreadsheetml/2009/9/main" objectType="CheckBox" fmlaLink="NeoBerLab!Q32" lockText="1"/>
</file>

<file path=xl/ctrlProps/ctrlProp1213.xml><?xml version="1.0" encoding="utf-8"?>
<formControlPr xmlns="http://schemas.microsoft.com/office/spreadsheetml/2009/9/main" objectType="CheckBox" fmlaLink="NeoBerLab!Q6" lockText="1"/>
</file>

<file path=xl/ctrlProps/ctrlProp1214.xml><?xml version="1.0" encoding="utf-8"?>
<formControlPr xmlns="http://schemas.microsoft.com/office/spreadsheetml/2009/9/main" objectType="CheckBox" fmlaLink="NeoBerLab!Q17" lockText="1"/>
</file>

<file path=xl/ctrlProps/ctrlProp1215.xml><?xml version="1.0" encoding="utf-8"?>
<formControlPr xmlns="http://schemas.microsoft.com/office/spreadsheetml/2009/9/main" objectType="CheckBox" fmlaLink="NeoBerLab!Q33" lockText="1"/>
</file>

<file path=xl/ctrlProps/ctrlProp1216.xml><?xml version="1.0" encoding="utf-8"?>
<formControlPr xmlns="http://schemas.microsoft.com/office/spreadsheetml/2009/9/main" objectType="CheckBox" fmlaLink="NeoBerLab!Q34" lockText="1"/>
</file>

<file path=xl/ctrlProps/ctrlProp1217.xml><?xml version="1.0" encoding="utf-8"?>
<formControlPr xmlns="http://schemas.microsoft.com/office/spreadsheetml/2009/9/main" objectType="CheckBox" fmlaLink="NeoBerLab!Q9" lockText="1"/>
</file>

<file path=xl/ctrlProps/ctrlProp1218.xml><?xml version="1.0" encoding="utf-8"?>
<formControlPr xmlns="http://schemas.microsoft.com/office/spreadsheetml/2009/9/main" objectType="CheckBox" fmlaLink="NeoBerLab!Q11" lockText="1"/>
</file>

<file path=xl/ctrlProps/ctrlProp1219.xml><?xml version="1.0" encoding="utf-8"?>
<formControlPr xmlns="http://schemas.microsoft.com/office/spreadsheetml/2009/9/main" objectType="CheckBox" fmlaLink="NeoBerLab!Q15" lockText="1"/>
</file>

<file path=xl/ctrlProps/ctrlProp1220.xml><?xml version="1.0" encoding="utf-8"?>
<formControlPr xmlns="http://schemas.microsoft.com/office/spreadsheetml/2009/9/main" objectType="CheckBox" fmlaLink="NeoBerLab!Q22" lockText="1"/>
</file>

<file path=xl/ctrlProps/ctrlProp1221.xml><?xml version="1.0" encoding="utf-8"?>
<formControlPr xmlns="http://schemas.microsoft.com/office/spreadsheetml/2009/9/main" objectType="CheckBox" fmlaLink="NeoBerLab!Q23" lockText="1"/>
</file>

<file path=xl/ctrlProps/ctrlProp1222.xml><?xml version="1.0" encoding="utf-8"?>
<formControlPr xmlns="http://schemas.microsoft.com/office/spreadsheetml/2009/9/main" objectType="CheckBox" fmlaLink="NeoBerLab!Q24" lockText="1"/>
</file>

<file path=xl/ctrlProps/ctrlProp1223.xml><?xml version="1.0" encoding="utf-8"?>
<formControlPr xmlns="http://schemas.microsoft.com/office/spreadsheetml/2009/9/main" objectType="CheckBox" fmlaLink="NeoBerLab!Q25" lockText="1"/>
</file>

<file path=xl/ctrlProps/ctrlProp1224.xml><?xml version="1.0" encoding="utf-8"?>
<formControlPr xmlns="http://schemas.microsoft.com/office/spreadsheetml/2009/9/main" objectType="CheckBox" fmlaLink="NeoBerLab!Q26" lockText="1"/>
</file>

<file path=xl/ctrlProps/ctrlProp1225.xml><?xml version="1.0" encoding="utf-8"?>
<formControlPr xmlns="http://schemas.microsoft.com/office/spreadsheetml/2009/9/main" objectType="CheckBox" fmlaLink="NeoBerLab!Q29" lockText="1"/>
</file>

<file path=xl/ctrlProps/ctrlProp1226.xml><?xml version="1.0" encoding="utf-8"?>
<formControlPr xmlns="http://schemas.microsoft.com/office/spreadsheetml/2009/9/main" objectType="CheckBox" fmlaLink="NeoBerLab!Q18" lockText="1"/>
</file>

<file path=xl/ctrlProps/ctrlProp1227.xml><?xml version="1.0" encoding="utf-8"?>
<formControlPr xmlns="http://schemas.microsoft.com/office/spreadsheetml/2009/9/main" objectType="CheckBox" fmlaLink="NeoBerLab!Q10" lockText="1"/>
</file>

<file path=xl/ctrlProps/ctrlProp1228.xml><?xml version="1.0" encoding="utf-8"?>
<formControlPr xmlns="http://schemas.microsoft.com/office/spreadsheetml/2009/9/main" objectType="CheckBox" fmlaLink="NeoBerLab!Q31" lockText="1"/>
</file>

<file path=xl/ctrlProps/ctrlProp1229.xml><?xml version="1.0" encoding="utf-8"?>
<formControlPr xmlns="http://schemas.microsoft.com/office/spreadsheetml/2009/9/main" objectType="CheckBox" fmlaLink="NeoBerLab!Q27" lockText="1"/>
</file>

<file path=xl/ctrlProps/ctrlProp1230.xml><?xml version="1.0" encoding="utf-8"?>
<formControlPr xmlns="http://schemas.microsoft.com/office/spreadsheetml/2009/9/main" objectType="CheckBox" fmlaLink="NeoBerLab!$S$4" lockText="1"/>
</file>

<file path=xl/ctrlProps/ctrlProp1231.xml><?xml version="1.0" encoding="utf-8"?>
<formControlPr xmlns="http://schemas.microsoft.com/office/spreadsheetml/2009/9/main" objectType="CheckBox" fmlaLink="NeoBerLab!S5" lockText="1"/>
</file>

<file path=xl/ctrlProps/ctrlProp1232.xml><?xml version="1.0" encoding="utf-8"?>
<formControlPr xmlns="http://schemas.microsoft.com/office/spreadsheetml/2009/9/main" objectType="CheckBox" fmlaLink="NeoBerLab!S7" lockText="1"/>
</file>

<file path=xl/ctrlProps/ctrlProp1233.xml><?xml version="1.0" encoding="utf-8"?>
<formControlPr xmlns="http://schemas.microsoft.com/office/spreadsheetml/2009/9/main" objectType="CheckBox" fmlaLink="NeoBerLab!S8" lockText="1"/>
</file>

<file path=xl/ctrlProps/ctrlProp1234.xml><?xml version="1.0" encoding="utf-8"?>
<formControlPr xmlns="http://schemas.microsoft.com/office/spreadsheetml/2009/9/main" objectType="CheckBox" fmlaLink="NeoBerLab!S14" lockText="1"/>
</file>

<file path=xl/ctrlProps/ctrlProp1235.xml><?xml version="1.0" encoding="utf-8"?>
<formControlPr xmlns="http://schemas.microsoft.com/office/spreadsheetml/2009/9/main" objectType="CheckBox" fmlaLink="NeoBerLab!S13" lockText="1"/>
</file>

<file path=xl/ctrlProps/ctrlProp1236.xml><?xml version="1.0" encoding="utf-8"?>
<formControlPr xmlns="http://schemas.microsoft.com/office/spreadsheetml/2009/9/main" objectType="CheckBox" fmlaLink="NeoBerLab!S30" lockText="1"/>
</file>

<file path=xl/ctrlProps/ctrlProp1237.xml><?xml version="1.0" encoding="utf-8"?>
<formControlPr xmlns="http://schemas.microsoft.com/office/spreadsheetml/2009/9/main" objectType="CheckBox" fmlaLink="NeoBerLab!S16" lockText="1"/>
</file>

<file path=xl/ctrlProps/ctrlProp1238.xml><?xml version="1.0" encoding="utf-8"?>
<formControlPr xmlns="http://schemas.microsoft.com/office/spreadsheetml/2009/9/main" objectType="CheckBox" fmlaLink="NeoBerLab!S19" lockText="1"/>
</file>

<file path=xl/ctrlProps/ctrlProp1239.xml><?xml version="1.0" encoding="utf-8"?>
<formControlPr xmlns="http://schemas.microsoft.com/office/spreadsheetml/2009/9/main" objectType="CheckBox" fmlaLink="NeoBerLab!S20" lockText="1"/>
</file>

<file path=xl/ctrlProps/ctrlProp1240.xml><?xml version="1.0" encoding="utf-8"?>
<formControlPr xmlns="http://schemas.microsoft.com/office/spreadsheetml/2009/9/main" objectType="CheckBox" fmlaLink="NeoBerLab!S21" lockText="1"/>
</file>

<file path=xl/ctrlProps/ctrlProp1241.xml><?xml version="1.0" encoding="utf-8"?>
<formControlPr xmlns="http://schemas.microsoft.com/office/spreadsheetml/2009/9/main" objectType="CheckBox" fmlaLink="NeoBerLab!S12" lockText="1"/>
</file>

<file path=xl/ctrlProps/ctrlProp1242.xml><?xml version="1.0" encoding="utf-8"?>
<formControlPr xmlns="http://schemas.microsoft.com/office/spreadsheetml/2009/9/main" objectType="CheckBox" fmlaLink="NeoBerLab!S28" lockText="1"/>
</file>

<file path=xl/ctrlProps/ctrlProp1243.xml><?xml version="1.0" encoding="utf-8"?>
<formControlPr xmlns="http://schemas.microsoft.com/office/spreadsheetml/2009/9/main" objectType="CheckBox" fmlaLink="NeoBerLab!S32" lockText="1"/>
</file>

<file path=xl/ctrlProps/ctrlProp1244.xml><?xml version="1.0" encoding="utf-8"?>
<formControlPr xmlns="http://schemas.microsoft.com/office/spreadsheetml/2009/9/main" objectType="CheckBox" fmlaLink="NeoBerLab!S6" lockText="1"/>
</file>

<file path=xl/ctrlProps/ctrlProp1245.xml><?xml version="1.0" encoding="utf-8"?>
<formControlPr xmlns="http://schemas.microsoft.com/office/spreadsheetml/2009/9/main" objectType="CheckBox" fmlaLink="NeoBerLab!S17" lockText="1"/>
</file>

<file path=xl/ctrlProps/ctrlProp1246.xml><?xml version="1.0" encoding="utf-8"?>
<formControlPr xmlns="http://schemas.microsoft.com/office/spreadsheetml/2009/9/main" objectType="CheckBox" fmlaLink="NeoBerLab!S33" lockText="1"/>
</file>

<file path=xl/ctrlProps/ctrlProp1247.xml><?xml version="1.0" encoding="utf-8"?>
<formControlPr xmlns="http://schemas.microsoft.com/office/spreadsheetml/2009/9/main" objectType="CheckBox" fmlaLink="NeoBerLab!S34" lockText="1"/>
</file>

<file path=xl/ctrlProps/ctrlProp1248.xml><?xml version="1.0" encoding="utf-8"?>
<formControlPr xmlns="http://schemas.microsoft.com/office/spreadsheetml/2009/9/main" objectType="CheckBox" fmlaLink="NeoBerLab!S9" lockText="1"/>
</file>

<file path=xl/ctrlProps/ctrlProp1249.xml><?xml version="1.0" encoding="utf-8"?>
<formControlPr xmlns="http://schemas.microsoft.com/office/spreadsheetml/2009/9/main" objectType="CheckBox" fmlaLink="NeoBerLab!S11" lockText="1"/>
</file>

<file path=xl/ctrlProps/ctrlProp1250.xml><?xml version="1.0" encoding="utf-8"?>
<formControlPr xmlns="http://schemas.microsoft.com/office/spreadsheetml/2009/9/main" objectType="CheckBox" fmlaLink="NeoBerLab!S15" lockText="1"/>
</file>

<file path=xl/ctrlProps/ctrlProp1251.xml><?xml version="1.0" encoding="utf-8"?>
<formControlPr xmlns="http://schemas.microsoft.com/office/spreadsheetml/2009/9/main" objectType="CheckBox" fmlaLink="NeoBerLab!S22" lockText="1"/>
</file>

<file path=xl/ctrlProps/ctrlProp1252.xml><?xml version="1.0" encoding="utf-8"?>
<formControlPr xmlns="http://schemas.microsoft.com/office/spreadsheetml/2009/9/main" objectType="CheckBox" fmlaLink="NeoBerLab!S23" lockText="1"/>
</file>

<file path=xl/ctrlProps/ctrlProp1253.xml><?xml version="1.0" encoding="utf-8"?>
<formControlPr xmlns="http://schemas.microsoft.com/office/spreadsheetml/2009/9/main" objectType="CheckBox" fmlaLink="NeoBerLab!S24" lockText="1"/>
</file>

<file path=xl/ctrlProps/ctrlProp1254.xml><?xml version="1.0" encoding="utf-8"?>
<formControlPr xmlns="http://schemas.microsoft.com/office/spreadsheetml/2009/9/main" objectType="CheckBox" fmlaLink="NeoBerLab!S25" lockText="1"/>
</file>

<file path=xl/ctrlProps/ctrlProp1255.xml><?xml version="1.0" encoding="utf-8"?>
<formControlPr xmlns="http://schemas.microsoft.com/office/spreadsheetml/2009/9/main" objectType="CheckBox" fmlaLink="NeoBerLab!S26" lockText="1"/>
</file>

<file path=xl/ctrlProps/ctrlProp1256.xml><?xml version="1.0" encoding="utf-8"?>
<formControlPr xmlns="http://schemas.microsoft.com/office/spreadsheetml/2009/9/main" objectType="CheckBox" fmlaLink="NeoBerLab!S29" lockText="1"/>
</file>

<file path=xl/ctrlProps/ctrlProp1257.xml><?xml version="1.0" encoding="utf-8"?>
<formControlPr xmlns="http://schemas.microsoft.com/office/spreadsheetml/2009/9/main" objectType="CheckBox" fmlaLink="NeoBerLab!S18" lockText="1"/>
</file>

<file path=xl/ctrlProps/ctrlProp1258.xml><?xml version="1.0" encoding="utf-8"?>
<formControlPr xmlns="http://schemas.microsoft.com/office/spreadsheetml/2009/9/main" objectType="CheckBox" fmlaLink="NeoBerLab!S10" lockText="1"/>
</file>

<file path=xl/ctrlProps/ctrlProp1259.xml><?xml version="1.0" encoding="utf-8"?>
<formControlPr xmlns="http://schemas.microsoft.com/office/spreadsheetml/2009/9/main" objectType="CheckBox" fmlaLink="NeoBerLab!S31" lockText="1"/>
</file>

<file path=xl/ctrlProps/ctrlProp1260.xml><?xml version="1.0" encoding="utf-8"?>
<formControlPr xmlns="http://schemas.microsoft.com/office/spreadsheetml/2009/9/main" objectType="CheckBox" fmlaLink="NeoBerLab!S27" lockText="1"/>
</file>

<file path=xl/ctrlProps/ctrlProp1261.xml><?xml version="1.0" encoding="utf-8"?>
<formControlPr xmlns="http://schemas.microsoft.com/office/spreadsheetml/2009/9/main" objectType="Spin" dx="15" fmlaLink="PatDetails!$B$7" max="200" min="25" page="10" val="8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26" Type="http://schemas.openxmlformats.org/officeDocument/2006/relationships/image" Target="../media/image5.emf"/><Relationship Id="rId3" Type="http://schemas.openxmlformats.org/officeDocument/2006/relationships/image" Target="../media/image28.emf"/><Relationship Id="rId21" Type="http://schemas.openxmlformats.org/officeDocument/2006/relationships/image" Target="../media/image10.emf"/><Relationship Id="rId7" Type="http://schemas.openxmlformats.org/officeDocument/2006/relationships/image" Target="../media/image24.emf"/><Relationship Id="rId12" Type="http://schemas.openxmlformats.org/officeDocument/2006/relationships/image" Target="../media/image19.emf"/><Relationship Id="rId17" Type="http://schemas.openxmlformats.org/officeDocument/2006/relationships/image" Target="../media/image14.emf"/><Relationship Id="rId25" Type="http://schemas.openxmlformats.org/officeDocument/2006/relationships/image" Target="../media/image6.emf"/><Relationship Id="rId2" Type="http://schemas.openxmlformats.org/officeDocument/2006/relationships/image" Target="../media/image29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2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11" Type="http://schemas.openxmlformats.org/officeDocument/2006/relationships/image" Target="../media/image20.emf"/><Relationship Id="rId24" Type="http://schemas.openxmlformats.org/officeDocument/2006/relationships/image" Target="../media/image7.emf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3.emf"/><Relationship Id="rId10" Type="http://schemas.openxmlformats.org/officeDocument/2006/relationships/image" Target="../media/image21.emf"/><Relationship Id="rId19" Type="http://schemas.openxmlformats.org/officeDocument/2006/relationships/image" Target="../media/image12.emf"/><Relationship Id="rId4" Type="http://schemas.openxmlformats.org/officeDocument/2006/relationships/image" Target="../media/image27.emf"/><Relationship Id="rId9" Type="http://schemas.openxmlformats.org/officeDocument/2006/relationships/image" Target="../media/image22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Relationship Id="rId27" Type="http://schemas.openxmlformats.org/officeDocument/2006/relationships/image" Target="../media/image4.emf"/><Relationship Id="rId30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</xdr:row>
      <xdr:rowOff>61691</xdr:rowOff>
    </xdr:from>
    <xdr:to>
      <xdr:col>6</xdr:col>
      <xdr:colOff>617779</xdr:colOff>
      <xdr:row>7</xdr:row>
      <xdr:rowOff>411</xdr:rowOff>
    </xdr:to>
    <xdr:sp macro="[0]!MedDisc_EnterText_01" textlink="">
      <xdr:nvSpPr>
        <xdr:cNvPr id="18837" name="Rectangle 405"/>
        <xdr:cNvSpPr>
          <a:spLocks noChangeArrowheads="1"/>
        </xdr:cNvSpPr>
      </xdr:nvSpPr>
      <xdr:spPr bwMode="auto">
        <a:xfrm>
          <a:off x="583868" y="120110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61691</xdr:rowOff>
    </xdr:from>
    <xdr:to>
      <xdr:col>6</xdr:col>
      <xdr:colOff>571500</xdr:colOff>
      <xdr:row>9</xdr:row>
      <xdr:rowOff>412</xdr:rowOff>
    </xdr:to>
    <xdr:sp macro="[0]!MedDisc_EnterText_02" textlink="">
      <xdr:nvSpPr>
        <xdr:cNvPr id="18838" name="Rectangle 406"/>
        <xdr:cNvSpPr>
          <a:spLocks noChangeArrowheads="1"/>
        </xdr:cNvSpPr>
      </xdr:nvSpPr>
      <xdr:spPr bwMode="auto">
        <a:xfrm>
          <a:off x="583868" y="1689419"/>
          <a:ext cx="3525546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10</xdr:row>
      <xdr:rowOff>61691</xdr:rowOff>
    </xdr:from>
    <xdr:to>
      <xdr:col>6</xdr:col>
      <xdr:colOff>617779</xdr:colOff>
      <xdr:row>11</xdr:row>
      <xdr:rowOff>412</xdr:rowOff>
    </xdr:to>
    <xdr:sp macro="[0]!MedDisc_EnterText_03" textlink="">
      <xdr:nvSpPr>
        <xdr:cNvPr id="18840" name="Rectangle 408"/>
        <xdr:cNvSpPr>
          <a:spLocks noChangeArrowheads="1"/>
        </xdr:cNvSpPr>
      </xdr:nvSpPr>
      <xdr:spPr bwMode="auto">
        <a:xfrm>
          <a:off x="583868" y="217773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12</xdr:row>
      <xdr:rowOff>61691</xdr:rowOff>
    </xdr:from>
    <xdr:to>
      <xdr:col>6</xdr:col>
      <xdr:colOff>617779</xdr:colOff>
      <xdr:row>13</xdr:row>
      <xdr:rowOff>411</xdr:rowOff>
    </xdr:to>
    <xdr:sp macro="[0]!MedDisc_EnterText_04" textlink="">
      <xdr:nvSpPr>
        <xdr:cNvPr id="18844" name="Rectangle 412"/>
        <xdr:cNvSpPr>
          <a:spLocks noChangeArrowheads="1"/>
        </xdr:cNvSpPr>
      </xdr:nvSpPr>
      <xdr:spPr bwMode="auto">
        <a:xfrm>
          <a:off x="583868" y="266605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14</xdr:row>
      <xdr:rowOff>61691</xdr:rowOff>
    </xdr:from>
    <xdr:to>
      <xdr:col>6</xdr:col>
      <xdr:colOff>617779</xdr:colOff>
      <xdr:row>15</xdr:row>
      <xdr:rowOff>412</xdr:rowOff>
    </xdr:to>
    <xdr:sp macro="[0]!MedDisc_EnterText_05" textlink="">
      <xdr:nvSpPr>
        <xdr:cNvPr id="18845" name="Rectangle 413"/>
        <xdr:cNvSpPr>
          <a:spLocks noChangeArrowheads="1"/>
        </xdr:cNvSpPr>
      </xdr:nvSpPr>
      <xdr:spPr bwMode="auto">
        <a:xfrm>
          <a:off x="583868" y="315437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16</xdr:row>
      <xdr:rowOff>61691</xdr:rowOff>
    </xdr:from>
    <xdr:to>
      <xdr:col>6</xdr:col>
      <xdr:colOff>617779</xdr:colOff>
      <xdr:row>17</xdr:row>
      <xdr:rowOff>412</xdr:rowOff>
    </xdr:to>
    <xdr:sp macro="[0]!MedDisc_EnterText_06" textlink="">
      <xdr:nvSpPr>
        <xdr:cNvPr id="18846" name="Rectangle 414"/>
        <xdr:cNvSpPr>
          <a:spLocks noChangeArrowheads="1"/>
        </xdr:cNvSpPr>
      </xdr:nvSpPr>
      <xdr:spPr bwMode="auto">
        <a:xfrm>
          <a:off x="583868" y="364269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18</xdr:row>
      <xdr:rowOff>61691</xdr:rowOff>
    </xdr:from>
    <xdr:to>
      <xdr:col>6</xdr:col>
      <xdr:colOff>617779</xdr:colOff>
      <xdr:row>19</xdr:row>
      <xdr:rowOff>411</xdr:rowOff>
    </xdr:to>
    <xdr:sp macro="[0]!MedDisc_EnterText_07" textlink="">
      <xdr:nvSpPr>
        <xdr:cNvPr id="18847" name="Rectangle 415"/>
        <xdr:cNvSpPr>
          <a:spLocks noChangeArrowheads="1"/>
        </xdr:cNvSpPr>
      </xdr:nvSpPr>
      <xdr:spPr bwMode="auto">
        <a:xfrm>
          <a:off x="583868" y="413101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20</xdr:row>
      <xdr:rowOff>61691</xdr:rowOff>
    </xdr:from>
    <xdr:to>
      <xdr:col>6</xdr:col>
      <xdr:colOff>617779</xdr:colOff>
      <xdr:row>21</xdr:row>
      <xdr:rowOff>412</xdr:rowOff>
    </xdr:to>
    <xdr:sp macro="[0]!MedDisc_EnterText_08" textlink="">
      <xdr:nvSpPr>
        <xdr:cNvPr id="18848" name="Rectangle 416"/>
        <xdr:cNvSpPr>
          <a:spLocks noChangeArrowheads="1"/>
        </xdr:cNvSpPr>
      </xdr:nvSpPr>
      <xdr:spPr bwMode="auto">
        <a:xfrm>
          <a:off x="583868" y="461932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22</xdr:row>
      <xdr:rowOff>61691</xdr:rowOff>
    </xdr:from>
    <xdr:to>
      <xdr:col>6</xdr:col>
      <xdr:colOff>617779</xdr:colOff>
      <xdr:row>23</xdr:row>
      <xdr:rowOff>412</xdr:rowOff>
    </xdr:to>
    <xdr:sp macro="[0]!MedDisc_EnterText_09" textlink="">
      <xdr:nvSpPr>
        <xdr:cNvPr id="18849" name="Rectangle 417"/>
        <xdr:cNvSpPr>
          <a:spLocks noChangeArrowheads="1"/>
        </xdr:cNvSpPr>
      </xdr:nvSpPr>
      <xdr:spPr bwMode="auto">
        <a:xfrm>
          <a:off x="583868" y="510764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24</xdr:row>
      <xdr:rowOff>71216</xdr:rowOff>
    </xdr:from>
    <xdr:to>
      <xdr:col>6</xdr:col>
      <xdr:colOff>617779</xdr:colOff>
      <xdr:row>25</xdr:row>
      <xdr:rowOff>9936</xdr:rowOff>
    </xdr:to>
    <xdr:sp macro="[0]!MedDisc_EnterText_10" textlink="">
      <xdr:nvSpPr>
        <xdr:cNvPr id="18850" name="Rectangle 418"/>
        <xdr:cNvSpPr>
          <a:spLocks noChangeArrowheads="1"/>
        </xdr:cNvSpPr>
      </xdr:nvSpPr>
      <xdr:spPr bwMode="auto">
        <a:xfrm>
          <a:off x="583868" y="560549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26</xdr:row>
      <xdr:rowOff>61691</xdr:rowOff>
    </xdr:from>
    <xdr:to>
      <xdr:col>6</xdr:col>
      <xdr:colOff>617779</xdr:colOff>
      <xdr:row>27</xdr:row>
      <xdr:rowOff>412</xdr:rowOff>
    </xdr:to>
    <xdr:sp macro="[0]!MedDisc_EnterText_11" textlink="">
      <xdr:nvSpPr>
        <xdr:cNvPr id="18851" name="Rectangle 419"/>
        <xdr:cNvSpPr>
          <a:spLocks noChangeArrowheads="1"/>
        </xdr:cNvSpPr>
      </xdr:nvSpPr>
      <xdr:spPr bwMode="auto">
        <a:xfrm>
          <a:off x="583868" y="608428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28</xdr:row>
      <xdr:rowOff>61691</xdr:rowOff>
    </xdr:from>
    <xdr:to>
      <xdr:col>6</xdr:col>
      <xdr:colOff>617779</xdr:colOff>
      <xdr:row>29</xdr:row>
      <xdr:rowOff>412</xdr:rowOff>
    </xdr:to>
    <xdr:sp macro="[0]!MedDisc_EnterText_12" textlink="">
      <xdr:nvSpPr>
        <xdr:cNvPr id="18852" name="Rectangle 420"/>
        <xdr:cNvSpPr>
          <a:spLocks noChangeArrowheads="1"/>
        </xdr:cNvSpPr>
      </xdr:nvSpPr>
      <xdr:spPr bwMode="auto">
        <a:xfrm>
          <a:off x="583868" y="657260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30</xdr:row>
      <xdr:rowOff>61691</xdr:rowOff>
    </xdr:from>
    <xdr:to>
      <xdr:col>6</xdr:col>
      <xdr:colOff>617779</xdr:colOff>
      <xdr:row>31</xdr:row>
      <xdr:rowOff>412</xdr:rowOff>
    </xdr:to>
    <xdr:sp macro="[0]!MedDisc_EnterText_13" textlink="">
      <xdr:nvSpPr>
        <xdr:cNvPr id="18853" name="Rectangle 421"/>
        <xdr:cNvSpPr>
          <a:spLocks noChangeArrowheads="1"/>
        </xdr:cNvSpPr>
      </xdr:nvSpPr>
      <xdr:spPr bwMode="auto">
        <a:xfrm>
          <a:off x="583868" y="706092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32</xdr:row>
      <xdr:rowOff>61691</xdr:rowOff>
    </xdr:from>
    <xdr:to>
      <xdr:col>6</xdr:col>
      <xdr:colOff>617779</xdr:colOff>
      <xdr:row>33</xdr:row>
      <xdr:rowOff>412</xdr:rowOff>
    </xdr:to>
    <xdr:sp macro="[0]!MedDisc_EnterText_14" textlink="">
      <xdr:nvSpPr>
        <xdr:cNvPr id="18854" name="Rectangle 422"/>
        <xdr:cNvSpPr>
          <a:spLocks noChangeArrowheads="1"/>
        </xdr:cNvSpPr>
      </xdr:nvSpPr>
      <xdr:spPr bwMode="auto">
        <a:xfrm>
          <a:off x="583868" y="754923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34</xdr:row>
      <xdr:rowOff>61691</xdr:rowOff>
    </xdr:from>
    <xdr:to>
      <xdr:col>6</xdr:col>
      <xdr:colOff>617779</xdr:colOff>
      <xdr:row>35</xdr:row>
      <xdr:rowOff>412</xdr:rowOff>
    </xdr:to>
    <xdr:sp macro="[0]!MedDisc_EnterText_15" textlink="">
      <xdr:nvSpPr>
        <xdr:cNvPr id="18855" name="Rectangle 423"/>
        <xdr:cNvSpPr>
          <a:spLocks noChangeArrowheads="1"/>
        </xdr:cNvSpPr>
      </xdr:nvSpPr>
      <xdr:spPr bwMode="auto">
        <a:xfrm>
          <a:off x="583868" y="803755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36</xdr:row>
      <xdr:rowOff>61691</xdr:rowOff>
    </xdr:from>
    <xdr:to>
      <xdr:col>6</xdr:col>
      <xdr:colOff>617779</xdr:colOff>
      <xdr:row>37</xdr:row>
      <xdr:rowOff>412</xdr:rowOff>
    </xdr:to>
    <xdr:sp macro="[0]!MedDisc_EnterText_16" textlink="">
      <xdr:nvSpPr>
        <xdr:cNvPr id="18856" name="Rectangle 424"/>
        <xdr:cNvSpPr>
          <a:spLocks noChangeArrowheads="1"/>
        </xdr:cNvSpPr>
      </xdr:nvSpPr>
      <xdr:spPr bwMode="auto">
        <a:xfrm>
          <a:off x="583868" y="852587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38</xdr:row>
      <xdr:rowOff>61691</xdr:rowOff>
    </xdr:from>
    <xdr:to>
      <xdr:col>6</xdr:col>
      <xdr:colOff>617779</xdr:colOff>
      <xdr:row>39</xdr:row>
      <xdr:rowOff>412</xdr:rowOff>
    </xdr:to>
    <xdr:sp macro="[0]!MedDisc_EnterText_17" textlink="">
      <xdr:nvSpPr>
        <xdr:cNvPr id="18857" name="Rectangle 425"/>
        <xdr:cNvSpPr>
          <a:spLocks noChangeArrowheads="1"/>
        </xdr:cNvSpPr>
      </xdr:nvSpPr>
      <xdr:spPr bwMode="auto">
        <a:xfrm>
          <a:off x="583868" y="901419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40</xdr:row>
      <xdr:rowOff>61691</xdr:rowOff>
    </xdr:from>
    <xdr:to>
      <xdr:col>6</xdr:col>
      <xdr:colOff>617779</xdr:colOff>
      <xdr:row>41</xdr:row>
      <xdr:rowOff>412</xdr:rowOff>
    </xdr:to>
    <xdr:sp macro="[0]!MedDisc_EnterText_18" textlink="">
      <xdr:nvSpPr>
        <xdr:cNvPr id="18858" name="Rectangle 426"/>
        <xdr:cNvSpPr>
          <a:spLocks noChangeArrowheads="1"/>
        </xdr:cNvSpPr>
      </xdr:nvSpPr>
      <xdr:spPr bwMode="auto">
        <a:xfrm>
          <a:off x="583868" y="950251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42</xdr:row>
      <xdr:rowOff>61691</xdr:rowOff>
    </xdr:from>
    <xdr:to>
      <xdr:col>6</xdr:col>
      <xdr:colOff>617779</xdr:colOff>
      <xdr:row>43</xdr:row>
      <xdr:rowOff>412</xdr:rowOff>
    </xdr:to>
    <xdr:sp macro="[0]!MedDisc_EnterText_19" textlink="">
      <xdr:nvSpPr>
        <xdr:cNvPr id="18859" name="Rectangle 427"/>
        <xdr:cNvSpPr>
          <a:spLocks noChangeArrowheads="1"/>
        </xdr:cNvSpPr>
      </xdr:nvSpPr>
      <xdr:spPr bwMode="auto">
        <a:xfrm>
          <a:off x="583868" y="999083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44</xdr:row>
      <xdr:rowOff>61691</xdr:rowOff>
    </xdr:from>
    <xdr:to>
      <xdr:col>6</xdr:col>
      <xdr:colOff>617779</xdr:colOff>
      <xdr:row>45</xdr:row>
      <xdr:rowOff>412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583868" y="1047914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Patient_EnterWeig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Patient_EnterLength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46</xdr:row>
      <xdr:rowOff>61691</xdr:rowOff>
    </xdr:from>
    <xdr:to>
      <xdr:col>6</xdr:col>
      <xdr:colOff>617779</xdr:colOff>
      <xdr:row>47</xdr:row>
      <xdr:rowOff>412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583868" y="1096746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48</xdr:row>
      <xdr:rowOff>61691</xdr:rowOff>
    </xdr:from>
    <xdr:to>
      <xdr:col>6</xdr:col>
      <xdr:colOff>617779</xdr:colOff>
      <xdr:row>49</xdr:row>
      <xdr:rowOff>412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583868" y="1145578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50</xdr:row>
      <xdr:rowOff>61691</xdr:rowOff>
    </xdr:from>
    <xdr:to>
      <xdr:col>6</xdr:col>
      <xdr:colOff>617779</xdr:colOff>
      <xdr:row>51</xdr:row>
      <xdr:rowOff>412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583868" y="1194410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52</xdr:row>
      <xdr:rowOff>61691</xdr:rowOff>
    </xdr:from>
    <xdr:to>
      <xdr:col>6</xdr:col>
      <xdr:colOff>617779</xdr:colOff>
      <xdr:row>53</xdr:row>
      <xdr:rowOff>412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583868" y="1243242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54</xdr:row>
      <xdr:rowOff>61691</xdr:rowOff>
    </xdr:from>
    <xdr:to>
      <xdr:col>6</xdr:col>
      <xdr:colOff>617779</xdr:colOff>
      <xdr:row>55</xdr:row>
      <xdr:rowOff>412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583868" y="12920740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56</xdr:row>
      <xdr:rowOff>61691</xdr:rowOff>
    </xdr:from>
    <xdr:to>
      <xdr:col>6</xdr:col>
      <xdr:colOff>617779</xdr:colOff>
      <xdr:row>57</xdr:row>
      <xdr:rowOff>412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583868" y="13409059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58</xdr:row>
      <xdr:rowOff>61691</xdr:rowOff>
    </xdr:from>
    <xdr:to>
      <xdr:col>6</xdr:col>
      <xdr:colOff>617779</xdr:colOff>
      <xdr:row>59</xdr:row>
      <xdr:rowOff>412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583868" y="13897377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60</xdr:row>
      <xdr:rowOff>61691</xdr:rowOff>
    </xdr:from>
    <xdr:to>
      <xdr:col>6</xdr:col>
      <xdr:colOff>617779</xdr:colOff>
      <xdr:row>61</xdr:row>
      <xdr:rowOff>412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583868" y="14385695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62</xdr:row>
      <xdr:rowOff>61691</xdr:rowOff>
    </xdr:from>
    <xdr:to>
      <xdr:col>6</xdr:col>
      <xdr:colOff>617779</xdr:colOff>
      <xdr:row>63</xdr:row>
      <xdr:rowOff>412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583868" y="14874014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64</xdr:row>
      <xdr:rowOff>61691</xdr:rowOff>
    </xdr:from>
    <xdr:to>
      <xdr:col>6</xdr:col>
      <xdr:colOff>617779</xdr:colOff>
      <xdr:row>65</xdr:row>
      <xdr:rowOff>412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583868" y="15362332"/>
          <a:ext cx="3571825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430869</xdr:colOff>
      <xdr:row>15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430869</xdr:colOff>
      <xdr:row>29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</xdr:row>
          <xdr:rowOff>23937</xdr:rowOff>
        </xdr:from>
        <xdr:to>
          <xdr:col>2</xdr:col>
          <xdr:colOff>421294</xdr:colOff>
          <xdr:row>6</xdr:row>
          <xdr:rowOff>52662</xdr:rowOff>
        </xdr:to>
        <xdr:sp macro="" textlink="">
          <xdr:nvSpPr>
            <xdr:cNvPr id="19068" name="CheckBox1" hidden="1">
              <a:extLst>
                <a:ext uri="{63B3BB69-23CF-44E3-9099-C40C66FF867C}">
                  <a14:compatExt spid="_x0000_s19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7</xdr:row>
          <xdr:rowOff>23937</xdr:rowOff>
        </xdr:from>
        <xdr:to>
          <xdr:col>2</xdr:col>
          <xdr:colOff>421294</xdr:colOff>
          <xdr:row>8</xdr:row>
          <xdr:rowOff>52662</xdr:rowOff>
        </xdr:to>
        <xdr:sp macro="" textlink="">
          <xdr:nvSpPr>
            <xdr:cNvPr id="19072" name="CheckBox2" hidden="1">
              <a:extLst>
                <a:ext uri="{63B3BB69-23CF-44E3-9099-C40C66FF867C}">
                  <a14:compatExt spid="_x0000_s19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9</xdr:row>
          <xdr:rowOff>23937</xdr:rowOff>
        </xdr:from>
        <xdr:to>
          <xdr:col>2</xdr:col>
          <xdr:colOff>421294</xdr:colOff>
          <xdr:row>10</xdr:row>
          <xdr:rowOff>52662</xdr:rowOff>
        </xdr:to>
        <xdr:sp macro="" textlink="">
          <xdr:nvSpPr>
            <xdr:cNvPr id="19073" name="CheckBox3" hidden="1">
              <a:extLst>
                <a:ext uri="{63B3BB69-23CF-44E3-9099-C40C66FF867C}">
                  <a14:compatExt spid="_x0000_s19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11</xdr:row>
          <xdr:rowOff>23937</xdr:rowOff>
        </xdr:from>
        <xdr:to>
          <xdr:col>2</xdr:col>
          <xdr:colOff>421294</xdr:colOff>
          <xdr:row>12</xdr:row>
          <xdr:rowOff>52662</xdr:rowOff>
        </xdr:to>
        <xdr:sp macro="" textlink="">
          <xdr:nvSpPr>
            <xdr:cNvPr id="19074" name="CheckBox4" hidden="1">
              <a:extLst>
                <a:ext uri="{63B3BB69-23CF-44E3-9099-C40C66FF867C}">
                  <a14:compatExt spid="_x0000_s19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13</xdr:row>
          <xdr:rowOff>23937</xdr:rowOff>
        </xdr:from>
        <xdr:to>
          <xdr:col>2</xdr:col>
          <xdr:colOff>421294</xdr:colOff>
          <xdr:row>14</xdr:row>
          <xdr:rowOff>52662</xdr:rowOff>
        </xdr:to>
        <xdr:sp macro="" textlink="">
          <xdr:nvSpPr>
            <xdr:cNvPr id="19075" name="CheckBox5" hidden="1">
              <a:extLst>
                <a:ext uri="{63B3BB69-23CF-44E3-9099-C40C66FF867C}">
                  <a14:compatExt spid="_x0000_s19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15</xdr:row>
          <xdr:rowOff>23937</xdr:rowOff>
        </xdr:from>
        <xdr:to>
          <xdr:col>2</xdr:col>
          <xdr:colOff>421294</xdr:colOff>
          <xdr:row>16</xdr:row>
          <xdr:rowOff>52662</xdr:rowOff>
        </xdr:to>
        <xdr:sp macro="" textlink="">
          <xdr:nvSpPr>
            <xdr:cNvPr id="19076" name="CheckBox6" hidden="1">
              <a:extLst>
                <a:ext uri="{63B3BB69-23CF-44E3-9099-C40C66FF867C}">
                  <a14:compatExt spid="_x0000_s19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17</xdr:row>
          <xdr:rowOff>23937</xdr:rowOff>
        </xdr:from>
        <xdr:to>
          <xdr:col>2</xdr:col>
          <xdr:colOff>421294</xdr:colOff>
          <xdr:row>18</xdr:row>
          <xdr:rowOff>52662</xdr:rowOff>
        </xdr:to>
        <xdr:sp macro="" textlink="">
          <xdr:nvSpPr>
            <xdr:cNvPr id="19077" name="CheckBox7" hidden="1">
              <a:extLst>
                <a:ext uri="{63B3BB69-23CF-44E3-9099-C40C66FF867C}">
                  <a14:compatExt spid="_x0000_s19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19</xdr:row>
          <xdr:rowOff>23937</xdr:rowOff>
        </xdr:from>
        <xdr:to>
          <xdr:col>2</xdr:col>
          <xdr:colOff>421294</xdr:colOff>
          <xdr:row>20</xdr:row>
          <xdr:rowOff>52662</xdr:rowOff>
        </xdr:to>
        <xdr:sp macro="" textlink="">
          <xdr:nvSpPr>
            <xdr:cNvPr id="19078" name="CheckBox8" hidden="1">
              <a:extLst>
                <a:ext uri="{63B3BB69-23CF-44E3-9099-C40C66FF867C}">
                  <a14:compatExt spid="_x0000_s19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21</xdr:row>
          <xdr:rowOff>23937</xdr:rowOff>
        </xdr:from>
        <xdr:to>
          <xdr:col>2</xdr:col>
          <xdr:colOff>421294</xdr:colOff>
          <xdr:row>22</xdr:row>
          <xdr:rowOff>52662</xdr:rowOff>
        </xdr:to>
        <xdr:sp macro="" textlink="">
          <xdr:nvSpPr>
            <xdr:cNvPr id="19079" name="CheckBox9" hidden="1">
              <a:extLst>
                <a:ext uri="{63B3BB69-23CF-44E3-9099-C40C66FF867C}">
                  <a14:compatExt spid="_x0000_s19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23</xdr:row>
          <xdr:rowOff>23937</xdr:rowOff>
        </xdr:from>
        <xdr:to>
          <xdr:col>2</xdr:col>
          <xdr:colOff>421294</xdr:colOff>
          <xdr:row>24</xdr:row>
          <xdr:rowOff>52662</xdr:rowOff>
        </xdr:to>
        <xdr:sp macro="" textlink="">
          <xdr:nvSpPr>
            <xdr:cNvPr id="19080" name="CheckBox10" hidden="1">
              <a:extLst>
                <a:ext uri="{63B3BB69-23CF-44E3-9099-C40C66FF867C}">
                  <a14:compatExt spid="_x0000_s19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25</xdr:row>
          <xdr:rowOff>23937</xdr:rowOff>
        </xdr:from>
        <xdr:to>
          <xdr:col>2</xdr:col>
          <xdr:colOff>421294</xdr:colOff>
          <xdr:row>26</xdr:row>
          <xdr:rowOff>52662</xdr:rowOff>
        </xdr:to>
        <xdr:sp macro="" textlink="">
          <xdr:nvSpPr>
            <xdr:cNvPr id="19081" name="CheckBox11" hidden="1">
              <a:extLst>
                <a:ext uri="{63B3BB69-23CF-44E3-9099-C40C66FF867C}">
                  <a14:compatExt spid="_x0000_s19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27</xdr:row>
          <xdr:rowOff>23937</xdr:rowOff>
        </xdr:from>
        <xdr:to>
          <xdr:col>2</xdr:col>
          <xdr:colOff>421294</xdr:colOff>
          <xdr:row>28</xdr:row>
          <xdr:rowOff>52662</xdr:rowOff>
        </xdr:to>
        <xdr:sp macro="" textlink="">
          <xdr:nvSpPr>
            <xdr:cNvPr id="19082" name="CheckBox12" hidden="1">
              <a:extLst>
                <a:ext uri="{63B3BB69-23CF-44E3-9099-C40C66FF867C}">
                  <a14:compatExt spid="_x0000_s19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29</xdr:row>
          <xdr:rowOff>23937</xdr:rowOff>
        </xdr:from>
        <xdr:to>
          <xdr:col>2</xdr:col>
          <xdr:colOff>421294</xdr:colOff>
          <xdr:row>30</xdr:row>
          <xdr:rowOff>52662</xdr:rowOff>
        </xdr:to>
        <xdr:sp macro="" textlink="">
          <xdr:nvSpPr>
            <xdr:cNvPr id="19083" name="CheckBox13" hidden="1">
              <a:extLst>
                <a:ext uri="{63B3BB69-23CF-44E3-9099-C40C66FF867C}">
                  <a14:compatExt spid="_x0000_s19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31</xdr:row>
          <xdr:rowOff>23937</xdr:rowOff>
        </xdr:from>
        <xdr:to>
          <xdr:col>2</xdr:col>
          <xdr:colOff>421294</xdr:colOff>
          <xdr:row>32</xdr:row>
          <xdr:rowOff>52662</xdr:rowOff>
        </xdr:to>
        <xdr:sp macro="" textlink="">
          <xdr:nvSpPr>
            <xdr:cNvPr id="19084" name="CheckBox14" hidden="1">
              <a:extLst>
                <a:ext uri="{63B3BB69-23CF-44E3-9099-C40C66FF867C}">
                  <a14:compatExt spid="_x0000_s19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33</xdr:row>
          <xdr:rowOff>23937</xdr:rowOff>
        </xdr:from>
        <xdr:to>
          <xdr:col>2</xdr:col>
          <xdr:colOff>421294</xdr:colOff>
          <xdr:row>34</xdr:row>
          <xdr:rowOff>52662</xdr:rowOff>
        </xdr:to>
        <xdr:sp macro="" textlink="">
          <xdr:nvSpPr>
            <xdr:cNvPr id="19085" name="CheckBox15" hidden="1">
              <a:extLst>
                <a:ext uri="{63B3BB69-23CF-44E3-9099-C40C66FF867C}">
                  <a14:compatExt spid="_x0000_s19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35</xdr:row>
          <xdr:rowOff>23937</xdr:rowOff>
        </xdr:from>
        <xdr:to>
          <xdr:col>2</xdr:col>
          <xdr:colOff>421294</xdr:colOff>
          <xdr:row>36</xdr:row>
          <xdr:rowOff>52662</xdr:rowOff>
        </xdr:to>
        <xdr:sp macro="" textlink="">
          <xdr:nvSpPr>
            <xdr:cNvPr id="19086" name="CheckBox16" hidden="1">
              <a:extLst>
                <a:ext uri="{63B3BB69-23CF-44E3-9099-C40C66FF867C}">
                  <a14:compatExt spid="_x0000_s19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37</xdr:row>
          <xdr:rowOff>23937</xdr:rowOff>
        </xdr:from>
        <xdr:to>
          <xdr:col>2</xdr:col>
          <xdr:colOff>421294</xdr:colOff>
          <xdr:row>38</xdr:row>
          <xdr:rowOff>52662</xdr:rowOff>
        </xdr:to>
        <xdr:sp macro="" textlink="">
          <xdr:nvSpPr>
            <xdr:cNvPr id="19087" name="CheckBox17" hidden="1">
              <a:extLst>
                <a:ext uri="{63B3BB69-23CF-44E3-9099-C40C66FF867C}">
                  <a14:compatExt spid="_x0000_s19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39</xdr:row>
          <xdr:rowOff>23937</xdr:rowOff>
        </xdr:from>
        <xdr:to>
          <xdr:col>2</xdr:col>
          <xdr:colOff>421294</xdr:colOff>
          <xdr:row>40</xdr:row>
          <xdr:rowOff>52662</xdr:rowOff>
        </xdr:to>
        <xdr:sp macro="" textlink="">
          <xdr:nvSpPr>
            <xdr:cNvPr id="19088" name="CheckBox18" hidden="1">
              <a:extLst>
                <a:ext uri="{63B3BB69-23CF-44E3-9099-C40C66FF867C}">
                  <a14:compatExt spid="_x0000_s19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41</xdr:row>
          <xdr:rowOff>23937</xdr:rowOff>
        </xdr:from>
        <xdr:to>
          <xdr:col>2</xdr:col>
          <xdr:colOff>421294</xdr:colOff>
          <xdr:row>42</xdr:row>
          <xdr:rowOff>52662</xdr:rowOff>
        </xdr:to>
        <xdr:sp macro="" textlink="">
          <xdr:nvSpPr>
            <xdr:cNvPr id="19089" name="CheckBox19" hidden="1">
              <a:extLst>
                <a:ext uri="{63B3BB69-23CF-44E3-9099-C40C66FF867C}">
                  <a14:compatExt spid="_x0000_s1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43</xdr:row>
          <xdr:rowOff>23937</xdr:rowOff>
        </xdr:from>
        <xdr:to>
          <xdr:col>2</xdr:col>
          <xdr:colOff>421294</xdr:colOff>
          <xdr:row>44</xdr:row>
          <xdr:rowOff>52662</xdr:rowOff>
        </xdr:to>
        <xdr:sp macro="" textlink="">
          <xdr:nvSpPr>
            <xdr:cNvPr id="19090" name="CheckBox20" hidden="1">
              <a:extLst>
                <a:ext uri="{63B3BB69-23CF-44E3-9099-C40C66FF867C}">
                  <a14:compatExt spid="_x0000_s1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45</xdr:row>
          <xdr:rowOff>23937</xdr:rowOff>
        </xdr:from>
        <xdr:to>
          <xdr:col>2</xdr:col>
          <xdr:colOff>421294</xdr:colOff>
          <xdr:row>46</xdr:row>
          <xdr:rowOff>52662</xdr:rowOff>
        </xdr:to>
        <xdr:sp macro="" textlink="">
          <xdr:nvSpPr>
            <xdr:cNvPr id="19091" name="CheckBox21" hidden="1">
              <a:extLst>
                <a:ext uri="{63B3BB69-23CF-44E3-9099-C40C66FF867C}">
                  <a14:compatExt spid="_x0000_s1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47</xdr:row>
          <xdr:rowOff>23937</xdr:rowOff>
        </xdr:from>
        <xdr:to>
          <xdr:col>2</xdr:col>
          <xdr:colOff>421294</xdr:colOff>
          <xdr:row>48</xdr:row>
          <xdr:rowOff>52662</xdr:rowOff>
        </xdr:to>
        <xdr:sp macro="" textlink="">
          <xdr:nvSpPr>
            <xdr:cNvPr id="19092" name="CheckBox22" hidden="1">
              <a:extLst>
                <a:ext uri="{63B3BB69-23CF-44E3-9099-C40C66FF867C}">
                  <a14:compatExt spid="_x0000_s1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49</xdr:row>
          <xdr:rowOff>23937</xdr:rowOff>
        </xdr:from>
        <xdr:to>
          <xdr:col>2</xdr:col>
          <xdr:colOff>421294</xdr:colOff>
          <xdr:row>50</xdr:row>
          <xdr:rowOff>52662</xdr:rowOff>
        </xdr:to>
        <xdr:sp macro="" textlink="">
          <xdr:nvSpPr>
            <xdr:cNvPr id="19093" name="CheckBox23" hidden="1">
              <a:extLst>
                <a:ext uri="{63B3BB69-23CF-44E3-9099-C40C66FF867C}">
                  <a14:compatExt spid="_x0000_s1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51</xdr:row>
          <xdr:rowOff>23937</xdr:rowOff>
        </xdr:from>
        <xdr:to>
          <xdr:col>2</xdr:col>
          <xdr:colOff>421294</xdr:colOff>
          <xdr:row>52</xdr:row>
          <xdr:rowOff>52662</xdr:rowOff>
        </xdr:to>
        <xdr:sp macro="" textlink="">
          <xdr:nvSpPr>
            <xdr:cNvPr id="19094" name="CheckBox24" hidden="1">
              <a:extLst>
                <a:ext uri="{63B3BB69-23CF-44E3-9099-C40C66FF867C}">
                  <a14:compatExt spid="_x0000_s19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53</xdr:row>
          <xdr:rowOff>23937</xdr:rowOff>
        </xdr:from>
        <xdr:to>
          <xdr:col>2</xdr:col>
          <xdr:colOff>421294</xdr:colOff>
          <xdr:row>54</xdr:row>
          <xdr:rowOff>52662</xdr:rowOff>
        </xdr:to>
        <xdr:sp macro="" textlink="">
          <xdr:nvSpPr>
            <xdr:cNvPr id="19095" name="CheckBox25" hidden="1">
              <a:extLst>
                <a:ext uri="{63B3BB69-23CF-44E3-9099-C40C66FF867C}">
                  <a14:compatExt spid="_x0000_s19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55</xdr:row>
          <xdr:rowOff>23937</xdr:rowOff>
        </xdr:from>
        <xdr:to>
          <xdr:col>2</xdr:col>
          <xdr:colOff>421294</xdr:colOff>
          <xdr:row>56</xdr:row>
          <xdr:rowOff>52662</xdr:rowOff>
        </xdr:to>
        <xdr:sp macro="" textlink="">
          <xdr:nvSpPr>
            <xdr:cNvPr id="19096" name="CheckBox26" hidden="1">
              <a:extLst>
                <a:ext uri="{63B3BB69-23CF-44E3-9099-C40C66FF867C}">
                  <a14:compatExt spid="_x0000_s19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57</xdr:row>
          <xdr:rowOff>23937</xdr:rowOff>
        </xdr:from>
        <xdr:to>
          <xdr:col>2</xdr:col>
          <xdr:colOff>421294</xdr:colOff>
          <xdr:row>58</xdr:row>
          <xdr:rowOff>52662</xdr:rowOff>
        </xdr:to>
        <xdr:sp macro="" textlink="">
          <xdr:nvSpPr>
            <xdr:cNvPr id="19097" name="CheckBox27" hidden="1">
              <a:extLst>
                <a:ext uri="{63B3BB69-23CF-44E3-9099-C40C66FF867C}">
                  <a14:compatExt spid="_x0000_s19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59</xdr:row>
          <xdr:rowOff>23937</xdr:rowOff>
        </xdr:from>
        <xdr:to>
          <xdr:col>2</xdr:col>
          <xdr:colOff>421294</xdr:colOff>
          <xdr:row>60</xdr:row>
          <xdr:rowOff>52662</xdr:rowOff>
        </xdr:to>
        <xdr:sp macro="" textlink="">
          <xdr:nvSpPr>
            <xdr:cNvPr id="19098" name="CheckBox28" hidden="1">
              <a:extLst>
                <a:ext uri="{63B3BB69-23CF-44E3-9099-C40C66FF867C}">
                  <a14:compatExt spid="_x0000_s19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61</xdr:row>
          <xdr:rowOff>23937</xdr:rowOff>
        </xdr:from>
        <xdr:to>
          <xdr:col>2</xdr:col>
          <xdr:colOff>421294</xdr:colOff>
          <xdr:row>62</xdr:row>
          <xdr:rowOff>52662</xdr:rowOff>
        </xdr:to>
        <xdr:sp macro="" textlink="">
          <xdr:nvSpPr>
            <xdr:cNvPr id="19099" name="CheckBox29" hidden="1">
              <a:extLst>
                <a:ext uri="{63B3BB69-23CF-44E3-9099-C40C66FF867C}">
                  <a14:compatExt spid="_x0000_s19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186710</xdr:colOff>
          <xdr:row>63</xdr:row>
          <xdr:rowOff>23937</xdr:rowOff>
        </xdr:from>
        <xdr:to>
          <xdr:col>2</xdr:col>
          <xdr:colOff>421294</xdr:colOff>
          <xdr:row>64</xdr:row>
          <xdr:rowOff>52662</xdr:rowOff>
        </xdr:to>
        <xdr:sp macro="" textlink="">
          <xdr:nvSpPr>
            <xdr:cNvPr id="19100" name="CheckBox30" hidden="1">
              <a:extLst>
                <a:ext uri="{63B3BB69-23CF-44E3-9099-C40C66FF867C}">
                  <a14:compatExt spid="_x0000_s19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8</xdr:row>
          <xdr:rowOff>19150</xdr:rowOff>
        </xdr:from>
        <xdr:to>
          <xdr:col>5</xdr:col>
          <xdr:colOff>785139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9</xdr:row>
          <xdr:rowOff>19150</xdr:rowOff>
        </xdr:from>
        <xdr:to>
          <xdr:col>5</xdr:col>
          <xdr:colOff>785139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10</xdr:row>
          <xdr:rowOff>19150</xdr:rowOff>
        </xdr:from>
        <xdr:to>
          <xdr:col>5</xdr:col>
          <xdr:colOff>785139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11</xdr:row>
          <xdr:rowOff>19150</xdr:rowOff>
        </xdr:from>
        <xdr:to>
          <xdr:col>5</xdr:col>
          <xdr:colOff>785139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12</xdr:row>
          <xdr:rowOff>19150</xdr:rowOff>
        </xdr:from>
        <xdr:to>
          <xdr:col>5</xdr:col>
          <xdr:colOff>785139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13</xdr:row>
          <xdr:rowOff>19150</xdr:rowOff>
        </xdr:from>
        <xdr:to>
          <xdr:col>5</xdr:col>
          <xdr:colOff>785139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14</xdr:row>
          <xdr:rowOff>19150</xdr:rowOff>
        </xdr:from>
        <xdr:to>
          <xdr:col>5</xdr:col>
          <xdr:colOff>785139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15</xdr:row>
          <xdr:rowOff>19150</xdr:rowOff>
        </xdr:from>
        <xdr:to>
          <xdr:col>5</xdr:col>
          <xdr:colOff>785139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16</xdr:row>
          <xdr:rowOff>19150</xdr:rowOff>
        </xdr:from>
        <xdr:to>
          <xdr:col>5</xdr:col>
          <xdr:colOff>785139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21</xdr:row>
          <xdr:rowOff>0</xdr:rowOff>
        </xdr:from>
        <xdr:to>
          <xdr:col>5</xdr:col>
          <xdr:colOff>785139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22</xdr:row>
          <xdr:rowOff>0</xdr:rowOff>
        </xdr:from>
        <xdr:to>
          <xdr:col>5</xdr:col>
          <xdr:colOff>785139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23</xdr:row>
          <xdr:rowOff>0</xdr:rowOff>
        </xdr:from>
        <xdr:to>
          <xdr:col>5</xdr:col>
          <xdr:colOff>785139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19</xdr:row>
          <xdr:rowOff>0</xdr:rowOff>
        </xdr:from>
        <xdr:to>
          <xdr:col>5</xdr:col>
          <xdr:colOff>785139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20</xdr:row>
          <xdr:rowOff>0</xdr:rowOff>
        </xdr:from>
        <xdr:to>
          <xdr:col>5</xdr:col>
          <xdr:colOff>785139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14362</xdr:colOff>
          <xdr:row>17</xdr:row>
          <xdr:rowOff>19150</xdr:rowOff>
        </xdr:from>
        <xdr:to>
          <xdr:col>5</xdr:col>
          <xdr:colOff>785139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1934125</xdr:colOff>
      <xdr:row>19</xdr:row>
      <xdr:rowOff>238125</xdr:rowOff>
    </xdr:to>
    <xdr:sp macro="[0]!PedContIV_EnterMed_11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1934125</xdr:colOff>
      <xdr:row>20</xdr:row>
      <xdr:rowOff>238125</xdr:rowOff>
    </xdr:to>
    <xdr:sp macro="[0]!PedContIV_EnterMed_12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1934125</xdr:colOff>
      <xdr:row>21</xdr:row>
      <xdr:rowOff>238125</xdr:rowOff>
    </xdr:to>
    <xdr:sp macro="[0]!PedContIV_EnterMed_13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1934125</xdr:colOff>
      <xdr:row>22</xdr:row>
      <xdr:rowOff>238125</xdr:rowOff>
    </xdr:to>
    <xdr:sp macro="[0]!PedContIV_EnterMed_14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1934125</xdr:colOff>
      <xdr:row>23</xdr:row>
      <xdr:rowOff>238125</xdr:rowOff>
    </xdr:to>
    <xdr:sp macro="[0]!PedContIV_EnterMed_15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Patient_EnterWeig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114898</xdr:colOff>
      <xdr:row>1</xdr:row>
      <xdr:rowOff>33511</xdr:rowOff>
    </xdr:from>
    <xdr:to>
      <xdr:col>7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23936</xdr:colOff>
      <xdr:row>8</xdr:row>
      <xdr:rowOff>38101</xdr:rowOff>
    </xdr:from>
    <xdr:to>
      <xdr:col>3</xdr:col>
      <xdr:colOff>664016</xdr:colOff>
      <xdr:row>9</xdr:row>
      <xdr:rowOff>1</xdr:rowOff>
    </xdr:to>
    <xdr:sp macro="[0]!PedContIV_MedConc_01" textlink="">
      <xdr:nvSpPr>
        <xdr:cNvPr id="96" name="Rectangle 142"/>
        <xdr:cNvSpPr>
          <a:spLocks noChangeArrowheads="1"/>
        </xdr:cNvSpPr>
      </xdr:nvSpPr>
      <xdr:spPr bwMode="auto">
        <a:xfrm>
          <a:off x="2915546" y="141688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9</xdr:row>
      <xdr:rowOff>39071</xdr:rowOff>
    </xdr:from>
    <xdr:to>
      <xdr:col>3</xdr:col>
      <xdr:colOff>664016</xdr:colOff>
      <xdr:row>10</xdr:row>
      <xdr:rowOff>971</xdr:rowOff>
    </xdr:to>
    <xdr:sp macro="[0]!PedContIV_MedConc_02" textlink="">
      <xdr:nvSpPr>
        <xdr:cNvPr id="91" name="Rectangle 142"/>
        <xdr:cNvSpPr>
          <a:spLocks noChangeArrowheads="1"/>
        </xdr:cNvSpPr>
      </xdr:nvSpPr>
      <xdr:spPr bwMode="auto">
        <a:xfrm>
          <a:off x="2915546" y="167158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10</xdr:row>
      <xdr:rowOff>40041</xdr:rowOff>
    </xdr:from>
    <xdr:to>
      <xdr:col>3</xdr:col>
      <xdr:colOff>664016</xdr:colOff>
      <xdr:row>10</xdr:row>
      <xdr:rowOff>249591</xdr:rowOff>
    </xdr:to>
    <xdr:sp macro="[0]!PedContIV_MedConc_03" textlink="">
      <xdr:nvSpPr>
        <xdr:cNvPr id="93" name="Rectangle 142"/>
        <xdr:cNvSpPr>
          <a:spLocks noChangeArrowheads="1"/>
        </xdr:cNvSpPr>
      </xdr:nvSpPr>
      <xdr:spPr bwMode="auto">
        <a:xfrm>
          <a:off x="2915546" y="1926290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11</xdr:row>
      <xdr:rowOff>34927</xdr:rowOff>
    </xdr:from>
    <xdr:to>
      <xdr:col>3</xdr:col>
      <xdr:colOff>664016</xdr:colOff>
      <xdr:row>11</xdr:row>
      <xdr:rowOff>250561</xdr:rowOff>
    </xdr:to>
    <xdr:sp macro="[0]!PedContIV_MedConc_04" textlink="">
      <xdr:nvSpPr>
        <xdr:cNvPr id="95" name="Rectangle 142"/>
        <xdr:cNvSpPr>
          <a:spLocks noChangeArrowheads="1"/>
        </xdr:cNvSpPr>
      </xdr:nvSpPr>
      <xdr:spPr bwMode="auto">
        <a:xfrm>
          <a:off x="2915546" y="217491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12</xdr:row>
      <xdr:rowOff>35897</xdr:rowOff>
    </xdr:from>
    <xdr:to>
      <xdr:col>3</xdr:col>
      <xdr:colOff>664016</xdr:colOff>
      <xdr:row>12</xdr:row>
      <xdr:rowOff>251531</xdr:rowOff>
    </xdr:to>
    <xdr:sp macro="[0]!PedContIV_MedConc_05" textlink="">
      <xdr:nvSpPr>
        <xdr:cNvPr id="97" name="Rectangle 142"/>
        <xdr:cNvSpPr>
          <a:spLocks noChangeArrowheads="1"/>
        </xdr:cNvSpPr>
      </xdr:nvSpPr>
      <xdr:spPr bwMode="auto">
        <a:xfrm>
          <a:off x="2915546" y="242961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13</xdr:row>
      <xdr:rowOff>36867</xdr:rowOff>
    </xdr:from>
    <xdr:to>
      <xdr:col>3</xdr:col>
      <xdr:colOff>664016</xdr:colOff>
      <xdr:row>13</xdr:row>
      <xdr:rowOff>252501</xdr:rowOff>
    </xdr:to>
    <xdr:sp macro="[0]!PedContIV_MedConc_06" textlink="">
      <xdr:nvSpPr>
        <xdr:cNvPr id="99" name="Rectangle 142"/>
        <xdr:cNvSpPr>
          <a:spLocks noChangeArrowheads="1"/>
        </xdr:cNvSpPr>
      </xdr:nvSpPr>
      <xdr:spPr bwMode="auto">
        <a:xfrm>
          <a:off x="2915546" y="268431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14</xdr:row>
      <xdr:rowOff>37837</xdr:rowOff>
    </xdr:from>
    <xdr:to>
      <xdr:col>3</xdr:col>
      <xdr:colOff>664016</xdr:colOff>
      <xdr:row>14</xdr:row>
      <xdr:rowOff>247387</xdr:rowOff>
    </xdr:to>
    <xdr:sp macro="[0]!PedContIV_MedConc_07" textlink="">
      <xdr:nvSpPr>
        <xdr:cNvPr id="100" name="Rectangle 142"/>
        <xdr:cNvSpPr>
          <a:spLocks noChangeArrowheads="1"/>
        </xdr:cNvSpPr>
      </xdr:nvSpPr>
      <xdr:spPr bwMode="auto">
        <a:xfrm>
          <a:off x="2915546" y="293902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15</xdr:row>
      <xdr:rowOff>32723</xdr:rowOff>
    </xdr:from>
    <xdr:to>
      <xdr:col>3</xdr:col>
      <xdr:colOff>664016</xdr:colOff>
      <xdr:row>15</xdr:row>
      <xdr:rowOff>248357</xdr:rowOff>
    </xdr:to>
    <xdr:sp macro="[0]!PedContIV_MedConc_08" textlink="">
      <xdr:nvSpPr>
        <xdr:cNvPr id="101" name="Rectangle 142"/>
        <xdr:cNvSpPr>
          <a:spLocks noChangeArrowheads="1"/>
        </xdr:cNvSpPr>
      </xdr:nvSpPr>
      <xdr:spPr bwMode="auto">
        <a:xfrm>
          <a:off x="2915546" y="318764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16</xdr:row>
      <xdr:rowOff>33693</xdr:rowOff>
    </xdr:from>
    <xdr:to>
      <xdr:col>3</xdr:col>
      <xdr:colOff>664016</xdr:colOff>
      <xdr:row>16</xdr:row>
      <xdr:rowOff>243243</xdr:rowOff>
    </xdr:to>
    <xdr:sp macro="[0]!PedContIV_MedConc_09" textlink="">
      <xdr:nvSpPr>
        <xdr:cNvPr id="102" name="Rectangle 142"/>
        <xdr:cNvSpPr>
          <a:spLocks noChangeArrowheads="1"/>
        </xdr:cNvSpPr>
      </xdr:nvSpPr>
      <xdr:spPr bwMode="auto">
        <a:xfrm>
          <a:off x="2915546" y="344234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17</xdr:row>
      <xdr:rowOff>28575</xdr:rowOff>
    </xdr:from>
    <xdr:to>
      <xdr:col>3</xdr:col>
      <xdr:colOff>664016</xdr:colOff>
      <xdr:row>17</xdr:row>
      <xdr:rowOff>238125</xdr:rowOff>
    </xdr:to>
    <xdr:sp macro="[0]!PedContIV_MedConc_10" textlink="">
      <xdr:nvSpPr>
        <xdr:cNvPr id="104" name="Rectangle 142"/>
        <xdr:cNvSpPr>
          <a:spLocks noChangeArrowheads="1"/>
        </xdr:cNvSpPr>
      </xdr:nvSpPr>
      <xdr:spPr bwMode="auto">
        <a:xfrm>
          <a:off x="2915546" y="369096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9577</xdr:colOff>
      <xdr:row>8</xdr:row>
      <xdr:rowOff>28725</xdr:rowOff>
    </xdr:from>
    <xdr:to>
      <xdr:col>0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9</xdr:row>
      <xdr:rowOff>0</xdr:rowOff>
    </xdr:from>
    <xdr:to>
      <xdr:col>0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10</xdr:row>
      <xdr:rowOff>0</xdr:rowOff>
    </xdr:from>
    <xdr:to>
      <xdr:col>0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11</xdr:row>
      <xdr:rowOff>0</xdr:rowOff>
    </xdr:from>
    <xdr:to>
      <xdr:col>0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12</xdr:row>
      <xdr:rowOff>0</xdr:rowOff>
    </xdr:from>
    <xdr:to>
      <xdr:col>0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13</xdr:row>
      <xdr:rowOff>0</xdr:rowOff>
    </xdr:from>
    <xdr:to>
      <xdr:col>0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14</xdr:row>
      <xdr:rowOff>0</xdr:rowOff>
    </xdr:from>
    <xdr:to>
      <xdr:col>0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15</xdr:row>
      <xdr:rowOff>0</xdr:rowOff>
    </xdr:from>
    <xdr:to>
      <xdr:col>0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16</xdr:row>
      <xdr:rowOff>0</xdr:rowOff>
    </xdr:from>
    <xdr:to>
      <xdr:col>0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17</xdr:row>
      <xdr:rowOff>0</xdr:rowOff>
    </xdr:from>
    <xdr:to>
      <xdr:col>0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Patient_EnterLength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330334</xdr:colOff>
      <xdr:row>1</xdr:row>
      <xdr:rowOff>19148</xdr:rowOff>
    </xdr:from>
    <xdr:to>
      <xdr:col>5</xdr:col>
      <xdr:colOff>1168134</xdr:colOff>
      <xdr:row>3</xdr:row>
      <xdr:rowOff>205859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330334" y="181921"/>
          <a:ext cx="6271538" cy="617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9575</xdr:rowOff>
        </xdr:from>
        <xdr:to>
          <xdr:col>3</xdr:col>
          <xdr:colOff>0</xdr:colOff>
          <xdr:row>22</xdr:row>
          <xdr:rowOff>19150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0</xdr:colOff>
      <xdr:row>17</xdr:row>
      <xdr:rowOff>4787</xdr:rowOff>
    </xdr:from>
    <xdr:to>
      <xdr:col>2</xdr:col>
      <xdr:colOff>1230370</xdr:colOff>
      <xdr:row>18</xdr:row>
      <xdr:rowOff>71811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594216" y="3494827"/>
          <a:ext cx="1230370" cy="3207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9575</xdr:colOff>
      <xdr:row>17</xdr:row>
      <xdr:rowOff>19150</xdr:rowOff>
    </xdr:from>
    <xdr:to>
      <xdr:col>5</xdr:col>
      <xdr:colOff>14361</xdr:colOff>
      <xdr:row>18</xdr:row>
      <xdr:rowOff>1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455954" y="3753349"/>
          <a:ext cx="876099" cy="2728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19</xdr:row>
      <xdr:rowOff>23543</xdr:rowOff>
    </xdr:from>
    <xdr:to>
      <xdr:col>4</xdr:col>
      <xdr:colOff>799452</xdr:colOff>
      <xdr:row>19</xdr:row>
      <xdr:rowOff>206423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331431" y="43418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20</xdr:row>
      <xdr:rowOff>58684</xdr:rowOff>
    </xdr:from>
    <xdr:to>
      <xdr:col>4</xdr:col>
      <xdr:colOff>799452</xdr:colOff>
      <xdr:row>20</xdr:row>
      <xdr:rowOff>241564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331431" y="4621109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22</xdr:row>
      <xdr:rowOff>22008</xdr:rowOff>
    </xdr:from>
    <xdr:to>
      <xdr:col>4</xdr:col>
      <xdr:colOff>799452</xdr:colOff>
      <xdr:row>22</xdr:row>
      <xdr:rowOff>204888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331431" y="495306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919138</xdr:colOff>
      <xdr:row>23</xdr:row>
      <xdr:rowOff>57150</xdr:rowOff>
    </xdr:from>
    <xdr:to>
      <xdr:col>4</xdr:col>
      <xdr:colOff>799452</xdr:colOff>
      <xdr:row>23</xdr:row>
      <xdr:rowOff>240030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331431" y="5232367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803442</xdr:colOff>
      <xdr:row>19</xdr:row>
      <xdr:rowOff>51470</xdr:rowOff>
    </xdr:from>
    <xdr:to>
      <xdr:col>9</xdr:col>
      <xdr:colOff>631094</xdr:colOff>
      <xdr:row>19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20</xdr:row>
      <xdr:rowOff>86611</xdr:rowOff>
    </xdr:from>
    <xdr:to>
      <xdr:col>9</xdr:col>
      <xdr:colOff>631094</xdr:colOff>
      <xdr:row>21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411719</xdr:colOff>
          <xdr:row>2</xdr:row>
          <xdr:rowOff>0</xdr:rowOff>
        </xdr:from>
        <xdr:to>
          <xdr:col>7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19050</xdr:colOff>
      <xdr:row>2</xdr:row>
      <xdr:rowOff>38100</xdr:rowOff>
    </xdr:from>
    <xdr:to>
      <xdr:col>5</xdr:col>
      <xdr:colOff>990600</xdr:colOff>
      <xdr:row>3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363845</xdr:colOff>
      <xdr:row>0</xdr:row>
      <xdr:rowOff>134048</xdr:rowOff>
    </xdr:from>
    <xdr:to>
      <xdr:col>4</xdr:col>
      <xdr:colOff>737265</xdr:colOff>
      <xdr:row>4</xdr:row>
      <xdr:rowOff>14362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363845" y="134048"/>
          <a:ext cx="4926270" cy="689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3.xml"/><Relationship Id="rId299" Type="http://schemas.openxmlformats.org/officeDocument/2006/relationships/ctrlProp" Target="../ctrlProps/ctrlProp235.xml"/><Relationship Id="rId21" Type="http://schemas.openxmlformats.org/officeDocument/2006/relationships/control" Target="../activeX/activeX9.xml"/><Relationship Id="rId63" Type="http://schemas.openxmlformats.org/officeDocument/2006/relationships/control" Target="../activeX/activeX30.xml"/><Relationship Id="rId159" Type="http://schemas.openxmlformats.org/officeDocument/2006/relationships/ctrlProp" Target="../ctrlProps/ctrlProp95.xml"/><Relationship Id="rId170" Type="http://schemas.openxmlformats.org/officeDocument/2006/relationships/ctrlProp" Target="../ctrlProps/ctrlProp106.xml"/><Relationship Id="rId226" Type="http://schemas.openxmlformats.org/officeDocument/2006/relationships/ctrlProp" Target="../ctrlProps/ctrlProp162.xml"/><Relationship Id="rId268" Type="http://schemas.openxmlformats.org/officeDocument/2006/relationships/ctrlProp" Target="../ctrlProps/ctrlProp204.xml"/><Relationship Id="rId32" Type="http://schemas.openxmlformats.org/officeDocument/2006/relationships/image" Target="../media/image14.emf"/><Relationship Id="rId74" Type="http://schemas.openxmlformats.org/officeDocument/2006/relationships/ctrlProp" Target="../ctrlProps/ctrlProp10.xml"/><Relationship Id="rId128" Type="http://schemas.openxmlformats.org/officeDocument/2006/relationships/ctrlProp" Target="../ctrlProps/ctrlProp64.xml"/><Relationship Id="rId5" Type="http://schemas.openxmlformats.org/officeDocument/2006/relationships/control" Target="../activeX/activeX1.xml"/><Relationship Id="rId181" Type="http://schemas.openxmlformats.org/officeDocument/2006/relationships/ctrlProp" Target="../ctrlProps/ctrlProp117.xml"/><Relationship Id="rId237" Type="http://schemas.openxmlformats.org/officeDocument/2006/relationships/ctrlProp" Target="../ctrlProps/ctrlProp173.xml"/><Relationship Id="rId279" Type="http://schemas.openxmlformats.org/officeDocument/2006/relationships/ctrlProp" Target="../ctrlProps/ctrlProp215.xml"/><Relationship Id="rId43" Type="http://schemas.openxmlformats.org/officeDocument/2006/relationships/control" Target="../activeX/activeX20.xml"/><Relationship Id="rId139" Type="http://schemas.openxmlformats.org/officeDocument/2006/relationships/ctrlProp" Target="../ctrlProps/ctrlProp75.xml"/><Relationship Id="rId290" Type="http://schemas.openxmlformats.org/officeDocument/2006/relationships/ctrlProp" Target="../ctrlProps/ctrlProp226.xml"/><Relationship Id="rId304" Type="http://schemas.openxmlformats.org/officeDocument/2006/relationships/ctrlProp" Target="../ctrlProps/ctrlProp240.xml"/><Relationship Id="rId85" Type="http://schemas.openxmlformats.org/officeDocument/2006/relationships/ctrlProp" Target="../ctrlProps/ctrlProp21.xml"/><Relationship Id="rId150" Type="http://schemas.openxmlformats.org/officeDocument/2006/relationships/ctrlProp" Target="../ctrlProps/ctrlProp86.xml"/><Relationship Id="rId192" Type="http://schemas.openxmlformats.org/officeDocument/2006/relationships/ctrlProp" Target="../ctrlProps/ctrlProp128.xml"/><Relationship Id="rId206" Type="http://schemas.openxmlformats.org/officeDocument/2006/relationships/ctrlProp" Target="../ctrlProps/ctrlProp142.xml"/><Relationship Id="rId248" Type="http://schemas.openxmlformats.org/officeDocument/2006/relationships/ctrlProp" Target="../ctrlProps/ctrlProp184.xml"/><Relationship Id="rId12" Type="http://schemas.openxmlformats.org/officeDocument/2006/relationships/image" Target="../media/image4.emf"/><Relationship Id="rId108" Type="http://schemas.openxmlformats.org/officeDocument/2006/relationships/ctrlProp" Target="../ctrlProps/ctrlProp44.xml"/><Relationship Id="rId54" Type="http://schemas.openxmlformats.org/officeDocument/2006/relationships/image" Target="../media/image25.emf"/><Relationship Id="rId96" Type="http://schemas.openxmlformats.org/officeDocument/2006/relationships/ctrlProp" Target="../ctrlProps/ctrlProp32.xml"/><Relationship Id="rId161" Type="http://schemas.openxmlformats.org/officeDocument/2006/relationships/ctrlProp" Target="../ctrlProps/ctrlProp97.xml"/><Relationship Id="rId217" Type="http://schemas.openxmlformats.org/officeDocument/2006/relationships/ctrlProp" Target="../ctrlProps/ctrlProp153.xml"/><Relationship Id="rId259" Type="http://schemas.openxmlformats.org/officeDocument/2006/relationships/ctrlProp" Target="../ctrlProps/ctrlProp195.xml"/><Relationship Id="rId23" Type="http://schemas.openxmlformats.org/officeDocument/2006/relationships/control" Target="../activeX/activeX10.xml"/><Relationship Id="rId119" Type="http://schemas.openxmlformats.org/officeDocument/2006/relationships/ctrlProp" Target="../ctrlProps/ctrlProp55.xml"/><Relationship Id="rId270" Type="http://schemas.openxmlformats.org/officeDocument/2006/relationships/ctrlProp" Target="../ctrlProps/ctrlProp206.xml"/><Relationship Id="rId291" Type="http://schemas.openxmlformats.org/officeDocument/2006/relationships/ctrlProp" Target="../ctrlProps/ctrlProp227.xml"/><Relationship Id="rId305" Type="http://schemas.openxmlformats.org/officeDocument/2006/relationships/ctrlProp" Target="../ctrlProps/ctrlProp241.xml"/><Relationship Id="rId44" Type="http://schemas.openxmlformats.org/officeDocument/2006/relationships/image" Target="../media/image20.emf"/><Relationship Id="rId65" Type="http://schemas.openxmlformats.org/officeDocument/2006/relationships/ctrlProp" Target="../ctrlProps/ctrlProp1.xml"/><Relationship Id="rId86" Type="http://schemas.openxmlformats.org/officeDocument/2006/relationships/ctrlProp" Target="../ctrlProps/ctrlProp22.xml"/><Relationship Id="rId130" Type="http://schemas.openxmlformats.org/officeDocument/2006/relationships/ctrlProp" Target="../ctrlProps/ctrlProp66.xml"/><Relationship Id="rId151" Type="http://schemas.openxmlformats.org/officeDocument/2006/relationships/ctrlProp" Target="../ctrlProps/ctrlProp87.xml"/><Relationship Id="rId172" Type="http://schemas.openxmlformats.org/officeDocument/2006/relationships/ctrlProp" Target="../ctrlProps/ctrlProp108.xml"/><Relationship Id="rId193" Type="http://schemas.openxmlformats.org/officeDocument/2006/relationships/ctrlProp" Target="../ctrlProps/ctrlProp129.xml"/><Relationship Id="rId207" Type="http://schemas.openxmlformats.org/officeDocument/2006/relationships/ctrlProp" Target="../ctrlProps/ctrlProp143.xml"/><Relationship Id="rId228" Type="http://schemas.openxmlformats.org/officeDocument/2006/relationships/ctrlProp" Target="../ctrlProps/ctrlProp164.xml"/><Relationship Id="rId249" Type="http://schemas.openxmlformats.org/officeDocument/2006/relationships/ctrlProp" Target="../ctrlProps/ctrlProp185.xml"/><Relationship Id="rId13" Type="http://schemas.openxmlformats.org/officeDocument/2006/relationships/control" Target="../activeX/activeX5.xml"/><Relationship Id="rId109" Type="http://schemas.openxmlformats.org/officeDocument/2006/relationships/ctrlProp" Target="../ctrlProps/ctrlProp45.xml"/><Relationship Id="rId260" Type="http://schemas.openxmlformats.org/officeDocument/2006/relationships/ctrlProp" Target="../ctrlProps/ctrlProp196.xml"/><Relationship Id="rId281" Type="http://schemas.openxmlformats.org/officeDocument/2006/relationships/ctrlProp" Target="../ctrlProps/ctrlProp217.xml"/><Relationship Id="rId34" Type="http://schemas.openxmlformats.org/officeDocument/2006/relationships/image" Target="../media/image15.emf"/><Relationship Id="rId55" Type="http://schemas.openxmlformats.org/officeDocument/2006/relationships/control" Target="../activeX/activeX26.xml"/><Relationship Id="rId76" Type="http://schemas.openxmlformats.org/officeDocument/2006/relationships/ctrlProp" Target="../ctrlProps/ctrlProp12.xml"/><Relationship Id="rId97" Type="http://schemas.openxmlformats.org/officeDocument/2006/relationships/ctrlProp" Target="../ctrlProps/ctrlProp33.xml"/><Relationship Id="rId120" Type="http://schemas.openxmlformats.org/officeDocument/2006/relationships/ctrlProp" Target="../ctrlProps/ctrlProp56.xml"/><Relationship Id="rId141" Type="http://schemas.openxmlformats.org/officeDocument/2006/relationships/ctrlProp" Target="../ctrlProps/ctrlProp77.xml"/><Relationship Id="rId7" Type="http://schemas.openxmlformats.org/officeDocument/2006/relationships/control" Target="../activeX/activeX2.xml"/><Relationship Id="rId162" Type="http://schemas.openxmlformats.org/officeDocument/2006/relationships/ctrlProp" Target="../ctrlProps/ctrlProp98.xml"/><Relationship Id="rId183" Type="http://schemas.openxmlformats.org/officeDocument/2006/relationships/ctrlProp" Target="../ctrlProps/ctrlProp119.xml"/><Relationship Id="rId218" Type="http://schemas.openxmlformats.org/officeDocument/2006/relationships/ctrlProp" Target="../ctrlProps/ctrlProp154.xml"/><Relationship Id="rId239" Type="http://schemas.openxmlformats.org/officeDocument/2006/relationships/ctrlProp" Target="../ctrlProps/ctrlProp175.xml"/><Relationship Id="rId250" Type="http://schemas.openxmlformats.org/officeDocument/2006/relationships/ctrlProp" Target="../ctrlProps/ctrlProp186.xml"/><Relationship Id="rId271" Type="http://schemas.openxmlformats.org/officeDocument/2006/relationships/ctrlProp" Target="../ctrlProps/ctrlProp207.xml"/><Relationship Id="rId292" Type="http://schemas.openxmlformats.org/officeDocument/2006/relationships/ctrlProp" Target="../ctrlProps/ctrlProp228.xml"/><Relationship Id="rId306" Type="http://schemas.openxmlformats.org/officeDocument/2006/relationships/ctrlProp" Target="../ctrlProps/ctrlProp242.xml"/><Relationship Id="rId24" Type="http://schemas.openxmlformats.org/officeDocument/2006/relationships/image" Target="../media/image10.emf"/><Relationship Id="rId45" Type="http://schemas.openxmlformats.org/officeDocument/2006/relationships/control" Target="../activeX/activeX21.xml"/><Relationship Id="rId66" Type="http://schemas.openxmlformats.org/officeDocument/2006/relationships/ctrlProp" Target="../ctrlProps/ctrlProp2.xml"/><Relationship Id="rId87" Type="http://schemas.openxmlformats.org/officeDocument/2006/relationships/ctrlProp" Target="../ctrlProps/ctrlProp23.xml"/><Relationship Id="rId110" Type="http://schemas.openxmlformats.org/officeDocument/2006/relationships/ctrlProp" Target="../ctrlProps/ctrlProp46.xml"/><Relationship Id="rId131" Type="http://schemas.openxmlformats.org/officeDocument/2006/relationships/ctrlProp" Target="../ctrlProps/ctrlProp67.xml"/><Relationship Id="rId152" Type="http://schemas.openxmlformats.org/officeDocument/2006/relationships/ctrlProp" Target="../ctrlProps/ctrlProp88.xml"/><Relationship Id="rId173" Type="http://schemas.openxmlformats.org/officeDocument/2006/relationships/ctrlProp" Target="../ctrlProps/ctrlProp109.xml"/><Relationship Id="rId194" Type="http://schemas.openxmlformats.org/officeDocument/2006/relationships/ctrlProp" Target="../ctrlProps/ctrlProp130.xml"/><Relationship Id="rId208" Type="http://schemas.openxmlformats.org/officeDocument/2006/relationships/ctrlProp" Target="../ctrlProps/ctrlProp144.xml"/><Relationship Id="rId229" Type="http://schemas.openxmlformats.org/officeDocument/2006/relationships/ctrlProp" Target="../ctrlProps/ctrlProp165.xml"/><Relationship Id="rId240" Type="http://schemas.openxmlformats.org/officeDocument/2006/relationships/ctrlProp" Target="../ctrlProps/ctrlProp176.xml"/><Relationship Id="rId261" Type="http://schemas.openxmlformats.org/officeDocument/2006/relationships/ctrlProp" Target="../ctrlProps/ctrlProp197.xml"/><Relationship Id="rId14" Type="http://schemas.openxmlformats.org/officeDocument/2006/relationships/image" Target="../media/image5.emf"/><Relationship Id="rId35" Type="http://schemas.openxmlformats.org/officeDocument/2006/relationships/control" Target="../activeX/activeX16.xml"/><Relationship Id="rId56" Type="http://schemas.openxmlformats.org/officeDocument/2006/relationships/image" Target="../media/image26.emf"/><Relationship Id="rId77" Type="http://schemas.openxmlformats.org/officeDocument/2006/relationships/ctrlProp" Target="../ctrlProps/ctrlProp13.xml"/><Relationship Id="rId100" Type="http://schemas.openxmlformats.org/officeDocument/2006/relationships/ctrlProp" Target="../ctrlProps/ctrlProp36.xml"/><Relationship Id="rId282" Type="http://schemas.openxmlformats.org/officeDocument/2006/relationships/ctrlProp" Target="../ctrlProps/ctrlProp218.xml"/><Relationship Id="rId8" Type="http://schemas.openxmlformats.org/officeDocument/2006/relationships/image" Target="../media/image2.emf"/><Relationship Id="rId98" Type="http://schemas.openxmlformats.org/officeDocument/2006/relationships/ctrlProp" Target="../ctrlProps/ctrlProp34.xml"/><Relationship Id="rId121" Type="http://schemas.openxmlformats.org/officeDocument/2006/relationships/ctrlProp" Target="../ctrlProps/ctrlProp57.xml"/><Relationship Id="rId142" Type="http://schemas.openxmlformats.org/officeDocument/2006/relationships/ctrlProp" Target="../ctrlProps/ctrlProp78.xml"/><Relationship Id="rId163" Type="http://schemas.openxmlformats.org/officeDocument/2006/relationships/ctrlProp" Target="../ctrlProps/ctrlProp99.xml"/><Relationship Id="rId184" Type="http://schemas.openxmlformats.org/officeDocument/2006/relationships/ctrlProp" Target="../ctrlProps/ctrlProp120.xml"/><Relationship Id="rId219" Type="http://schemas.openxmlformats.org/officeDocument/2006/relationships/ctrlProp" Target="../ctrlProps/ctrlProp155.xml"/><Relationship Id="rId230" Type="http://schemas.openxmlformats.org/officeDocument/2006/relationships/ctrlProp" Target="../ctrlProps/ctrlProp166.xml"/><Relationship Id="rId251" Type="http://schemas.openxmlformats.org/officeDocument/2006/relationships/ctrlProp" Target="../ctrlProps/ctrlProp187.xml"/><Relationship Id="rId25" Type="http://schemas.openxmlformats.org/officeDocument/2006/relationships/control" Target="../activeX/activeX11.xml"/><Relationship Id="rId46" Type="http://schemas.openxmlformats.org/officeDocument/2006/relationships/image" Target="../media/image21.emf"/><Relationship Id="rId67" Type="http://schemas.openxmlformats.org/officeDocument/2006/relationships/ctrlProp" Target="../ctrlProps/ctrlProp3.xml"/><Relationship Id="rId272" Type="http://schemas.openxmlformats.org/officeDocument/2006/relationships/ctrlProp" Target="../ctrlProps/ctrlProp208.xml"/><Relationship Id="rId293" Type="http://schemas.openxmlformats.org/officeDocument/2006/relationships/ctrlProp" Target="../ctrlProps/ctrlProp229.xml"/><Relationship Id="rId88" Type="http://schemas.openxmlformats.org/officeDocument/2006/relationships/ctrlProp" Target="../ctrlProps/ctrlProp24.xml"/><Relationship Id="rId111" Type="http://schemas.openxmlformats.org/officeDocument/2006/relationships/ctrlProp" Target="../ctrlProps/ctrlProp47.xml"/><Relationship Id="rId132" Type="http://schemas.openxmlformats.org/officeDocument/2006/relationships/ctrlProp" Target="../ctrlProps/ctrlProp68.xml"/><Relationship Id="rId153" Type="http://schemas.openxmlformats.org/officeDocument/2006/relationships/ctrlProp" Target="../ctrlProps/ctrlProp89.xml"/><Relationship Id="rId174" Type="http://schemas.openxmlformats.org/officeDocument/2006/relationships/ctrlProp" Target="../ctrlProps/ctrlProp110.xml"/><Relationship Id="rId195" Type="http://schemas.openxmlformats.org/officeDocument/2006/relationships/ctrlProp" Target="../ctrlProps/ctrlProp131.xml"/><Relationship Id="rId209" Type="http://schemas.openxmlformats.org/officeDocument/2006/relationships/ctrlProp" Target="../ctrlProps/ctrlProp145.xml"/><Relationship Id="rId220" Type="http://schemas.openxmlformats.org/officeDocument/2006/relationships/ctrlProp" Target="../ctrlProps/ctrlProp156.xml"/><Relationship Id="rId241" Type="http://schemas.openxmlformats.org/officeDocument/2006/relationships/ctrlProp" Target="../ctrlProps/ctrlProp177.xml"/><Relationship Id="rId15" Type="http://schemas.openxmlformats.org/officeDocument/2006/relationships/control" Target="../activeX/activeX6.xml"/><Relationship Id="rId36" Type="http://schemas.openxmlformats.org/officeDocument/2006/relationships/image" Target="../media/image16.emf"/><Relationship Id="rId57" Type="http://schemas.openxmlformats.org/officeDocument/2006/relationships/control" Target="../activeX/activeX27.xml"/><Relationship Id="rId262" Type="http://schemas.openxmlformats.org/officeDocument/2006/relationships/ctrlProp" Target="../ctrlProps/ctrlProp198.xml"/><Relationship Id="rId283" Type="http://schemas.openxmlformats.org/officeDocument/2006/relationships/ctrlProp" Target="../ctrlProps/ctrlProp219.xml"/><Relationship Id="rId78" Type="http://schemas.openxmlformats.org/officeDocument/2006/relationships/ctrlProp" Target="../ctrlProps/ctrlProp14.xml"/><Relationship Id="rId99" Type="http://schemas.openxmlformats.org/officeDocument/2006/relationships/ctrlProp" Target="../ctrlProps/ctrlProp35.xml"/><Relationship Id="rId101" Type="http://schemas.openxmlformats.org/officeDocument/2006/relationships/ctrlProp" Target="../ctrlProps/ctrlProp37.xml"/><Relationship Id="rId122" Type="http://schemas.openxmlformats.org/officeDocument/2006/relationships/ctrlProp" Target="../ctrlProps/ctrlProp58.xml"/><Relationship Id="rId143" Type="http://schemas.openxmlformats.org/officeDocument/2006/relationships/ctrlProp" Target="../ctrlProps/ctrlProp79.xml"/><Relationship Id="rId164" Type="http://schemas.openxmlformats.org/officeDocument/2006/relationships/ctrlProp" Target="../ctrlProps/ctrlProp100.xml"/><Relationship Id="rId185" Type="http://schemas.openxmlformats.org/officeDocument/2006/relationships/ctrlProp" Target="../ctrlProps/ctrlProp121.xml"/><Relationship Id="rId9" Type="http://schemas.openxmlformats.org/officeDocument/2006/relationships/control" Target="../activeX/activeX3.xml"/><Relationship Id="rId210" Type="http://schemas.openxmlformats.org/officeDocument/2006/relationships/ctrlProp" Target="../ctrlProps/ctrlProp146.xml"/><Relationship Id="rId26" Type="http://schemas.openxmlformats.org/officeDocument/2006/relationships/image" Target="../media/image11.emf"/><Relationship Id="rId231" Type="http://schemas.openxmlformats.org/officeDocument/2006/relationships/ctrlProp" Target="../ctrlProps/ctrlProp167.xml"/><Relationship Id="rId252" Type="http://schemas.openxmlformats.org/officeDocument/2006/relationships/ctrlProp" Target="../ctrlProps/ctrlProp188.xml"/><Relationship Id="rId273" Type="http://schemas.openxmlformats.org/officeDocument/2006/relationships/ctrlProp" Target="../ctrlProps/ctrlProp209.xml"/><Relationship Id="rId294" Type="http://schemas.openxmlformats.org/officeDocument/2006/relationships/ctrlProp" Target="../ctrlProps/ctrlProp230.xml"/><Relationship Id="rId47" Type="http://schemas.openxmlformats.org/officeDocument/2006/relationships/control" Target="../activeX/activeX22.xml"/><Relationship Id="rId68" Type="http://schemas.openxmlformats.org/officeDocument/2006/relationships/ctrlProp" Target="../ctrlProps/ctrlProp4.xml"/><Relationship Id="rId89" Type="http://schemas.openxmlformats.org/officeDocument/2006/relationships/ctrlProp" Target="../ctrlProps/ctrlProp25.xml"/><Relationship Id="rId112" Type="http://schemas.openxmlformats.org/officeDocument/2006/relationships/ctrlProp" Target="../ctrlProps/ctrlProp48.xml"/><Relationship Id="rId133" Type="http://schemas.openxmlformats.org/officeDocument/2006/relationships/ctrlProp" Target="../ctrlProps/ctrlProp69.xml"/><Relationship Id="rId154" Type="http://schemas.openxmlformats.org/officeDocument/2006/relationships/ctrlProp" Target="../ctrlProps/ctrlProp90.xml"/><Relationship Id="rId175" Type="http://schemas.openxmlformats.org/officeDocument/2006/relationships/ctrlProp" Target="../ctrlProps/ctrlProp111.xml"/><Relationship Id="rId196" Type="http://schemas.openxmlformats.org/officeDocument/2006/relationships/ctrlProp" Target="../ctrlProps/ctrlProp132.xml"/><Relationship Id="rId200" Type="http://schemas.openxmlformats.org/officeDocument/2006/relationships/ctrlProp" Target="../ctrlProps/ctrlProp136.xml"/><Relationship Id="rId16" Type="http://schemas.openxmlformats.org/officeDocument/2006/relationships/image" Target="../media/image6.emf"/><Relationship Id="rId221" Type="http://schemas.openxmlformats.org/officeDocument/2006/relationships/ctrlProp" Target="../ctrlProps/ctrlProp157.xml"/><Relationship Id="rId242" Type="http://schemas.openxmlformats.org/officeDocument/2006/relationships/ctrlProp" Target="../ctrlProps/ctrlProp178.xml"/><Relationship Id="rId263" Type="http://schemas.openxmlformats.org/officeDocument/2006/relationships/ctrlProp" Target="../ctrlProps/ctrlProp199.xml"/><Relationship Id="rId284" Type="http://schemas.openxmlformats.org/officeDocument/2006/relationships/ctrlProp" Target="../ctrlProps/ctrlProp220.xml"/><Relationship Id="rId37" Type="http://schemas.openxmlformats.org/officeDocument/2006/relationships/control" Target="../activeX/activeX17.xml"/><Relationship Id="rId58" Type="http://schemas.openxmlformats.org/officeDocument/2006/relationships/image" Target="../media/image27.emf"/><Relationship Id="rId79" Type="http://schemas.openxmlformats.org/officeDocument/2006/relationships/ctrlProp" Target="../ctrlProps/ctrlProp15.xml"/><Relationship Id="rId102" Type="http://schemas.openxmlformats.org/officeDocument/2006/relationships/ctrlProp" Target="../ctrlProps/ctrlProp38.xml"/><Relationship Id="rId123" Type="http://schemas.openxmlformats.org/officeDocument/2006/relationships/ctrlProp" Target="../ctrlProps/ctrlProp59.xml"/><Relationship Id="rId144" Type="http://schemas.openxmlformats.org/officeDocument/2006/relationships/ctrlProp" Target="../ctrlProps/ctrlProp80.xml"/><Relationship Id="rId90" Type="http://schemas.openxmlformats.org/officeDocument/2006/relationships/ctrlProp" Target="../ctrlProps/ctrlProp26.xml"/><Relationship Id="rId165" Type="http://schemas.openxmlformats.org/officeDocument/2006/relationships/ctrlProp" Target="../ctrlProps/ctrlProp101.xml"/><Relationship Id="rId186" Type="http://schemas.openxmlformats.org/officeDocument/2006/relationships/ctrlProp" Target="../ctrlProps/ctrlProp122.xml"/><Relationship Id="rId211" Type="http://schemas.openxmlformats.org/officeDocument/2006/relationships/ctrlProp" Target="../ctrlProps/ctrlProp147.xml"/><Relationship Id="rId232" Type="http://schemas.openxmlformats.org/officeDocument/2006/relationships/ctrlProp" Target="../ctrlProps/ctrlProp168.xml"/><Relationship Id="rId253" Type="http://schemas.openxmlformats.org/officeDocument/2006/relationships/ctrlProp" Target="../ctrlProps/ctrlProp189.xml"/><Relationship Id="rId274" Type="http://schemas.openxmlformats.org/officeDocument/2006/relationships/ctrlProp" Target="../ctrlProps/ctrlProp210.xml"/><Relationship Id="rId295" Type="http://schemas.openxmlformats.org/officeDocument/2006/relationships/ctrlProp" Target="../ctrlProps/ctrlProp231.xml"/><Relationship Id="rId27" Type="http://schemas.openxmlformats.org/officeDocument/2006/relationships/control" Target="../activeX/activeX12.xml"/><Relationship Id="rId48" Type="http://schemas.openxmlformats.org/officeDocument/2006/relationships/image" Target="../media/image22.emf"/><Relationship Id="rId69" Type="http://schemas.openxmlformats.org/officeDocument/2006/relationships/ctrlProp" Target="../ctrlProps/ctrlProp5.xml"/><Relationship Id="rId113" Type="http://schemas.openxmlformats.org/officeDocument/2006/relationships/ctrlProp" Target="../ctrlProps/ctrlProp49.xml"/><Relationship Id="rId134" Type="http://schemas.openxmlformats.org/officeDocument/2006/relationships/ctrlProp" Target="../ctrlProps/ctrlProp70.xml"/><Relationship Id="rId80" Type="http://schemas.openxmlformats.org/officeDocument/2006/relationships/ctrlProp" Target="../ctrlProps/ctrlProp16.xml"/><Relationship Id="rId155" Type="http://schemas.openxmlformats.org/officeDocument/2006/relationships/ctrlProp" Target="../ctrlProps/ctrlProp91.xml"/><Relationship Id="rId176" Type="http://schemas.openxmlformats.org/officeDocument/2006/relationships/ctrlProp" Target="../ctrlProps/ctrlProp112.xml"/><Relationship Id="rId197" Type="http://schemas.openxmlformats.org/officeDocument/2006/relationships/ctrlProp" Target="../ctrlProps/ctrlProp133.xml"/><Relationship Id="rId201" Type="http://schemas.openxmlformats.org/officeDocument/2006/relationships/ctrlProp" Target="../ctrlProps/ctrlProp137.xml"/><Relationship Id="rId222" Type="http://schemas.openxmlformats.org/officeDocument/2006/relationships/ctrlProp" Target="../ctrlProps/ctrlProp158.xml"/><Relationship Id="rId243" Type="http://schemas.openxmlformats.org/officeDocument/2006/relationships/ctrlProp" Target="../ctrlProps/ctrlProp179.xml"/><Relationship Id="rId264" Type="http://schemas.openxmlformats.org/officeDocument/2006/relationships/ctrlProp" Target="../ctrlProps/ctrlProp200.xml"/><Relationship Id="rId285" Type="http://schemas.openxmlformats.org/officeDocument/2006/relationships/ctrlProp" Target="../ctrlProps/ctrlProp221.xml"/><Relationship Id="rId17" Type="http://schemas.openxmlformats.org/officeDocument/2006/relationships/control" Target="../activeX/activeX7.xml"/><Relationship Id="rId38" Type="http://schemas.openxmlformats.org/officeDocument/2006/relationships/image" Target="../media/image17.emf"/><Relationship Id="rId59" Type="http://schemas.openxmlformats.org/officeDocument/2006/relationships/control" Target="../activeX/activeX28.xml"/><Relationship Id="rId103" Type="http://schemas.openxmlformats.org/officeDocument/2006/relationships/ctrlProp" Target="../ctrlProps/ctrlProp39.xml"/><Relationship Id="rId124" Type="http://schemas.openxmlformats.org/officeDocument/2006/relationships/ctrlProp" Target="../ctrlProps/ctrlProp60.xml"/><Relationship Id="rId70" Type="http://schemas.openxmlformats.org/officeDocument/2006/relationships/ctrlProp" Target="../ctrlProps/ctrlProp6.xml"/><Relationship Id="rId91" Type="http://schemas.openxmlformats.org/officeDocument/2006/relationships/ctrlProp" Target="../ctrlProps/ctrlProp27.xml"/><Relationship Id="rId145" Type="http://schemas.openxmlformats.org/officeDocument/2006/relationships/ctrlProp" Target="../ctrlProps/ctrlProp81.xml"/><Relationship Id="rId166" Type="http://schemas.openxmlformats.org/officeDocument/2006/relationships/ctrlProp" Target="../ctrlProps/ctrlProp102.xml"/><Relationship Id="rId187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148.xml"/><Relationship Id="rId233" Type="http://schemas.openxmlformats.org/officeDocument/2006/relationships/ctrlProp" Target="../ctrlProps/ctrlProp169.xml"/><Relationship Id="rId254" Type="http://schemas.openxmlformats.org/officeDocument/2006/relationships/ctrlProp" Target="../ctrlProps/ctrlProp190.xml"/><Relationship Id="rId28" Type="http://schemas.openxmlformats.org/officeDocument/2006/relationships/image" Target="../media/image12.emf"/><Relationship Id="rId49" Type="http://schemas.openxmlformats.org/officeDocument/2006/relationships/control" Target="../activeX/activeX23.xml"/><Relationship Id="rId114" Type="http://schemas.openxmlformats.org/officeDocument/2006/relationships/ctrlProp" Target="../ctrlProps/ctrlProp50.xml"/><Relationship Id="rId275" Type="http://schemas.openxmlformats.org/officeDocument/2006/relationships/ctrlProp" Target="../ctrlProps/ctrlProp211.xml"/><Relationship Id="rId296" Type="http://schemas.openxmlformats.org/officeDocument/2006/relationships/ctrlProp" Target="../ctrlProps/ctrlProp232.xml"/><Relationship Id="rId300" Type="http://schemas.openxmlformats.org/officeDocument/2006/relationships/ctrlProp" Target="../ctrlProps/ctrlProp236.xml"/><Relationship Id="rId60" Type="http://schemas.openxmlformats.org/officeDocument/2006/relationships/image" Target="../media/image28.emf"/><Relationship Id="rId81" Type="http://schemas.openxmlformats.org/officeDocument/2006/relationships/ctrlProp" Target="../ctrlProps/ctrlProp17.xml"/><Relationship Id="rId135" Type="http://schemas.openxmlformats.org/officeDocument/2006/relationships/ctrlProp" Target="../ctrlProps/ctrlProp71.xml"/><Relationship Id="rId156" Type="http://schemas.openxmlformats.org/officeDocument/2006/relationships/ctrlProp" Target="../ctrlProps/ctrlProp92.xml"/><Relationship Id="rId177" Type="http://schemas.openxmlformats.org/officeDocument/2006/relationships/ctrlProp" Target="../ctrlProps/ctrlProp113.xml"/><Relationship Id="rId198" Type="http://schemas.openxmlformats.org/officeDocument/2006/relationships/ctrlProp" Target="../ctrlProps/ctrlProp134.xml"/><Relationship Id="rId202" Type="http://schemas.openxmlformats.org/officeDocument/2006/relationships/ctrlProp" Target="../ctrlProps/ctrlProp138.xml"/><Relationship Id="rId223" Type="http://schemas.openxmlformats.org/officeDocument/2006/relationships/ctrlProp" Target="../ctrlProps/ctrlProp159.xml"/><Relationship Id="rId244" Type="http://schemas.openxmlformats.org/officeDocument/2006/relationships/ctrlProp" Target="../ctrlProps/ctrlProp180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265" Type="http://schemas.openxmlformats.org/officeDocument/2006/relationships/ctrlProp" Target="../ctrlProps/ctrlProp201.xml"/><Relationship Id="rId286" Type="http://schemas.openxmlformats.org/officeDocument/2006/relationships/ctrlProp" Target="../ctrlProps/ctrlProp222.xml"/><Relationship Id="rId50" Type="http://schemas.openxmlformats.org/officeDocument/2006/relationships/image" Target="../media/image23.emf"/><Relationship Id="rId104" Type="http://schemas.openxmlformats.org/officeDocument/2006/relationships/ctrlProp" Target="../ctrlProps/ctrlProp40.xml"/><Relationship Id="rId125" Type="http://schemas.openxmlformats.org/officeDocument/2006/relationships/ctrlProp" Target="../ctrlProps/ctrlProp61.xml"/><Relationship Id="rId146" Type="http://schemas.openxmlformats.org/officeDocument/2006/relationships/ctrlProp" Target="../ctrlProps/ctrlProp82.xml"/><Relationship Id="rId167" Type="http://schemas.openxmlformats.org/officeDocument/2006/relationships/ctrlProp" Target="../ctrlProps/ctrlProp103.xml"/><Relationship Id="rId188" Type="http://schemas.openxmlformats.org/officeDocument/2006/relationships/ctrlProp" Target="../ctrlProps/ctrlProp124.xml"/><Relationship Id="rId71" Type="http://schemas.openxmlformats.org/officeDocument/2006/relationships/ctrlProp" Target="../ctrlProps/ctrlProp7.xml"/><Relationship Id="rId92" Type="http://schemas.openxmlformats.org/officeDocument/2006/relationships/ctrlProp" Target="../ctrlProps/ctrlProp28.xml"/><Relationship Id="rId213" Type="http://schemas.openxmlformats.org/officeDocument/2006/relationships/ctrlProp" Target="../ctrlProps/ctrlProp149.xml"/><Relationship Id="rId234" Type="http://schemas.openxmlformats.org/officeDocument/2006/relationships/ctrlProp" Target="../ctrlProps/ctrlProp170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Relationship Id="rId255" Type="http://schemas.openxmlformats.org/officeDocument/2006/relationships/ctrlProp" Target="../ctrlProps/ctrlProp191.xml"/><Relationship Id="rId276" Type="http://schemas.openxmlformats.org/officeDocument/2006/relationships/ctrlProp" Target="../ctrlProps/ctrlProp212.xml"/><Relationship Id="rId297" Type="http://schemas.openxmlformats.org/officeDocument/2006/relationships/ctrlProp" Target="../ctrlProps/ctrlProp233.xml"/><Relationship Id="rId40" Type="http://schemas.openxmlformats.org/officeDocument/2006/relationships/image" Target="../media/image18.emf"/><Relationship Id="rId115" Type="http://schemas.openxmlformats.org/officeDocument/2006/relationships/ctrlProp" Target="../ctrlProps/ctrlProp51.xml"/><Relationship Id="rId136" Type="http://schemas.openxmlformats.org/officeDocument/2006/relationships/ctrlProp" Target="../ctrlProps/ctrlProp72.xml"/><Relationship Id="rId157" Type="http://schemas.openxmlformats.org/officeDocument/2006/relationships/ctrlProp" Target="../ctrlProps/ctrlProp93.xml"/><Relationship Id="rId178" Type="http://schemas.openxmlformats.org/officeDocument/2006/relationships/ctrlProp" Target="../ctrlProps/ctrlProp114.xml"/><Relationship Id="rId301" Type="http://schemas.openxmlformats.org/officeDocument/2006/relationships/ctrlProp" Target="../ctrlProps/ctrlProp237.xml"/><Relationship Id="rId61" Type="http://schemas.openxmlformats.org/officeDocument/2006/relationships/control" Target="../activeX/activeX29.xml"/><Relationship Id="rId82" Type="http://schemas.openxmlformats.org/officeDocument/2006/relationships/ctrlProp" Target="../ctrlProps/ctrlProp18.xml"/><Relationship Id="rId199" Type="http://schemas.openxmlformats.org/officeDocument/2006/relationships/ctrlProp" Target="../ctrlProps/ctrlProp135.xml"/><Relationship Id="rId203" Type="http://schemas.openxmlformats.org/officeDocument/2006/relationships/ctrlProp" Target="../ctrlProps/ctrlProp139.xml"/><Relationship Id="rId19" Type="http://schemas.openxmlformats.org/officeDocument/2006/relationships/control" Target="../activeX/activeX8.xml"/><Relationship Id="rId224" Type="http://schemas.openxmlformats.org/officeDocument/2006/relationships/ctrlProp" Target="../ctrlProps/ctrlProp160.xml"/><Relationship Id="rId245" Type="http://schemas.openxmlformats.org/officeDocument/2006/relationships/ctrlProp" Target="../ctrlProps/ctrlProp181.xml"/><Relationship Id="rId266" Type="http://schemas.openxmlformats.org/officeDocument/2006/relationships/ctrlProp" Target="../ctrlProps/ctrlProp202.xml"/><Relationship Id="rId287" Type="http://schemas.openxmlformats.org/officeDocument/2006/relationships/ctrlProp" Target="../ctrlProps/ctrlProp223.xml"/><Relationship Id="rId30" Type="http://schemas.openxmlformats.org/officeDocument/2006/relationships/image" Target="../media/image13.emf"/><Relationship Id="rId105" Type="http://schemas.openxmlformats.org/officeDocument/2006/relationships/ctrlProp" Target="../ctrlProps/ctrlProp41.xml"/><Relationship Id="rId126" Type="http://schemas.openxmlformats.org/officeDocument/2006/relationships/ctrlProp" Target="../ctrlProps/ctrlProp62.xml"/><Relationship Id="rId147" Type="http://schemas.openxmlformats.org/officeDocument/2006/relationships/ctrlProp" Target="../ctrlProps/ctrlProp83.xml"/><Relationship Id="rId168" Type="http://schemas.openxmlformats.org/officeDocument/2006/relationships/ctrlProp" Target="../ctrlProps/ctrlProp104.xml"/><Relationship Id="rId51" Type="http://schemas.openxmlformats.org/officeDocument/2006/relationships/control" Target="../activeX/activeX24.xml"/><Relationship Id="rId72" Type="http://schemas.openxmlformats.org/officeDocument/2006/relationships/ctrlProp" Target="../ctrlProps/ctrlProp8.xml"/><Relationship Id="rId93" Type="http://schemas.openxmlformats.org/officeDocument/2006/relationships/ctrlProp" Target="../ctrlProps/ctrlProp29.xml"/><Relationship Id="rId189" Type="http://schemas.openxmlformats.org/officeDocument/2006/relationships/ctrlProp" Target="../ctrlProps/ctrlProp12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150.xml"/><Relationship Id="rId235" Type="http://schemas.openxmlformats.org/officeDocument/2006/relationships/ctrlProp" Target="../ctrlProps/ctrlProp171.xml"/><Relationship Id="rId256" Type="http://schemas.openxmlformats.org/officeDocument/2006/relationships/ctrlProp" Target="../ctrlProps/ctrlProp192.xml"/><Relationship Id="rId277" Type="http://schemas.openxmlformats.org/officeDocument/2006/relationships/ctrlProp" Target="../ctrlProps/ctrlProp213.xml"/><Relationship Id="rId298" Type="http://schemas.openxmlformats.org/officeDocument/2006/relationships/ctrlProp" Target="../ctrlProps/ctrlProp234.xml"/><Relationship Id="rId116" Type="http://schemas.openxmlformats.org/officeDocument/2006/relationships/ctrlProp" Target="../ctrlProps/ctrlProp52.xml"/><Relationship Id="rId137" Type="http://schemas.openxmlformats.org/officeDocument/2006/relationships/ctrlProp" Target="../ctrlProps/ctrlProp73.xml"/><Relationship Id="rId158" Type="http://schemas.openxmlformats.org/officeDocument/2006/relationships/ctrlProp" Target="../ctrlProps/ctrlProp94.xml"/><Relationship Id="rId302" Type="http://schemas.openxmlformats.org/officeDocument/2006/relationships/ctrlProp" Target="../ctrlProps/ctrlProp238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62" Type="http://schemas.openxmlformats.org/officeDocument/2006/relationships/image" Target="../media/image29.emf"/><Relationship Id="rId83" Type="http://schemas.openxmlformats.org/officeDocument/2006/relationships/ctrlProp" Target="../ctrlProps/ctrlProp19.xml"/><Relationship Id="rId179" Type="http://schemas.openxmlformats.org/officeDocument/2006/relationships/ctrlProp" Target="../ctrlProps/ctrlProp115.xml"/><Relationship Id="rId190" Type="http://schemas.openxmlformats.org/officeDocument/2006/relationships/ctrlProp" Target="../ctrlProps/ctrlProp126.xml"/><Relationship Id="rId204" Type="http://schemas.openxmlformats.org/officeDocument/2006/relationships/ctrlProp" Target="../ctrlProps/ctrlProp140.xml"/><Relationship Id="rId225" Type="http://schemas.openxmlformats.org/officeDocument/2006/relationships/ctrlProp" Target="../ctrlProps/ctrlProp161.xml"/><Relationship Id="rId246" Type="http://schemas.openxmlformats.org/officeDocument/2006/relationships/ctrlProp" Target="../ctrlProps/ctrlProp182.xml"/><Relationship Id="rId267" Type="http://schemas.openxmlformats.org/officeDocument/2006/relationships/ctrlProp" Target="../ctrlProps/ctrlProp203.xml"/><Relationship Id="rId288" Type="http://schemas.openxmlformats.org/officeDocument/2006/relationships/ctrlProp" Target="../ctrlProps/ctrlProp224.xml"/><Relationship Id="rId106" Type="http://schemas.openxmlformats.org/officeDocument/2006/relationships/ctrlProp" Target="../ctrlProps/ctrlProp42.xml"/><Relationship Id="rId127" Type="http://schemas.openxmlformats.org/officeDocument/2006/relationships/ctrlProp" Target="../ctrlProps/ctrlProp63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52" Type="http://schemas.openxmlformats.org/officeDocument/2006/relationships/image" Target="../media/image24.emf"/><Relationship Id="rId73" Type="http://schemas.openxmlformats.org/officeDocument/2006/relationships/ctrlProp" Target="../ctrlProps/ctrlProp9.xml"/><Relationship Id="rId94" Type="http://schemas.openxmlformats.org/officeDocument/2006/relationships/ctrlProp" Target="../ctrlProps/ctrlProp30.xml"/><Relationship Id="rId148" Type="http://schemas.openxmlformats.org/officeDocument/2006/relationships/ctrlProp" Target="../ctrlProps/ctrlProp84.xml"/><Relationship Id="rId169" Type="http://schemas.openxmlformats.org/officeDocument/2006/relationships/ctrlProp" Target="../ctrlProps/ctrlProp105.xml"/><Relationship Id="rId4" Type="http://schemas.openxmlformats.org/officeDocument/2006/relationships/vmlDrawing" Target="../drawings/vmlDrawing1.vml"/><Relationship Id="rId180" Type="http://schemas.openxmlformats.org/officeDocument/2006/relationships/ctrlProp" Target="../ctrlProps/ctrlProp116.xml"/><Relationship Id="rId215" Type="http://schemas.openxmlformats.org/officeDocument/2006/relationships/ctrlProp" Target="../ctrlProps/ctrlProp151.xml"/><Relationship Id="rId236" Type="http://schemas.openxmlformats.org/officeDocument/2006/relationships/ctrlProp" Target="../ctrlProps/ctrlProp172.xml"/><Relationship Id="rId257" Type="http://schemas.openxmlformats.org/officeDocument/2006/relationships/ctrlProp" Target="../ctrlProps/ctrlProp193.xml"/><Relationship Id="rId278" Type="http://schemas.openxmlformats.org/officeDocument/2006/relationships/ctrlProp" Target="../ctrlProps/ctrlProp214.xml"/><Relationship Id="rId303" Type="http://schemas.openxmlformats.org/officeDocument/2006/relationships/ctrlProp" Target="../ctrlProps/ctrlProp239.xml"/><Relationship Id="rId42" Type="http://schemas.openxmlformats.org/officeDocument/2006/relationships/image" Target="../media/image19.emf"/><Relationship Id="rId84" Type="http://schemas.openxmlformats.org/officeDocument/2006/relationships/ctrlProp" Target="../ctrlProps/ctrlProp20.xml"/><Relationship Id="rId138" Type="http://schemas.openxmlformats.org/officeDocument/2006/relationships/ctrlProp" Target="../ctrlProps/ctrlProp74.xml"/><Relationship Id="rId191" Type="http://schemas.openxmlformats.org/officeDocument/2006/relationships/ctrlProp" Target="../ctrlProps/ctrlProp127.xml"/><Relationship Id="rId205" Type="http://schemas.openxmlformats.org/officeDocument/2006/relationships/ctrlProp" Target="../ctrlProps/ctrlProp141.xml"/><Relationship Id="rId247" Type="http://schemas.openxmlformats.org/officeDocument/2006/relationships/ctrlProp" Target="../ctrlProps/ctrlProp183.xml"/><Relationship Id="rId107" Type="http://schemas.openxmlformats.org/officeDocument/2006/relationships/ctrlProp" Target="../ctrlProps/ctrlProp43.xml"/><Relationship Id="rId289" Type="http://schemas.openxmlformats.org/officeDocument/2006/relationships/ctrlProp" Target="../ctrlProps/ctrlProp225.xml"/><Relationship Id="rId11" Type="http://schemas.openxmlformats.org/officeDocument/2006/relationships/control" Target="../activeX/activeX4.xml"/><Relationship Id="rId53" Type="http://schemas.openxmlformats.org/officeDocument/2006/relationships/control" Target="../activeX/activeX25.xml"/><Relationship Id="rId149" Type="http://schemas.openxmlformats.org/officeDocument/2006/relationships/ctrlProp" Target="../ctrlProps/ctrlProp85.xml"/><Relationship Id="rId95" Type="http://schemas.openxmlformats.org/officeDocument/2006/relationships/ctrlProp" Target="../ctrlProps/ctrlProp31.xml"/><Relationship Id="rId160" Type="http://schemas.openxmlformats.org/officeDocument/2006/relationships/ctrlProp" Target="../ctrlProps/ctrlProp96.xml"/><Relationship Id="rId216" Type="http://schemas.openxmlformats.org/officeDocument/2006/relationships/ctrlProp" Target="../ctrlProps/ctrlProp152.xml"/><Relationship Id="rId258" Type="http://schemas.openxmlformats.org/officeDocument/2006/relationships/ctrlProp" Target="../ctrlProps/ctrlProp194.xml"/><Relationship Id="rId22" Type="http://schemas.openxmlformats.org/officeDocument/2006/relationships/image" Target="../media/image9.emf"/><Relationship Id="rId64" Type="http://schemas.openxmlformats.org/officeDocument/2006/relationships/image" Target="../media/image30.emf"/><Relationship Id="rId118" Type="http://schemas.openxmlformats.org/officeDocument/2006/relationships/ctrlProp" Target="../ctrlProps/ctrlProp54.xml"/><Relationship Id="rId171" Type="http://schemas.openxmlformats.org/officeDocument/2006/relationships/ctrlProp" Target="../ctrlProps/ctrlProp107.xml"/><Relationship Id="rId227" Type="http://schemas.openxmlformats.org/officeDocument/2006/relationships/ctrlProp" Target="../ctrlProps/ctrlProp163.xml"/><Relationship Id="rId269" Type="http://schemas.openxmlformats.org/officeDocument/2006/relationships/ctrlProp" Target="../ctrlProps/ctrlProp205.xml"/><Relationship Id="rId33" Type="http://schemas.openxmlformats.org/officeDocument/2006/relationships/control" Target="../activeX/activeX15.xml"/><Relationship Id="rId129" Type="http://schemas.openxmlformats.org/officeDocument/2006/relationships/ctrlProp" Target="../ctrlProps/ctrlProp65.xml"/><Relationship Id="rId280" Type="http://schemas.openxmlformats.org/officeDocument/2006/relationships/ctrlProp" Target="../ctrlProps/ctrlProp216.xml"/><Relationship Id="rId75" Type="http://schemas.openxmlformats.org/officeDocument/2006/relationships/ctrlProp" Target="../ctrlProps/ctrlProp11.xml"/><Relationship Id="rId140" Type="http://schemas.openxmlformats.org/officeDocument/2006/relationships/ctrlProp" Target="../ctrlProps/ctrlProp76.xml"/><Relationship Id="rId182" Type="http://schemas.openxmlformats.org/officeDocument/2006/relationships/ctrlProp" Target="../ctrlProps/ctrlProp118.xml"/><Relationship Id="rId6" Type="http://schemas.openxmlformats.org/officeDocument/2006/relationships/image" Target="../media/image1.emf"/><Relationship Id="rId238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4.xml"/><Relationship Id="rId21" Type="http://schemas.openxmlformats.org/officeDocument/2006/relationships/ctrlProp" Target="../ctrlProps/ctrlProp259.xml"/><Relationship Id="rId42" Type="http://schemas.openxmlformats.org/officeDocument/2006/relationships/ctrlProp" Target="../ctrlProps/ctrlProp280.xml"/><Relationship Id="rId47" Type="http://schemas.openxmlformats.org/officeDocument/2006/relationships/ctrlProp" Target="../ctrlProps/ctrlProp285.xml"/><Relationship Id="rId63" Type="http://schemas.openxmlformats.org/officeDocument/2006/relationships/ctrlProp" Target="../ctrlProps/ctrlProp301.xml"/><Relationship Id="rId68" Type="http://schemas.openxmlformats.org/officeDocument/2006/relationships/ctrlProp" Target="../ctrlProps/ctrlProp306.xml"/><Relationship Id="rId7" Type="http://schemas.openxmlformats.org/officeDocument/2006/relationships/ctrlProp" Target="../ctrlProps/ctrlProp245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4.xml"/><Relationship Id="rId29" Type="http://schemas.openxmlformats.org/officeDocument/2006/relationships/ctrlProp" Target="../ctrlProps/ctrlProp267.xml"/><Relationship Id="rId11" Type="http://schemas.openxmlformats.org/officeDocument/2006/relationships/ctrlProp" Target="../ctrlProps/ctrlProp249.xml"/><Relationship Id="rId24" Type="http://schemas.openxmlformats.org/officeDocument/2006/relationships/ctrlProp" Target="../ctrlProps/ctrlProp262.xml"/><Relationship Id="rId32" Type="http://schemas.openxmlformats.org/officeDocument/2006/relationships/ctrlProp" Target="../ctrlProps/ctrlProp270.xml"/><Relationship Id="rId37" Type="http://schemas.openxmlformats.org/officeDocument/2006/relationships/ctrlProp" Target="../ctrlProps/ctrlProp275.xml"/><Relationship Id="rId40" Type="http://schemas.openxmlformats.org/officeDocument/2006/relationships/ctrlProp" Target="../ctrlProps/ctrlProp278.xml"/><Relationship Id="rId45" Type="http://schemas.openxmlformats.org/officeDocument/2006/relationships/ctrlProp" Target="../ctrlProps/ctrlProp283.xml"/><Relationship Id="rId53" Type="http://schemas.openxmlformats.org/officeDocument/2006/relationships/ctrlProp" Target="../ctrlProps/ctrlProp291.xml"/><Relationship Id="rId58" Type="http://schemas.openxmlformats.org/officeDocument/2006/relationships/ctrlProp" Target="../ctrlProps/ctrlProp296.xml"/><Relationship Id="rId66" Type="http://schemas.openxmlformats.org/officeDocument/2006/relationships/ctrlProp" Target="../ctrlProps/ctrlProp304.xml"/><Relationship Id="rId5" Type="http://schemas.openxmlformats.org/officeDocument/2006/relationships/ctrlProp" Target="../ctrlProps/ctrlProp243.xml"/><Relationship Id="rId61" Type="http://schemas.openxmlformats.org/officeDocument/2006/relationships/ctrlProp" Target="../ctrlProps/ctrlProp299.xml"/><Relationship Id="rId19" Type="http://schemas.openxmlformats.org/officeDocument/2006/relationships/ctrlProp" Target="../ctrlProps/ctrlProp257.xml"/><Relationship Id="rId14" Type="http://schemas.openxmlformats.org/officeDocument/2006/relationships/ctrlProp" Target="../ctrlProps/ctrlProp252.xml"/><Relationship Id="rId22" Type="http://schemas.openxmlformats.org/officeDocument/2006/relationships/ctrlProp" Target="../ctrlProps/ctrlProp260.xml"/><Relationship Id="rId27" Type="http://schemas.openxmlformats.org/officeDocument/2006/relationships/ctrlProp" Target="../ctrlProps/ctrlProp265.xml"/><Relationship Id="rId30" Type="http://schemas.openxmlformats.org/officeDocument/2006/relationships/ctrlProp" Target="../ctrlProps/ctrlProp268.xml"/><Relationship Id="rId35" Type="http://schemas.openxmlformats.org/officeDocument/2006/relationships/ctrlProp" Target="../ctrlProps/ctrlProp273.xml"/><Relationship Id="rId43" Type="http://schemas.openxmlformats.org/officeDocument/2006/relationships/ctrlProp" Target="../ctrlProps/ctrlProp281.xml"/><Relationship Id="rId48" Type="http://schemas.openxmlformats.org/officeDocument/2006/relationships/ctrlProp" Target="../ctrlProps/ctrlProp286.xml"/><Relationship Id="rId56" Type="http://schemas.openxmlformats.org/officeDocument/2006/relationships/ctrlProp" Target="../ctrlProps/ctrlProp294.xml"/><Relationship Id="rId64" Type="http://schemas.openxmlformats.org/officeDocument/2006/relationships/ctrlProp" Target="../ctrlProps/ctrlProp302.xml"/><Relationship Id="rId69" Type="http://schemas.openxmlformats.org/officeDocument/2006/relationships/ctrlProp" Target="../ctrlProps/ctrlProp307.xml"/><Relationship Id="rId8" Type="http://schemas.openxmlformats.org/officeDocument/2006/relationships/ctrlProp" Target="../ctrlProps/ctrlProp246.xml"/><Relationship Id="rId51" Type="http://schemas.openxmlformats.org/officeDocument/2006/relationships/ctrlProp" Target="../ctrlProps/ctrlProp289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50.xml"/><Relationship Id="rId17" Type="http://schemas.openxmlformats.org/officeDocument/2006/relationships/ctrlProp" Target="../ctrlProps/ctrlProp255.xml"/><Relationship Id="rId25" Type="http://schemas.openxmlformats.org/officeDocument/2006/relationships/ctrlProp" Target="../ctrlProps/ctrlProp263.xml"/><Relationship Id="rId33" Type="http://schemas.openxmlformats.org/officeDocument/2006/relationships/ctrlProp" Target="../ctrlProps/ctrlProp271.xml"/><Relationship Id="rId38" Type="http://schemas.openxmlformats.org/officeDocument/2006/relationships/ctrlProp" Target="../ctrlProps/ctrlProp276.xml"/><Relationship Id="rId46" Type="http://schemas.openxmlformats.org/officeDocument/2006/relationships/ctrlProp" Target="../ctrlProps/ctrlProp284.xml"/><Relationship Id="rId59" Type="http://schemas.openxmlformats.org/officeDocument/2006/relationships/ctrlProp" Target="../ctrlProps/ctrlProp297.xml"/><Relationship Id="rId67" Type="http://schemas.openxmlformats.org/officeDocument/2006/relationships/ctrlProp" Target="../ctrlProps/ctrlProp305.xml"/><Relationship Id="rId20" Type="http://schemas.openxmlformats.org/officeDocument/2006/relationships/ctrlProp" Target="../ctrlProps/ctrlProp258.xml"/><Relationship Id="rId41" Type="http://schemas.openxmlformats.org/officeDocument/2006/relationships/ctrlProp" Target="../ctrlProps/ctrlProp279.xml"/><Relationship Id="rId54" Type="http://schemas.openxmlformats.org/officeDocument/2006/relationships/ctrlProp" Target="../ctrlProps/ctrlProp292.xml"/><Relationship Id="rId62" Type="http://schemas.openxmlformats.org/officeDocument/2006/relationships/ctrlProp" Target="../ctrlProps/ctrlProp300.xml"/><Relationship Id="rId70" Type="http://schemas.openxmlformats.org/officeDocument/2006/relationships/ctrlProp" Target="../ctrlProps/ctrlProp30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4.xml"/><Relationship Id="rId15" Type="http://schemas.openxmlformats.org/officeDocument/2006/relationships/ctrlProp" Target="../ctrlProps/ctrlProp253.xml"/><Relationship Id="rId23" Type="http://schemas.openxmlformats.org/officeDocument/2006/relationships/ctrlProp" Target="../ctrlProps/ctrlProp261.xml"/><Relationship Id="rId28" Type="http://schemas.openxmlformats.org/officeDocument/2006/relationships/ctrlProp" Target="../ctrlProps/ctrlProp266.xml"/><Relationship Id="rId36" Type="http://schemas.openxmlformats.org/officeDocument/2006/relationships/ctrlProp" Target="../ctrlProps/ctrlProp274.xml"/><Relationship Id="rId49" Type="http://schemas.openxmlformats.org/officeDocument/2006/relationships/ctrlProp" Target="../ctrlProps/ctrlProp287.xml"/><Relationship Id="rId57" Type="http://schemas.openxmlformats.org/officeDocument/2006/relationships/ctrlProp" Target="../ctrlProps/ctrlProp295.xml"/><Relationship Id="rId10" Type="http://schemas.openxmlformats.org/officeDocument/2006/relationships/ctrlProp" Target="../ctrlProps/ctrlProp248.xml"/><Relationship Id="rId31" Type="http://schemas.openxmlformats.org/officeDocument/2006/relationships/ctrlProp" Target="../ctrlProps/ctrlProp269.xml"/><Relationship Id="rId44" Type="http://schemas.openxmlformats.org/officeDocument/2006/relationships/ctrlProp" Target="../ctrlProps/ctrlProp282.xml"/><Relationship Id="rId52" Type="http://schemas.openxmlformats.org/officeDocument/2006/relationships/ctrlProp" Target="../ctrlProps/ctrlProp290.xml"/><Relationship Id="rId60" Type="http://schemas.openxmlformats.org/officeDocument/2006/relationships/ctrlProp" Target="../ctrlProps/ctrlProp298.xml"/><Relationship Id="rId65" Type="http://schemas.openxmlformats.org/officeDocument/2006/relationships/ctrlProp" Target="../ctrlProps/ctrlProp30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7.xml"/><Relationship Id="rId13" Type="http://schemas.openxmlformats.org/officeDocument/2006/relationships/ctrlProp" Target="../ctrlProps/ctrlProp251.xml"/><Relationship Id="rId18" Type="http://schemas.openxmlformats.org/officeDocument/2006/relationships/ctrlProp" Target="../ctrlProps/ctrlProp256.xml"/><Relationship Id="rId39" Type="http://schemas.openxmlformats.org/officeDocument/2006/relationships/ctrlProp" Target="../ctrlProps/ctrlProp277.xml"/><Relationship Id="rId34" Type="http://schemas.openxmlformats.org/officeDocument/2006/relationships/ctrlProp" Target="../ctrlProps/ctrlProp272.xml"/><Relationship Id="rId50" Type="http://schemas.openxmlformats.org/officeDocument/2006/relationships/ctrlProp" Target="../ctrlProps/ctrlProp288.xml"/><Relationship Id="rId55" Type="http://schemas.openxmlformats.org/officeDocument/2006/relationships/ctrlProp" Target="../ctrlProps/ctrlProp29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.xml"/><Relationship Id="rId13" Type="http://schemas.openxmlformats.org/officeDocument/2006/relationships/ctrlProp" Target="../ctrlProps/ctrlProp317.xml"/><Relationship Id="rId18" Type="http://schemas.openxmlformats.org/officeDocument/2006/relationships/ctrlProp" Target="../ctrlProps/ctrlProp32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11.xml"/><Relationship Id="rId12" Type="http://schemas.openxmlformats.org/officeDocument/2006/relationships/ctrlProp" Target="../ctrlProps/ctrlProp316.xml"/><Relationship Id="rId17" Type="http://schemas.openxmlformats.org/officeDocument/2006/relationships/ctrlProp" Target="../ctrlProps/ctrlProp321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20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10.xml"/><Relationship Id="rId11" Type="http://schemas.openxmlformats.org/officeDocument/2006/relationships/ctrlProp" Target="../ctrlProps/ctrlProp315.xml"/><Relationship Id="rId5" Type="http://schemas.openxmlformats.org/officeDocument/2006/relationships/ctrlProp" Target="../ctrlProps/ctrlProp309.xml"/><Relationship Id="rId15" Type="http://schemas.openxmlformats.org/officeDocument/2006/relationships/ctrlProp" Target="../ctrlProps/ctrlProp319.xml"/><Relationship Id="rId10" Type="http://schemas.openxmlformats.org/officeDocument/2006/relationships/ctrlProp" Target="../ctrlProps/ctrlProp314.xml"/><Relationship Id="rId19" Type="http://schemas.openxmlformats.org/officeDocument/2006/relationships/ctrlProp" Target="../ctrlProps/ctrlProp323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13.xml"/><Relationship Id="rId14" Type="http://schemas.openxmlformats.org/officeDocument/2006/relationships/ctrlProp" Target="../ctrlProps/ctrlProp3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2.xml"/><Relationship Id="rId18" Type="http://schemas.openxmlformats.org/officeDocument/2006/relationships/ctrlProp" Target="../ctrlProps/ctrlProp337.xml"/><Relationship Id="rId26" Type="http://schemas.openxmlformats.org/officeDocument/2006/relationships/ctrlProp" Target="../ctrlProps/ctrlProp345.xml"/><Relationship Id="rId39" Type="http://schemas.openxmlformats.org/officeDocument/2006/relationships/ctrlProp" Target="../ctrlProps/ctrlProp358.xml"/><Relationship Id="rId21" Type="http://schemas.openxmlformats.org/officeDocument/2006/relationships/ctrlProp" Target="../ctrlProps/ctrlProp340.xml"/><Relationship Id="rId34" Type="http://schemas.openxmlformats.org/officeDocument/2006/relationships/ctrlProp" Target="../ctrlProps/ctrlProp353.xml"/><Relationship Id="rId42" Type="http://schemas.openxmlformats.org/officeDocument/2006/relationships/ctrlProp" Target="../ctrlProps/ctrlProp361.xml"/><Relationship Id="rId7" Type="http://schemas.openxmlformats.org/officeDocument/2006/relationships/ctrlProp" Target="../ctrlProps/ctrlProp326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35.xml"/><Relationship Id="rId29" Type="http://schemas.openxmlformats.org/officeDocument/2006/relationships/ctrlProp" Target="../ctrlProps/ctrlProp34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25.xml"/><Relationship Id="rId11" Type="http://schemas.openxmlformats.org/officeDocument/2006/relationships/ctrlProp" Target="../ctrlProps/ctrlProp330.xml"/><Relationship Id="rId24" Type="http://schemas.openxmlformats.org/officeDocument/2006/relationships/ctrlProp" Target="../ctrlProps/ctrlProp343.xml"/><Relationship Id="rId32" Type="http://schemas.openxmlformats.org/officeDocument/2006/relationships/ctrlProp" Target="../ctrlProps/ctrlProp351.xml"/><Relationship Id="rId37" Type="http://schemas.openxmlformats.org/officeDocument/2006/relationships/ctrlProp" Target="../ctrlProps/ctrlProp356.xml"/><Relationship Id="rId40" Type="http://schemas.openxmlformats.org/officeDocument/2006/relationships/ctrlProp" Target="../ctrlProps/ctrlProp359.xml"/><Relationship Id="rId45" Type="http://schemas.openxmlformats.org/officeDocument/2006/relationships/ctrlProp" Target="../ctrlProps/ctrlProp364.xml"/><Relationship Id="rId5" Type="http://schemas.openxmlformats.org/officeDocument/2006/relationships/ctrlProp" Target="../ctrlProps/ctrlProp324.xml"/><Relationship Id="rId15" Type="http://schemas.openxmlformats.org/officeDocument/2006/relationships/ctrlProp" Target="../ctrlProps/ctrlProp334.xml"/><Relationship Id="rId23" Type="http://schemas.openxmlformats.org/officeDocument/2006/relationships/ctrlProp" Target="../ctrlProps/ctrlProp342.xml"/><Relationship Id="rId28" Type="http://schemas.openxmlformats.org/officeDocument/2006/relationships/ctrlProp" Target="../ctrlProps/ctrlProp347.xml"/><Relationship Id="rId36" Type="http://schemas.openxmlformats.org/officeDocument/2006/relationships/ctrlProp" Target="../ctrlProps/ctrlProp355.xml"/><Relationship Id="rId10" Type="http://schemas.openxmlformats.org/officeDocument/2006/relationships/ctrlProp" Target="../ctrlProps/ctrlProp329.xml"/><Relationship Id="rId19" Type="http://schemas.openxmlformats.org/officeDocument/2006/relationships/ctrlProp" Target="../ctrlProps/ctrlProp338.xml"/><Relationship Id="rId31" Type="http://schemas.openxmlformats.org/officeDocument/2006/relationships/ctrlProp" Target="../ctrlProps/ctrlProp350.xml"/><Relationship Id="rId44" Type="http://schemas.openxmlformats.org/officeDocument/2006/relationships/ctrlProp" Target="../ctrlProps/ctrlProp36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28.xml"/><Relationship Id="rId14" Type="http://schemas.openxmlformats.org/officeDocument/2006/relationships/ctrlProp" Target="../ctrlProps/ctrlProp333.xml"/><Relationship Id="rId22" Type="http://schemas.openxmlformats.org/officeDocument/2006/relationships/ctrlProp" Target="../ctrlProps/ctrlProp341.xml"/><Relationship Id="rId27" Type="http://schemas.openxmlformats.org/officeDocument/2006/relationships/ctrlProp" Target="../ctrlProps/ctrlProp346.xml"/><Relationship Id="rId30" Type="http://schemas.openxmlformats.org/officeDocument/2006/relationships/ctrlProp" Target="../ctrlProps/ctrlProp349.xml"/><Relationship Id="rId35" Type="http://schemas.openxmlformats.org/officeDocument/2006/relationships/ctrlProp" Target="../ctrlProps/ctrlProp354.xml"/><Relationship Id="rId43" Type="http://schemas.openxmlformats.org/officeDocument/2006/relationships/ctrlProp" Target="../ctrlProps/ctrlProp362.xml"/><Relationship Id="rId8" Type="http://schemas.openxmlformats.org/officeDocument/2006/relationships/ctrlProp" Target="../ctrlProps/ctrlProp327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31.xml"/><Relationship Id="rId17" Type="http://schemas.openxmlformats.org/officeDocument/2006/relationships/ctrlProp" Target="../ctrlProps/ctrlProp336.xml"/><Relationship Id="rId25" Type="http://schemas.openxmlformats.org/officeDocument/2006/relationships/ctrlProp" Target="../ctrlProps/ctrlProp344.xml"/><Relationship Id="rId33" Type="http://schemas.openxmlformats.org/officeDocument/2006/relationships/ctrlProp" Target="../ctrlProps/ctrlProp352.xml"/><Relationship Id="rId38" Type="http://schemas.openxmlformats.org/officeDocument/2006/relationships/ctrlProp" Target="../ctrlProps/ctrlProp357.xml"/><Relationship Id="rId20" Type="http://schemas.openxmlformats.org/officeDocument/2006/relationships/ctrlProp" Target="../ctrlProps/ctrlProp339.xml"/><Relationship Id="rId41" Type="http://schemas.openxmlformats.org/officeDocument/2006/relationships/ctrlProp" Target="../ctrlProps/ctrlProp36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78.xml"/><Relationship Id="rId21" Type="http://schemas.openxmlformats.org/officeDocument/2006/relationships/ctrlProp" Target="../ctrlProps/ctrlProp382.xml"/><Relationship Id="rId42" Type="http://schemas.openxmlformats.org/officeDocument/2006/relationships/ctrlProp" Target="../ctrlProps/ctrlProp403.xml"/><Relationship Id="rId63" Type="http://schemas.openxmlformats.org/officeDocument/2006/relationships/ctrlProp" Target="../ctrlProps/ctrlProp424.xml"/><Relationship Id="rId84" Type="http://schemas.openxmlformats.org/officeDocument/2006/relationships/ctrlProp" Target="../ctrlProps/ctrlProp445.xml"/><Relationship Id="rId138" Type="http://schemas.openxmlformats.org/officeDocument/2006/relationships/ctrlProp" Target="../ctrlProps/ctrlProp499.xml"/><Relationship Id="rId159" Type="http://schemas.openxmlformats.org/officeDocument/2006/relationships/ctrlProp" Target="../ctrlProps/ctrlProp520.xml"/><Relationship Id="rId107" Type="http://schemas.openxmlformats.org/officeDocument/2006/relationships/ctrlProp" Target="../ctrlProps/ctrlProp468.xml"/><Relationship Id="rId11" Type="http://schemas.openxmlformats.org/officeDocument/2006/relationships/ctrlProp" Target="../ctrlProps/ctrlProp372.xml"/><Relationship Id="rId32" Type="http://schemas.openxmlformats.org/officeDocument/2006/relationships/ctrlProp" Target="../ctrlProps/ctrlProp393.xml"/><Relationship Id="rId53" Type="http://schemas.openxmlformats.org/officeDocument/2006/relationships/ctrlProp" Target="../ctrlProps/ctrlProp414.xml"/><Relationship Id="rId74" Type="http://schemas.openxmlformats.org/officeDocument/2006/relationships/ctrlProp" Target="../ctrlProps/ctrlProp435.xml"/><Relationship Id="rId128" Type="http://schemas.openxmlformats.org/officeDocument/2006/relationships/ctrlProp" Target="../ctrlProps/ctrlProp489.xml"/><Relationship Id="rId149" Type="http://schemas.openxmlformats.org/officeDocument/2006/relationships/ctrlProp" Target="../ctrlProps/ctrlProp510.xml"/><Relationship Id="rId5" Type="http://schemas.openxmlformats.org/officeDocument/2006/relationships/ctrlProp" Target="../ctrlProps/ctrlProp366.xml"/><Relationship Id="rId95" Type="http://schemas.openxmlformats.org/officeDocument/2006/relationships/ctrlProp" Target="../ctrlProps/ctrlProp456.xml"/><Relationship Id="rId160" Type="http://schemas.openxmlformats.org/officeDocument/2006/relationships/ctrlProp" Target="../ctrlProps/ctrlProp521.xml"/><Relationship Id="rId22" Type="http://schemas.openxmlformats.org/officeDocument/2006/relationships/ctrlProp" Target="../ctrlProps/ctrlProp383.xml"/><Relationship Id="rId43" Type="http://schemas.openxmlformats.org/officeDocument/2006/relationships/ctrlProp" Target="../ctrlProps/ctrlProp404.xml"/><Relationship Id="rId64" Type="http://schemas.openxmlformats.org/officeDocument/2006/relationships/ctrlProp" Target="../ctrlProps/ctrlProp425.xml"/><Relationship Id="rId118" Type="http://schemas.openxmlformats.org/officeDocument/2006/relationships/ctrlProp" Target="../ctrlProps/ctrlProp479.xml"/><Relationship Id="rId139" Type="http://schemas.openxmlformats.org/officeDocument/2006/relationships/ctrlProp" Target="../ctrlProps/ctrlProp500.xml"/><Relationship Id="rId80" Type="http://schemas.openxmlformats.org/officeDocument/2006/relationships/ctrlProp" Target="../ctrlProps/ctrlProp441.xml"/><Relationship Id="rId85" Type="http://schemas.openxmlformats.org/officeDocument/2006/relationships/ctrlProp" Target="../ctrlProps/ctrlProp446.xml"/><Relationship Id="rId150" Type="http://schemas.openxmlformats.org/officeDocument/2006/relationships/ctrlProp" Target="../ctrlProps/ctrlProp511.xml"/><Relationship Id="rId155" Type="http://schemas.openxmlformats.org/officeDocument/2006/relationships/ctrlProp" Target="../ctrlProps/ctrlProp516.xml"/><Relationship Id="rId12" Type="http://schemas.openxmlformats.org/officeDocument/2006/relationships/ctrlProp" Target="../ctrlProps/ctrlProp373.xml"/><Relationship Id="rId17" Type="http://schemas.openxmlformats.org/officeDocument/2006/relationships/ctrlProp" Target="../ctrlProps/ctrlProp378.xml"/><Relationship Id="rId33" Type="http://schemas.openxmlformats.org/officeDocument/2006/relationships/ctrlProp" Target="../ctrlProps/ctrlProp394.xml"/><Relationship Id="rId38" Type="http://schemas.openxmlformats.org/officeDocument/2006/relationships/ctrlProp" Target="../ctrlProps/ctrlProp399.xml"/><Relationship Id="rId59" Type="http://schemas.openxmlformats.org/officeDocument/2006/relationships/ctrlProp" Target="../ctrlProps/ctrlProp420.xml"/><Relationship Id="rId103" Type="http://schemas.openxmlformats.org/officeDocument/2006/relationships/ctrlProp" Target="../ctrlProps/ctrlProp464.xml"/><Relationship Id="rId108" Type="http://schemas.openxmlformats.org/officeDocument/2006/relationships/ctrlProp" Target="../ctrlProps/ctrlProp469.xml"/><Relationship Id="rId124" Type="http://schemas.openxmlformats.org/officeDocument/2006/relationships/ctrlProp" Target="../ctrlProps/ctrlProp485.xml"/><Relationship Id="rId129" Type="http://schemas.openxmlformats.org/officeDocument/2006/relationships/ctrlProp" Target="../ctrlProps/ctrlProp490.xml"/><Relationship Id="rId54" Type="http://schemas.openxmlformats.org/officeDocument/2006/relationships/ctrlProp" Target="../ctrlProps/ctrlProp415.xml"/><Relationship Id="rId70" Type="http://schemas.openxmlformats.org/officeDocument/2006/relationships/ctrlProp" Target="../ctrlProps/ctrlProp431.xml"/><Relationship Id="rId75" Type="http://schemas.openxmlformats.org/officeDocument/2006/relationships/ctrlProp" Target="../ctrlProps/ctrlProp436.xml"/><Relationship Id="rId91" Type="http://schemas.openxmlformats.org/officeDocument/2006/relationships/ctrlProp" Target="../ctrlProps/ctrlProp452.xml"/><Relationship Id="rId96" Type="http://schemas.openxmlformats.org/officeDocument/2006/relationships/ctrlProp" Target="../ctrlProps/ctrlProp457.xml"/><Relationship Id="rId140" Type="http://schemas.openxmlformats.org/officeDocument/2006/relationships/ctrlProp" Target="../ctrlProps/ctrlProp501.xml"/><Relationship Id="rId145" Type="http://schemas.openxmlformats.org/officeDocument/2006/relationships/ctrlProp" Target="../ctrlProps/ctrlProp506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67.xml"/><Relationship Id="rId23" Type="http://schemas.openxmlformats.org/officeDocument/2006/relationships/ctrlProp" Target="../ctrlProps/ctrlProp384.xml"/><Relationship Id="rId28" Type="http://schemas.openxmlformats.org/officeDocument/2006/relationships/ctrlProp" Target="../ctrlProps/ctrlProp389.xml"/><Relationship Id="rId49" Type="http://schemas.openxmlformats.org/officeDocument/2006/relationships/ctrlProp" Target="../ctrlProps/ctrlProp410.xml"/><Relationship Id="rId114" Type="http://schemas.openxmlformats.org/officeDocument/2006/relationships/ctrlProp" Target="../ctrlProps/ctrlProp475.xml"/><Relationship Id="rId119" Type="http://schemas.openxmlformats.org/officeDocument/2006/relationships/ctrlProp" Target="../ctrlProps/ctrlProp480.xml"/><Relationship Id="rId44" Type="http://schemas.openxmlformats.org/officeDocument/2006/relationships/ctrlProp" Target="../ctrlProps/ctrlProp405.xml"/><Relationship Id="rId60" Type="http://schemas.openxmlformats.org/officeDocument/2006/relationships/ctrlProp" Target="../ctrlProps/ctrlProp421.xml"/><Relationship Id="rId65" Type="http://schemas.openxmlformats.org/officeDocument/2006/relationships/ctrlProp" Target="../ctrlProps/ctrlProp426.xml"/><Relationship Id="rId81" Type="http://schemas.openxmlformats.org/officeDocument/2006/relationships/ctrlProp" Target="../ctrlProps/ctrlProp442.xml"/><Relationship Id="rId86" Type="http://schemas.openxmlformats.org/officeDocument/2006/relationships/ctrlProp" Target="../ctrlProps/ctrlProp447.xml"/><Relationship Id="rId130" Type="http://schemas.openxmlformats.org/officeDocument/2006/relationships/ctrlProp" Target="../ctrlProps/ctrlProp491.xml"/><Relationship Id="rId135" Type="http://schemas.openxmlformats.org/officeDocument/2006/relationships/ctrlProp" Target="../ctrlProps/ctrlProp496.xml"/><Relationship Id="rId151" Type="http://schemas.openxmlformats.org/officeDocument/2006/relationships/ctrlProp" Target="../ctrlProps/ctrlProp512.xml"/><Relationship Id="rId156" Type="http://schemas.openxmlformats.org/officeDocument/2006/relationships/ctrlProp" Target="../ctrlProps/ctrlProp517.xml"/><Relationship Id="rId13" Type="http://schemas.openxmlformats.org/officeDocument/2006/relationships/ctrlProp" Target="../ctrlProps/ctrlProp374.xml"/><Relationship Id="rId18" Type="http://schemas.openxmlformats.org/officeDocument/2006/relationships/ctrlProp" Target="../ctrlProps/ctrlProp379.xml"/><Relationship Id="rId39" Type="http://schemas.openxmlformats.org/officeDocument/2006/relationships/ctrlProp" Target="../ctrlProps/ctrlProp400.xml"/><Relationship Id="rId109" Type="http://schemas.openxmlformats.org/officeDocument/2006/relationships/ctrlProp" Target="../ctrlProps/ctrlProp470.xml"/><Relationship Id="rId34" Type="http://schemas.openxmlformats.org/officeDocument/2006/relationships/ctrlProp" Target="../ctrlProps/ctrlProp395.xml"/><Relationship Id="rId50" Type="http://schemas.openxmlformats.org/officeDocument/2006/relationships/ctrlProp" Target="../ctrlProps/ctrlProp411.xml"/><Relationship Id="rId55" Type="http://schemas.openxmlformats.org/officeDocument/2006/relationships/ctrlProp" Target="../ctrlProps/ctrlProp416.xml"/><Relationship Id="rId76" Type="http://schemas.openxmlformats.org/officeDocument/2006/relationships/ctrlProp" Target="../ctrlProps/ctrlProp437.xml"/><Relationship Id="rId97" Type="http://schemas.openxmlformats.org/officeDocument/2006/relationships/ctrlProp" Target="../ctrlProps/ctrlProp458.xml"/><Relationship Id="rId104" Type="http://schemas.openxmlformats.org/officeDocument/2006/relationships/ctrlProp" Target="../ctrlProps/ctrlProp465.xml"/><Relationship Id="rId120" Type="http://schemas.openxmlformats.org/officeDocument/2006/relationships/ctrlProp" Target="../ctrlProps/ctrlProp481.xml"/><Relationship Id="rId125" Type="http://schemas.openxmlformats.org/officeDocument/2006/relationships/ctrlProp" Target="../ctrlProps/ctrlProp486.xml"/><Relationship Id="rId141" Type="http://schemas.openxmlformats.org/officeDocument/2006/relationships/ctrlProp" Target="../ctrlProps/ctrlProp502.xml"/><Relationship Id="rId146" Type="http://schemas.openxmlformats.org/officeDocument/2006/relationships/ctrlProp" Target="../ctrlProps/ctrlProp507.xml"/><Relationship Id="rId7" Type="http://schemas.openxmlformats.org/officeDocument/2006/relationships/ctrlProp" Target="../ctrlProps/ctrlProp368.xml"/><Relationship Id="rId71" Type="http://schemas.openxmlformats.org/officeDocument/2006/relationships/ctrlProp" Target="../ctrlProps/ctrlProp432.xml"/><Relationship Id="rId92" Type="http://schemas.openxmlformats.org/officeDocument/2006/relationships/ctrlProp" Target="../ctrlProps/ctrlProp45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90.xml"/><Relationship Id="rId24" Type="http://schemas.openxmlformats.org/officeDocument/2006/relationships/ctrlProp" Target="../ctrlProps/ctrlProp385.xml"/><Relationship Id="rId40" Type="http://schemas.openxmlformats.org/officeDocument/2006/relationships/ctrlProp" Target="../ctrlProps/ctrlProp401.xml"/><Relationship Id="rId45" Type="http://schemas.openxmlformats.org/officeDocument/2006/relationships/ctrlProp" Target="../ctrlProps/ctrlProp406.xml"/><Relationship Id="rId66" Type="http://schemas.openxmlformats.org/officeDocument/2006/relationships/ctrlProp" Target="../ctrlProps/ctrlProp427.xml"/><Relationship Id="rId87" Type="http://schemas.openxmlformats.org/officeDocument/2006/relationships/ctrlProp" Target="../ctrlProps/ctrlProp448.xml"/><Relationship Id="rId110" Type="http://schemas.openxmlformats.org/officeDocument/2006/relationships/ctrlProp" Target="../ctrlProps/ctrlProp471.xml"/><Relationship Id="rId115" Type="http://schemas.openxmlformats.org/officeDocument/2006/relationships/ctrlProp" Target="../ctrlProps/ctrlProp476.xml"/><Relationship Id="rId131" Type="http://schemas.openxmlformats.org/officeDocument/2006/relationships/ctrlProp" Target="../ctrlProps/ctrlProp492.xml"/><Relationship Id="rId136" Type="http://schemas.openxmlformats.org/officeDocument/2006/relationships/ctrlProp" Target="../ctrlProps/ctrlProp497.xml"/><Relationship Id="rId157" Type="http://schemas.openxmlformats.org/officeDocument/2006/relationships/ctrlProp" Target="../ctrlProps/ctrlProp518.xml"/><Relationship Id="rId61" Type="http://schemas.openxmlformats.org/officeDocument/2006/relationships/ctrlProp" Target="../ctrlProps/ctrlProp422.xml"/><Relationship Id="rId82" Type="http://schemas.openxmlformats.org/officeDocument/2006/relationships/ctrlProp" Target="../ctrlProps/ctrlProp443.xml"/><Relationship Id="rId152" Type="http://schemas.openxmlformats.org/officeDocument/2006/relationships/ctrlProp" Target="../ctrlProps/ctrlProp513.xml"/><Relationship Id="rId19" Type="http://schemas.openxmlformats.org/officeDocument/2006/relationships/ctrlProp" Target="../ctrlProps/ctrlProp380.xml"/><Relationship Id="rId14" Type="http://schemas.openxmlformats.org/officeDocument/2006/relationships/ctrlProp" Target="../ctrlProps/ctrlProp375.xml"/><Relationship Id="rId30" Type="http://schemas.openxmlformats.org/officeDocument/2006/relationships/ctrlProp" Target="../ctrlProps/ctrlProp391.xml"/><Relationship Id="rId35" Type="http://schemas.openxmlformats.org/officeDocument/2006/relationships/ctrlProp" Target="../ctrlProps/ctrlProp396.xml"/><Relationship Id="rId56" Type="http://schemas.openxmlformats.org/officeDocument/2006/relationships/ctrlProp" Target="../ctrlProps/ctrlProp417.xml"/><Relationship Id="rId77" Type="http://schemas.openxmlformats.org/officeDocument/2006/relationships/ctrlProp" Target="../ctrlProps/ctrlProp438.xml"/><Relationship Id="rId100" Type="http://schemas.openxmlformats.org/officeDocument/2006/relationships/ctrlProp" Target="../ctrlProps/ctrlProp461.xml"/><Relationship Id="rId105" Type="http://schemas.openxmlformats.org/officeDocument/2006/relationships/ctrlProp" Target="../ctrlProps/ctrlProp466.xml"/><Relationship Id="rId126" Type="http://schemas.openxmlformats.org/officeDocument/2006/relationships/ctrlProp" Target="../ctrlProps/ctrlProp487.xml"/><Relationship Id="rId147" Type="http://schemas.openxmlformats.org/officeDocument/2006/relationships/ctrlProp" Target="../ctrlProps/ctrlProp508.xml"/><Relationship Id="rId8" Type="http://schemas.openxmlformats.org/officeDocument/2006/relationships/ctrlProp" Target="../ctrlProps/ctrlProp369.xml"/><Relationship Id="rId51" Type="http://schemas.openxmlformats.org/officeDocument/2006/relationships/ctrlProp" Target="../ctrlProps/ctrlProp412.xml"/><Relationship Id="rId72" Type="http://schemas.openxmlformats.org/officeDocument/2006/relationships/ctrlProp" Target="../ctrlProps/ctrlProp433.xml"/><Relationship Id="rId93" Type="http://schemas.openxmlformats.org/officeDocument/2006/relationships/ctrlProp" Target="../ctrlProps/ctrlProp454.xml"/><Relationship Id="rId98" Type="http://schemas.openxmlformats.org/officeDocument/2006/relationships/ctrlProp" Target="../ctrlProps/ctrlProp459.xml"/><Relationship Id="rId121" Type="http://schemas.openxmlformats.org/officeDocument/2006/relationships/ctrlProp" Target="../ctrlProps/ctrlProp482.xml"/><Relationship Id="rId142" Type="http://schemas.openxmlformats.org/officeDocument/2006/relationships/ctrlProp" Target="../ctrlProps/ctrlProp50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86.xml"/><Relationship Id="rId46" Type="http://schemas.openxmlformats.org/officeDocument/2006/relationships/ctrlProp" Target="../ctrlProps/ctrlProp407.xml"/><Relationship Id="rId67" Type="http://schemas.openxmlformats.org/officeDocument/2006/relationships/ctrlProp" Target="../ctrlProps/ctrlProp428.xml"/><Relationship Id="rId116" Type="http://schemas.openxmlformats.org/officeDocument/2006/relationships/ctrlProp" Target="../ctrlProps/ctrlProp477.xml"/><Relationship Id="rId137" Type="http://schemas.openxmlformats.org/officeDocument/2006/relationships/ctrlProp" Target="../ctrlProps/ctrlProp498.xml"/><Relationship Id="rId158" Type="http://schemas.openxmlformats.org/officeDocument/2006/relationships/ctrlProp" Target="../ctrlProps/ctrlProp519.xml"/><Relationship Id="rId20" Type="http://schemas.openxmlformats.org/officeDocument/2006/relationships/ctrlProp" Target="../ctrlProps/ctrlProp381.xml"/><Relationship Id="rId41" Type="http://schemas.openxmlformats.org/officeDocument/2006/relationships/ctrlProp" Target="../ctrlProps/ctrlProp402.xml"/><Relationship Id="rId62" Type="http://schemas.openxmlformats.org/officeDocument/2006/relationships/ctrlProp" Target="../ctrlProps/ctrlProp423.xml"/><Relationship Id="rId83" Type="http://schemas.openxmlformats.org/officeDocument/2006/relationships/ctrlProp" Target="../ctrlProps/ctrlProp444.xml"/><Relationship Id="rId88" Type="http://schemas.openxmlformats.org/officeDocument/2006/relationships/ctrlProp" Target="../ctrlProps/ctrlProp449.xml"/><Relationship Id="rId111" Type="http://schemas.openxmlformats.org/officeDocument/2006/relationships/ctrlProp" Target="../ctrlProps/ctrlProp472.xml"/><Relationship Id="rId132" Type="http://schemas.openxmlformats.org/officeDocument/2006/relationships/ctrlProp" Target="../ctrlProps/ctrlProp493.xml"/><Relationship Id="rId153" Type="http://schemas.openxmlformats.org/officeDocument/2006/relationships/ctrlProp" Target="../ctrlProps/ctrlProp514.xml"/><Relationship Id="rId15" Type="http://schemas.openxmlformats.org/officeDocument/2006/relationships/ctrlProp" Target="../ctrlProps/ctrlProp376.xml"/><Relationship Id="rId36" Type="http://schemas.openxmlformats.org/officeDocument/2006/relationships/ctrlProp" Target="../ctrlProps/ctrlProp397.xml"/><Relationship Id="rId57" Type="http://schemas.openxmlformats.org/officeDocument/2006/relationships/ctrlProp" Target="../ctrlProps/ctrlProp418.xml"/><Relationship Id="rId106" Type="http://schemas.openxmlformats.org/officeDocument/2006/relationships/ctrlProp" Target="../ctrlProps/ctrlProp467.xml"/><Relationship Id="rId127" Type="http://schemas.openxmlformats.org/officeDocument/2006/relationships/ctrlProp" Target="../ctrlProps/ctrlProp488.xml"/><Relationship Id="rId10" Type="http://schemas.openxmlformats.org/officeDocument/2006/relationships/ctrlProp" Target="../ctrlProps/ctrlProp371.xml"/><Relationship Id="rId31" Type="http://schemas.openxmlformats.org/officeDocument/2006/relationships/ctrlProp" Target="../ctrlProps/ctrlProp392.xml"/><Relationship Id="rId52" Type="http://schemas.openxmlformats.org/officeDocument/2006/relationships/ctrlProp" Target="../ctrlProps/ctrlProp413.xml"/><Relationship Id="rId73" Type="http://schemas.openxmlformats.org/officeDocument/2006/relationships/ctrlProp" Target="../ctrlProps/ctrlProp434.xml"/><Relationship Id="rId78" Type="http://schemas.openxmlformats.org/officeDocument/2006/relationships/ctrlProp" Target="../ctrlProps/ctrlProp439.xml"/><Relationship Id="rId94" Type="http://schemas.openxmlformats.org/officeDocument/2006/relationships/ctrlProp" Target="../ctrlProps/ctrlProp455.xml"/><Relationship Id="rId99" Type="http://schemas.openxmlformats.org/officeDocument/2006/relationships/ctrlProp" Target="../ctrlProps/ctrlProp460.xml"/><Relationship Id="rId101" Type="http://schemas.openxmlformats.org/officeDocument/2006/relationships/ctrlProp" Target="../ctrlProps/ctrlProp462.xml"/><Relationship Id="rId122" Type="http://schemas.openxmlformats.org/officeDocument/2006/relationships/ctrlProp" Target="../ctrlProps/ctrlProp483.xml"/><Relationship Id="rId143" Type="http://schemas.openxmlformats.org/officeDocument/2006/relationships/ctrlProp" Target="../ctrlProps/ctrlProp504.xml"/><Relationship Id="rId148" Type="http://schemas.openxmlformats.org/officeDocument/2006/relationships/ctrlProp" Target="../ctrlProps/ctrlProp509.xml"/><Relationship Id="rId4" Type="http://schemas.openxmlformats.org/officeDocument/2006/relationships/ctrlProp" Target="../ctrlProps/ctrlProp365.xml"/><Relationship Id="rId9" Type="http://schemas.openxmlformats.org/officeDocument/2006/relationships/ctrlProp" Target="../ctrlProps/ctrlProp370.xml"/><Relationship Id="rId26" Type="http://schemas.openxmlformats.org/officeDocument/2006/relationships/ctrlProp" Target="../ctrlProps/ctrlProp387.xml"/><Relationship Id="rId47" Type="http://schemas.openxmlformats.org/officeDocument/2006/relationships/ctrlProp" Target="../ctrlProps/ctrlProp408.xml"/><Relationship Id="rId68" Type="http://schemas.openxmlformats.org/officeDocument/2006/relationships/ctrlProp" Target="../ctrlProps/ctrlProp429.xml"/><Relationship Id="rId89" Type="http://schemas.openxmlformats.org/officeDocument/2006/relationships/ctrlProp" Target="../ctrlProps/ctrlProp450.xml"/><Relationship Id="rId112" Type="http://schemas.openxmlformats.org/officeDocument/2006/relationships/ctrlProp" Target="../ctrlProps/ctrlProp473.xml"/><Relationship Id="rId133" Type="http://schemas.openxmlformats.org/officeDocument/2006/relationships/ctrlProp" Target="../ctrlProps/ctrlProp494.xml"/><Relationship Id="rId154" Type="http://schemas.openxmlformats.org/officeDocument/2006/relationships/ctrlProp" Target="../ctrlProps/ctrlProp515.xml"/><Relationship Id="rId16" Type="http://schemas.openxmlformats.org/officeDocument/2006/relationships/ctrlProp" Target="../ctrlProps/ctrlProp377.xml"/><Relationship Id="rId37" Type="http://schemas.openxmlformats.org/officeDocument/2006/relationships/ctrlProp" Target="../ctrlProps/ctrlProp398.xml"/><Relationship Id="rId58" Type="http://schemas.openxmlformats.org/officeDocument/2006/relationships/ctrlProp" Target="../ctrlProps/ctrlProp419.xml"/><Relationship Id="rId79" Type="http://schemas.openxmlformats.org/officeDocument/2006/relationships/ctrlProp" Target="../ctrlProps/ctrlProp440.xml"/><Relationship Id="rId102" Type="http://schemas.openxmlformats.org/officeDocument/2006/relationships/ctrlProp" Target="../ctrlProps/ctrlProp463.xml"/><Relationship Id="rId123" Type="http://schemas.openxmlformats.org/officeDocument/2006/relationships/ctrlProp" Target="../ctrlProps/ctrlProp484.xml"/><Relationship Id="rId144" Type="http://schemas.openxmlformats.org/officeDocument/2006/relationships/ctrlProp" Target="../ctrlProps/ctrlProp505.xml"/><Relationship Id="rId90" Type="http://schemas.openxmlformats.org/officeDocument/2006/relationships/ctrlProp" Target="../ctrlProps/ctrlProp451.xml"/><Relationship Id="rId27" Type="http://schemas.openxmlformats.org/officeDocument/2006/relationships/ctrlProp" Target="../ctrlProps/ctrlProp388.xml"/><Relationship Id="rId48" Type="http://schemas.openxmlformats.org/officeDocument/2006/relationships/ctrlProp" Target="../ctrlProps/ctrlProp409.xml"/><Relationship Id="rId69" Type="http://schemas.openxmlformats.org/officeDocument/2006/relationships/ctrlProp" Target="../ctrlProps/ctrlProp430.xml"/><Relationship Id="rId113" Type="http://schemas.openxmlformats.org/officeDocument/2006/relationships/ctrlProp" Target="../ctrlProps/ctrlProp474.xml"/><Relationship Id="rId134" Type="http://schemas.openxmlformats.org/officeDocument/2006/relationships/ctrlProp" Target="../ctrlProps/ctrlProp495.xml"/></Relationships>
</file>

<file path=xl/worksheets/_rels/sheet2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4.xml"/><Relationship Id="rId21" Type="http://schemas.openxmlformats.org/officeDocument/2006/relationships/ctrlProp" Target="../ctrlProps/ctrlProp539.xml"/><Relationship Id="rId42" Type="http://schemas.openxmlformats.org/officeDocument/2006/relationships/ctrlProp" Target="../ctrlProps/ctrlProp560.xml"/><Relationship Id="rId47" Type="http://schemas.openxmlformats.org/officeDocument/2006/relationships/ctrlProp" Target="../ctrlProps/ctrlProp565.xml"/><Relationship Id="rId63" Type="http://schemas.openxmlformats.org/officeDocument/2006/relationships/ctrlProp" Target="../ctrlProps/ctrlProp581.xml"/><Relationship Id="rId68" Type="http://schemas.openxmlformats.org/officeDocument/2006/relationships/ctrlProp" Target="../ctrlProps/ctrlProp586.xml"/><Relationship Id="rId7" Type="http://schemas.openxmlformats.org/officeDocument/2006/relationships/ctrlProp" Target="../ctrlProps/ctrlProp52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34.xml"/><Relationship Id="rId29" Type="http://schemas.openxmlformats.org/officeDocument/2006/relationships/ctrlProp" Target="../ctrlProps/ctrlProp547.xml"/><Relationship Id="rId11" Type="http://schemas.openxmlformats.org/officeDocument/2006/relationships/ctrlProp" Target="../ctrlProps/ctrlProp529.xml"/><Relationship Id="rId24" Type="http://schemas.openxmlformats.org/officeDocument/2006/relationships/ctrlProp" Target="../ctrlProps/ctrlProp542.xml"/><Relationship Id="rId32" Type="http://schemas.openxmlformats.org/officeDocument/2006/relationships/ctrlProp" Target="../ctrlProps/ctrlProp550.xml"/><Relationship Id="rId37" Type="http://schemas.openxmlformats.org/officeDocument/2006/relationships/ctrlProp" Target="../ctrlProps/ctrlProp555.xml"/><Relationship Id="rId40" Type="http://schemas.openxmlformats.org/officeDocument/2006/relationships/ctrlProp" Target="../ctrlProps/ctrlProp558.xml"/><Relationship Id="rId45" Type="http://schemas.openxmlformats.org/officeDocument/2006/relationships/ctrlProp" Target="../ctrlProps/ctrlProp563.xml"/><Relationship Id="rId53" Type="http://schemas.openxmlformats.org/officeDocument/2006/relationships/ctrlProp" Target="../ctrlProps/ctrlProp571.xml"/><Relationship Id="rId58" Type="http://schemas.openxmlformats.org/officeDocument/2006/relationships/ctrlProp" Target="../ctrlProps/ctrlProp576.xml"/><Relationship Id="rId66" Type="http://schemas.openxmlformats.org/officeDocument/2006/relationships/ctrlProp" Target="../ctrlProps/ctrlProp584.xml"/><Relationship Id="rId5" Type="http://schemas.openxmlformats.org/officeDocument/2006/relationships/ctrlProp" Target="../ctrlProps/ctrlProp523.xml"/><Relationship Id="rId61" Type="http://schemas.openxmlformats.org/officeDocument/2006/relationships/ctrlProp" Target="../ctrlProps/ctrlProp579.xml"/><Relationship Id="rId19" Type="http://schemas.openxmlformats.org/officeDocument/2006/relationships/ctrlProp" Target="../ctrlProps/ctrlProp537.xml"/><Relationship Id="rId14" Type="http://schemas.openxmlformats.org/officeDocument/2006/relationships/ctrlProp" Target="../ctrlProps/ctrlProp532.xml"/><Relationship Id="rId22" Type="http://schemas.openxmlformats.org/officeDocument/2006/relationships/ctrlProp" Target="../ctrlProps/ctrlProp540.xml"/><Relationship Id="rId27" Type="http://schemas.openxmlformats.org/officeDocument/2006/relationships/ctrlProp" Target="../ctrlProps/ctrlProp545.xml"/><Relationship Id="rId30" Type="http://schemas.openxmlformats.org/officeDocument/2006/relationships/ctrlProp" Target="../ctrlProps/ctrlProp548.xml"/><Relationship Id="rId35" Type="http://schemas.openxmlformats.org/officeDocument/2006/relationships/ctrlProp" Target="../ctrlProps/ctrlProp553.xml"/><Relationship Id="rId43" Type="http://schemas.openxmlformats.org/officeDocument/2006/relationships/ctrlProp" Target="../ctrlProps/ctrlProp561.xml"/><Relationship Id="rId48" Type="http://schemas.openxmlformats.org/officeDocument/2006/relationships/ctrlProp" Target="../ctrlProps/ctrlProp566.xml"/><Relationship Id="rId56" Type="http://schemas.openxmlformats.org/officeDocument/2006/relationships/ctrlProp" Target="../ctrlProps/ctrlProp574.xml"/><Relationship Id="rId64" Type="http://schemas.openxmlformats.org/officeDocument/2006/relationships/ctrlProp" Target="../ctrlProps/ctrlProp582.xml"/><Relationship Id="rId69" Type="http://schemas.openxmlformats.org/officeDocument/2006/relationships/ctrlProp" Target="../ctrlProps/ctrlProp587.xml"/><Relationship Id="rId8" Type="http://schemas.openxmlformats.org/officeDocument/2006/relationships/ctrlProp" Target="../ctrlProps/ctrlProp526.xml"/><Relationship Id="rId51" Type="http://schemas.openxmlformats.org/officeDocument/2006/relationships/ctrlProp" Target="../ctrlProps/ctrlProp569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30.xml"/><Relationship Id="rId17" Type="http://schemas.openxmlformats.org/officeDocument/2006/relationships/ctrlProp" Target="../ctrlProps/ctrlProp535.xml"/><Relationship Id="rId25" Type="http://schemas.openxmlformats.org/officeDocument/2006/relationships/ctrlProp" Target="../ctrlProps/ctrlProp543.xml"/><Relationship Id="rId33" Type="http://schemas.openxmlformats.org/officeDocument/2006/relationships/ctrlProp" Target="../ctrlProps/ctrlProp551.xml"/><Relationship Id="rId38" Type="http://schemas.openxmlformats.org/officeDocument/2006/relationships/ctrlProp" Target="../ctrlProps/ctrlProp556.xml"/><Relationship Id="rId46" Type="http://schemas.openxmlformats.org/officeDocument/2006/relationships/ctrlProp" Target="../ctrlProps/ctrlProp564.xml"/><Relationship Id="rId59" Type="http://schemas.openxmlformats.org/officeDocument/2006/relationships/ctrlProp" Target="../ctrlProps/ctrlProp577.xml"/><Relationship Id="rId67" Type="http://schemas.openxmlformats.org/officeDocument/2006/relationships/ctrlProp" Target="../ctrlProps/ctrlProp585.xml"/><Relationship Id="rId20" Type="http://schemas.openxmlformats.org/officeDocument/2006/relationships/ctrlProp" Target="../ctrlProps/ctrlProp538.xml"/><Relationship Id="rId41" Type="http://schemas.openxmlformats.org/officeDocument/2006/relationships/ctrlProp" Target="../ctrlProps/ctrlProp559.xml"/><Relationship Id="rId54" Type="http://schemas.openxmlformats.org/officeDocument/2006/relationships/ctrlProp" Target="../ctrlProps/ctrlProp572.xml"/><Relationship Id="rId62" Type="http://schemas.openxmlformats.org/officeDocument/2006/relationships/ctrlProp" Target="../ctrlProps/ctrlProp580.xml"/><Relationship Id="rId70" Type="http://schemas.openxmlformats.org/officeDocument/2006/relationships/ctrlProp" Target="../ctrlProps/ctrlProp58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24.xml"/><Relationship Id="rId15" Type="http://schemas.openxmlformats.org/officeDocument/2006/relationships/ctrlProp" Target="../ctrlProps/ctrlProp533.xml"/><Relationship Id="rId23" Type="http://schemas.openxmlformats.org/officeDocument/2006/relationships/ctrlProp" Target="../ctrlProps/ctrlProp541.xml"/><Relationship Id="rId28" Type="http://schemas.openxmlformats.org/officeDocument/2006/relationships/ctrlProp" Target="../ctrlProps/ctrlProp546.xml"/><Relationship Id="rId36" Type="http://schemas.openxmlformats.org/officeDocument/2006/relationships/ctrlProp" Target="../ctrlProps/ctrlProp554.xml"/><Relationship Id="rId49" Type="http://schemas.openxmlformats.org/officeDocument/2006/relationships/ctrlProp" Target="../ctrlProps/ctrlProp567.xml"/><Relationship Id="rId57" Type="http://schemas.openxmlformats.org/officeDocument/2006/relationships/ctrlProp" Target="../ctrlProps/ctrlProp575.xml"/><Relationship Id="rId10" Type="http://schemas.openxmlformats.org/officeDocument/2006/relationships/ctrlProp" Target="../ctrlProps/ctrlProp528.xml"/><Relationship Id="rId31" Type="http://schemas.openxmlformats.org/officeDocument/2006/relationships/ctrlProp" Target="../ctrlProps/ctrlProp549.xml"/><Relationship Id="rId44" Type="http://schemas.openxmlformats.org/officeDocument/2006/relationships/ctrlProp" Target="../ctrlProps/ctrlProp562.xml"/><Relationship Id="rId52" Type="http://schemas.openxmlformats.org/officeDocument/2006/relationships/ctrlProp" Target="../ctrlProps/ctrlProp570.xml"/><Relationship Id="rId60" Type="http://schemas.openxmlformats.org/officeDocument/2006/relationships/ctrlProp" Target="../ctrlProps/ctrlProp578.xml"/><Relationship Id="rId65" Type="http://schemas.openxmlformats.org/officeDocument/2006/relationships/ctrlProp" Target="../ctrlProps/ctrlProp583.xml"/><Relationship Id="rId4" Type="http://schemas.openxmlformats.org/officeDocument/2006/relationships/ctrlProp" Target="../ctrlProps/ctrlProp522.xml"/><Relationship Id="rId9" Type="http://schemas.openxmlformats.org/officeDocument/2006/relationships/ctrlProp" Target="../ctrlProps/ctrlProp527.xml"/><Relationship Id="rId13" Type="http://schemas.openxmlformats.org/officeDocument/2006/relationships/ctrlProp" Target="../ctrlProps/ctrlProp531.xml"/><Relationship Id="rId18" Type="http://schemas.openxmlformats.org/officeDocument/2006/relationships/ctrlProp" Target="../ctrlProps/ctrlProp536.xml"/><Relationship Id="rId39" Type="http://schemas.openxmlformats.org/officeDocument/2006/relationships/ctrlProp" Target="../ctrlProps/ctrlProp557.xml"/><Relationship Id="rId34" Type="http://schemas.openxmlformats.org/officeDocument/2006/relationships/ctrlProp" Target="../ctrlProps/ctrlProp552.xml"/><Relationship Id="rId50" Type="http://schemas.openxmlformats.org/officeDocument/2006/relationships/ctrlProp" Target="../ctrlProps/ctrlProp568.xml"/><Relationship Id="rId55" Type="http://schemas.openxmlformats.org/officeDocument/2006/relationships/ctrlProp" Target="../ctrlProps/ctrlProp57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02.xml"/><Relationship Id="rId21" Type="http://schemas.openxmlformats.org/officeDocument/2006/relationships/ctrlProp" Target="../ctrlProps/ctrlProp606.xml"/><Relationship Id="rId42" Type="http://schemas.openxmlformats.org/officeDocument/2006/relationships/ctrlProp" Target="../ctrlProps/ctrlProp627.xml"/><Relationship Id="rId47" Type="http://schemas.openxmlformats.org/officeDocument/2006/relationships/ctrlProp" Target="../ctrlProps/ctrlProp632.xml"/><Relationship Id="rId63" Type="http://schemas.openxmlformats.org/officeDocument/2006/relationships/ctrlProp" Target="../ctrlProps/ctrlProp648.xml"/><Relationship Id="rId68" Type="http://schemas.openxmlformats.org/officeDocument/2006/relationships/ctrlProp" Target="../ctrlProps/ctrlProp653.xml"/><Relationship Id="rId84" Type="http://schemas.openxmlformats.org/officeDocument/2006/relationships/ctrlProp" Target="../ctrlProps/ctrlProp669.xml"/><Relationship Id="rId89" Type="http://schemas.openxmlformats.org/officeDocument/2006/relationships/ctrlProp" Target="../ctrlProps/ctrlProp674.xml"/><Relationship Id="rId112" Type="http://schemas.openxmlformats.org/officeDocument/2006/relationships/ctrlProp" Target="../ctrlProps/ctrlProp697.xml"/><Relationship Id="rId16" Type="http://schemas.openxmlformats.org/officeDocument/2006/relationships/ctrlProp" Target="../ctrlProps/ctrlProp601.xml"/><Relationship Id="rId107" Type="http://schemas.openxmlformats.org/officeDocument/2006/relationships/ctrlProp" Target="../ctrlProps/ctrlProp692.xml"/><Relationship Id="rId11" Type="http://schemas.openxmlformats.org/officeDocument/2006/relationships/ctrlProp" Target="../ctrlProps/ctrlProp596.xml"/><Relationship Id="rId32" Type="http://schemas.openxmlformats.org/officeDocument/2006/relationships/ctrlProp" Target="../ctrlProps/ctrlProp617.xml"/><Relationship Id="rId37" Type="http://schemas.openxmlformats.org/officeDocument/2006/relationships/ctrlProp" Target="../ctrlProps/ctrlProp622.xml"/><Relationship Id="rId53" Type="http://schemas.openxmlformats.org/officeDocument/2006/relationships/ctrlProp" Target="../ctrlProps/ctrlProp638.xml"/><Relationship Id="rId58" Type="http://schemas.openxmlformats.org/officeDocument/2006/relationships/ctrlProp" Target="../ctrlProps/ctrlProp643.xml"/><Relationship Id="rId74" Type="http://schemas.openxmlformats.org/officeDocument/2006/relationships/ctrlProp" Target="../ctrlProps/ctrlProp659.xml"/><Relationship Id="rId79" Type="http://schemas.openxmlformats.org/officeDocument/2006/relationships/ctrlProp" Target="../ctrlProps/ctrlProp664.xml"/><Relationship Id="rId102" Type="http://schemas.openxmlformats.org/officeDocument/2006/relationships/ctrlProp" Target="../ctrlProps/ctrlProp687.xml"/><Relationship Id="rId123" Type="http://schemas.openxmlformats.org/officeDocument/2006/relationships/ctrlProp" Target="../ctrlProps/ctrlProp708.xml"/><Relationship Id="rId128" Type="http://schemas.openxmlformats.org/officeDocument/2006/relationships/ctrlProp" Target="../ctrlProps/ctrlProp713.xml"/><Relationship Id="rId5" Type="http://schemas.openxmlformats.org/officeDocument/2006/relationships/ctrlProp" Target="../ctrlProps/ctrlProp590.xml"/><Relationship Id="rId90" Type="http://schemas.openxmlformats.org/officeDocument/2006/relationships/ctrlProp" Target="../ctrlProps/ctrlProp675.xml"/><Relationship Id="rId95" Type="http://schemas.openxmlformats.org/officeDocument/2006/relationships/ctrlProp" Target="../ctrlProps/ctrlProp680.xml"/><Relationship Id="rId22" Type="http://schemas.openxmlformats.org/officeDocument/2006/relationships/ctrlProp" Target="../ctrlProps/ctrlProp607.xml"/><Relationship Id="rId27" Type="http://schemas.openxmlformats.org/officeDocument/2006/relationships/ctrlProp" Target="../ctrlProps/ctrlProp612.xml"/><Relationship Id="rId43" Type="http://schemas.openxmlformats.org/officeDocument/2006/relationships/ctrlProp" Target="../ctrlProps/ctrlProp628.xml"/><Relationship Id="rId48" Type="http://schemas.openxmlformats.org/officeDocument/2006/relationships/ctrlProp" Target="../ctrlProps/ctrlProp633.xml"/><Relationship Id="rId64" Type="http://schemas.openxmlformats.org/officeDocument/2006/relationships/ctrlProp" Target="../ctrlProps/ctrlProp649.xml"/><Relationship Id="rId69" Type="http://schemas.openxmlformats.org/officeDocument/2006/relationships/ctrlProp" Target="../ctrlProps/ctrlProp654.xml"/><Relationship Id="rId113" Type="http://schemas.openxmlformats.org/officeDocument/2006/relationships/ctrlProp" Target="../ctrlProps/ctrlProp698.xml"/><Relationship Id="rId118" Type="http://schemas.openxmlformats.org/officeDocument/2006/relationships/ctrlProp" Target="../ctrlProps/ctrlProp703.xml"/><Relationship Id="rId80" Type="http://schemas.openxmlformats.org/officeDocument/2006/relationships/ctrlProp" Target="../ctrlProps/ctrlProp665.xml"/><Relationship Id="rId85" Type="http://schemas.openxmlformats.org/officeDocument/2006/relationships/ctrlProp" Target="../ctrlProps/ctrlProp670.xml"/><Relationship Id="rId12" Type="http://schemas.openxmlformats.org/officeDocument/2006/relationships/ctrlProp" Target="../ctrlProps/ctrlProp597.xml"/><Relationship Id="rId17" Type="http://schemas.openxmlformats.org/officeDocument/2006/relationships/ctrlProp" Target="../ctrlProps/ctrlProp602.xml"/><Relationship Id="rId33" Type="http://schemas.openxmlformats.org/officeDocument/2006/relationships/ctrlProp" Target="../ctrlProps/ctrlProp618.xml"/><Relationship Id="rId38" Type="http://schemas.openxmlformats.org/officeDocument/2006/relationships/ctrlProp" Target="../ctrlProps/ctrlProp623.xml"/><Relationship Id="rId59" Type="http://schemas.openxmlformats.org/officeDocument/2006/relationships/ctrlProp" Target="../ctrlProps/ctrlProp644.xml"/><Relationship Id="rId103" Type="http://schemas.openxmlformats.org/officeDocument/2006/relationships/ctrlProp" Target="../ctrlProps/ctrlProp688.xml"/><Relationship Id="rId108" Type="http://schemas.openxmlformats.org/officeDocument/2006/relationships/ctrlProp" Target="../ctrlProps/ctrlProp693.xml"/><Relationship Id="rId124" Type="http://schemas.openxmlformats.org/officeDocument/2006/relationships/ctrlProp" Target="../ctrlProps/ctrlProp709.xml"/><Relationship Id="rId129" Type="http://schemas.openxmlformats.org/officeDocument/2006/relationships/ctrlProp" Target="../ctrlProps/ctrlProp714.xml"/><Relationship Id="rId54" Type="http://schemas.openxmlformats.org/officeDocument/2006/relationships/ctrlProp" Target="../ctrlProps/ctrlProp639.xml"/><Relationship Id="rId70" Type="http://schemas.openxmlformats.org/officeDocument/2006/relationships/ctrlProp" Target="../ctrlProps/ctrlProp655.xml"/><Relationship Id="rId75" Type="http://schemas.openxmlformats.org/officeDocument/2006/relationships/ctrlProp" Target="../ctrlProps/ctrlProp660.xml"/><Relationship Id="rId91" Type="http://schemas.openxmlformats.org/officeDocument/2006/relationships/ctrlProp" Target="../ctrlProps/ctrlProp676.xml"/><Relationship Id="rId96" Type="http://schemas.openxmlformats.org/officeDocument/2006/relationships/ctrlProp" Target="../ctrlProps/ctrlProp681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591.xml"/><Relationship Id="rId23" Type="http://schemas.openxmlformats.org/officeDocument/2006/relationships/ctrlProp" Target="../ctrlProps/ctrlProp608.xml"/><Relationship Id="rId28" Type="http://schemas.openxmlformats.org/officeDocument/2006/relationships/ctrlProp" Target="../ctrlProps/ctrlProp613.xml"/><Relationship Id="rId49" Type="http://schemas.openxmlformats.org/officeDocument/2006/relationships/ctrlProp" Target="../ctrlProps/ctrlProp634.xml"/><Relationship Id="rId114" Type="http://schemas.openxmlformats.org/officeDocument/2006/relationships/ctrlProp" Target="../ctrlProps/ctrlProp699.xml"/><Relationship Id="rId119" Type="http://schemas.openxmlformats.org/officeDocument/2006/relationships/ctrlProp" Target="../ctrlProps/ctrlProp704.xml"/><Relationship Id="rId44" Type="http://schemas.openxmlformats.org/officeDocument/2006/relationships/ctrlProp" Target="../ctrlProps/ctrlProp629.xml"/><Relationship Id="rId60" Type="http://schemas.openxmlformats.org/officeDocument/2006/relationships/ctrlProp" Target="../ctrlProps/ctrlProp645.xml"/><Relationship Id="rId65" Type="http://schemas.openxmlformats.org/officeDocument/2006/relationships/ctrlProp" Target="../ctrlProps/ctrlProp650.xml"/><Relationship Id="rId81" Type="http://schemas.openxmlformats.org/officeDocument/2006/relationships/ctrlProp" Target="../ctrlProps/ctrlProp666.xml"/><Relationship Id="rId86" Type="http://schemas.openxmlformats.org/officeDocument/2006/relationships/ctrlProp" Target="../ctrlProps/ctrlProp671.xml"/><Relationship Id="rId130" Type="http://schemas.openxmlformats.org/officeDocument/2006/relationships/ctrlProp" Target="../ctrlProps/ctrlProp715.xml"/><Relationship Id="rId13" Type="http://schemas.openxmlformats.org/officeDocument/2006/relationships/ctrlProp" Target="../ctrlProps/ctrlProp598.xml"/><Relationship Id="rId18" Type="http://schemas.openxmlformats.org/officeDocument/2006/relationships/ctrlProp" Target="../ctrlProps/ctrlProp603.xml"/><Relationship Id="rId39" Type="http://schemas.openxmlformats.org/officeDocument/2006/relationships/ctrlProp" Target="../ctrlProps/ctrlProp624.xml"/><Relationship Id="rId109" Type="http://schemas.openxmlformats.org/officeDocument/2006/relationships/ctrlProp" Target="../ctrlProps/ctrlProp694.xml"/><Relationship Id="rId34" Type="http://schemas.openxmlformats.org/officeDocument/2006/relationships/ctrlProp" Target="../ctrlProps/ctrlProp619.xml"/><Relationship Id="rId50" Type="http://schemas.openxmlformats.org/officeDocument/2006/relationships/ctrlProp" Target="../ctrlProps/ctrlProp635.xml"/><Relationship Id="rId55" Type="http://schemas.openxmlformats.org/officeDocument/2006/relationships/ctrlProp" Target="../ctrlProps/ctrlProp640.xml"/><Relationship Id="rId76" Type="http://schemas.openxmlformats.org/officeDocument/2006/relationships/ctrlProp" Target="../ctrlProps/ctrlProp661.xml"/><Relationship Id="rId97" Type="http://schemas.openxmlformats.org/officeDocument/2006/relationships/ctrlProp" Target="../ctrlProps/ctrlProp682.xml"/><Relationship Id="rId104" Type="http://schemas.openxmlformats.org/officeDocument/2006/relationships/ctrlProp" Target="../ctrlProps/ctrlProp689.xml"/><Relationship Id="rId120" Type="http://schemas.openxmlformats.org/officeDocument/2006/relationships/ctrlProp" Target="../ctrlProps/ctrlProp705.xml"/><Relationship Id="rId125" Type="http://schemas.openxmlformats.org/officeDocument/2006/relationships/ctrlProp" Target="../ctrlProps/ctrlProp710.xml"/><Relationship Id="rId7" Type="http://schemas.openxmlformats.org/officeDocument/2006/relationships/ctrlProp" Target="../ctrlProps/ctrlProp592.xml"/><Relationship Id="rId71" Type="http://schemas.openxmlformats.org/officeDocument/2006/relationships/ctrlProp" Target="../ctrlProps/ctrlProp656.xml"/><Relationship Id="rId92" Type="http://schemas.openxmlformats.org/officeDocument/2006/relationships/ctrlProp" Target="../ctrlProps/ctrlProp677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14.xml"/><Relationship Id="rId24" Type="http://schemas.openxmlformats.org/officeDocument/2006/relationships/ctrlProp" Target="../ctrlProps/ctrlProp609.xml"/><Relationship Id="rId40" Type="http://schemas.openxmlformats.org/officeDocument/2006/relationships/ctrlProp" Target="../ctrlProps/ctrlProp625.xml"/><Relationship Id="rId45" Type="http://schemas.openxmlformats.org/officeDocument/2006/relationships/ctrlProp" Target="../ctrlProps/ctrlProp630.xml"/><Relationship Id="rId66" Type="http://schemas.openxmlformats.org/officeDocument/2006/relationships/ctrlProp" Target="../ctrlProps/ctrlProp651.xml"/><Relationship Id="rId87" Type="http://schemas.openxmlformats.org/officeDocument/2006/relationships/ctrlProp" Target="../ctrlProps/ctrlProp672.xml"/><Relationship Id="rId110" Type="http://schemas.openxmlformats.org/officeDocument/2006/relationships/ctrlProp" Target="../ctrlProps/ctrlProp695.xml"/><Relationship Id="rId115" Type="http://schemas.openxmlformats.org/officeDocument/2006/relationships/ctrlProp" Target="../ctrlProps/ctrlProp700.xml"/><Relationship Id="rId131" Type="http://schemas.openxmlformats.org/officeDocument/2006/relationships/ctrlProp" Target="../ctrlProps/ctrlProp716.xml"/><Relationship Id="rId61" Type="http://schemas.openxmlformats.org/officeDocument/2006/relationships/ctrlProp" Target="../ctrlProps/ctrlProp646.xml"/><Relationship Id="rId82" Type="http://schemas.openxmlformats.org/officeDocument/2006/relationships/ctrlProp" Target="../ctrlProps/ctrlProp667.xml"/><Relationship Id="rId19" Type="http://schemas.openxmlformats.org/officeDocument/2006/relationships/ctrlProp" Target="../ctrlProps/ctrlProp604.xml"/><Relationship Id="rId14" Type="http://schemas.openxmlformats.org/officeDocument/2006/relationships/ctrlProp" Target="../ctrlProps/ctrlProp599.xml"/><Relationship Id="rId30" Type="http://schemas.openxmlformats.org/officeDocument/2006/relationships/ctrlProp" Target="../ctrlProps/ctrlProp615.xml"/><Relationship Id="rId35" Type="http://schemas.openxmlformats.org/officeDocument/2006/relationships/ctrlProp" Target="../ctrlProps/ctrlProp620.xml"/><Relationship Id="rId56" Type="http://schemas.openxmlformats.org/officeDocument/2006/relationships/ctrlProp" Target="../ctrlProps/ctrlProp641.xml"/><Relationship Id="rId77" Type="http://schemas.openxmlformats.org/officeDocument/2006/relationships/ctrlProp" Target="../ctrlProps/ctrlProp662.xml"/><Relationship Id="rId100" Type="http://schemas.openxmlformats.org/officeDocument/2006/relationships/ctrlProp" Target="../ctrlProps/ctrlProp685.xml"/><Relationship Id="rId105" Type="http://schemas.openxmlformats.org/officeDocument/2006/relationships/ctrlProp" Target="../ctrlProps/ctrlProp690.xml"/><Relationship Id="rId126" Type="http://schemas.openxmlformats.org/officeDocument/2006/relationships/ctrlProp" Target="../ctrlProps/ctrlProp711.xml"/><Relationship Id="rId8" Type="http://schemas.openxmlformats.org/officeDocument/2006/relationships/ctrlProp" Target="../ctrlProps/ctrlProp593.xml"/><Relationship Id="rId51" Type="http://schemas.openxmlformats.org/officeDocument/2006/relationships/ctrlProp" Target="../ctrlProps/ctrlProp636.xml"/><Relationship Id="rId72" Type="http://schemas.openxmlformats.org/officeDocument/2006/relationships/ctrlProp" Target="../ctrlProps/ctrlProp657.xml"/><Relationship Id="rId93" Type="http://schemas.openxmlformats.org/officeDocument/2006/relationships/ctrlProp" Target="../ctrlProps/ctrlProp678.xml"/><Relationship Id="rId98" Type="http://schemas.openxmlformats.org/officeDocument/2006/relationships/ctrlProp" Target="../ctrlProps/ctrlProp683.xml"/><Relationship Id="rId121" Type="http://schemas.openxmlformats.org/officeDocument/2006/relationships/ctrlProp" Target="../ctrlProps/ctrlProp706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10.xml"/><Relationship Id="rId46" Type="http://schemas.openxmlformats.org/officeDocument/2006/relationships/ctrlProp" Target="../ctrlProps/ctrlProp631.xml"/><Relationship Id="rId67" Type="http://schemas.openxmlformats.org/officeDocument/2006/relationships/ctrlProp" Target="../ctrlProps/ctrlProp652.xml"/><Relationship Id="rId116" Type="http://schemas.openxmlformats.org/officeDocument/2006/relationships/ctrlProp" Target="../ctrlProps/ctrlProp701.xml"/><Relationship Id="rId20" Type="http://schemas.openxmlformats.org/officeDocument/2006/relationships/ctrlProp" Target="../ctrlProps/ctrlProp605.xml"/><Relationship Id="rId41" Type="http://schemas.openxmlformats.org/officeDocument/2006/relationships/ctrlProp" Target="../ctrlProps/ctrlProp626.xml"/><Relationship Id="rId62" Type="http://schemas.openxmlformats.org/officeDocument/2006/relationships/ctrlProp" Target="../ctrlProps/ctrlProp647.xml"/><Relationship Id="rId83" Type="http://schemas.openxmlformats.org/officeDocument/2006/relationships/ctrlProp" Target="../ctrlProps/ctrlProp668.xml"/><Relationship Id="rId88" Type="http://schemas.openxmlformats.org/officeDocument/2006/relationships/ctrlProp" Target="../ctrlProps/ctrlProp673.xml"/><Relationship Id="rId111" Type="http://schemas.openxmlformats.org/officeDocument/2006/relationships/ctrlProp" Target="../ctrlProps/ctrlProp696.xml"/><Relationship Id="rId15" Type="http://schemas.openxmlformats.org/officeDocument/2006/relationships/ctrlProp" Target="../ctrlProps/ctrlProp600.xml"/><Relationship Id="rId36" Type="http://schemas.openxmlformats.org/officeDocument/2006/relationships/ctrlProp" Target="../ctrlProps/ctrlProp621.xml"/><Relationship Id="rId57" Type="http://schemas.openxmlformats.org/officeDocument/2006/relationships/ctrlProp" Target="../ctrlProps/ctrlProp642.xml"/><Relationship Id="rId106" Type="http://schemas.openxmlformats.org/officeDocument/2006/relationships/ctrlProp" Target="../ctrlProps/ctrlProp691.xml"/><Relationship Id="rId127" Type="http://schemas.openxmlformats.org/officeDocument/2006/relationships/ctrlProp" Target="../ctrlProps/ctrlProp712.xml"/><Relationship Id="rId10" Type="http://schemas.openxmlformats.org/officeDocument/2006/relationships/ctrlProp" Target="../ctrlProps/ctrlProp595.xml"/><Relationship Id="rId31" Type="http://schemas.openxmlformats.org/officeDocument/2006/relationships/ctrlProp" Target="../ctrlProps/ctrlProp616.xml"/><Relationship Id="rId52" Type="http://schemas.openxmlformats.org/officeDocument/2006/relationships/ctrlProp" Target="../ctrlProps/ctrlProp637.xml"/><Relationship Id="rId73" Type="http://schemas.openxmlformats.org/officeDocument/2006/relationships/ctrlProp" Target="../ctrlProps/ctrlProp658.xml"/><Relationship Id="rId78" Type="http://schemas.openxmlformats.org/officeDocument/2006/relationships/ctrlProp" Target="../ctrlProps/ctrlProp663.xml"/><Relationship Id="rId94" Type="http://schemas.openxmlformats.org/officeDocument/2006/relationships/ctrlProp" Target="../ctrlProps/ctrlProp679.xml"/><Relationship Id="rId99" Type="http://schemas.openxmlformats.org/officeDocument/2006/relationships/ctrlProp" Target="../ctrlProps/ctrlProp684.xml"/><Relationship Id="rId101" Type="http://schemas.openxmlformats.org/officeDocument/2006/relationships/ctrlProp" Target="../ctrlProps/ctrlProp686.xml"/><Relationship Id="rId122" Type="http://schemas.openxmlformats.org/officeDocument/2006/relationships/ctrlProp" Target="../ctrlProps/ctrlProp707.xml"/><Relationship Id="rId4" Type="http://schemas.openxmlformats.org/officeDocument/2006/relationships/ctrlProp" Target="../ctrlProps/ctrlProp589.xml"/><Relationship Id="rId9" Type="http://schemas.openxmlformats.org/officeDocument/2006/relationships/ctrlProp" Target="../ctrlProps/ctrlProp594.xml"/><Relationship Id="rId26" Type="http://schemas.openxmlformats.org/officeDocument/2006/relationships/ctrlProp" Target="../ctrlProps/ctrlProp61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30.xml"/><Relationship Id="rId21" Type="http://schemas.openxmlformats.org/officeDocument/2006/relationships/ctrlProp" Target="../ctrlProps/ctrlProp734.xml"/><Relationship Id="rId42" Type="http://schemas.openxmlformats.org/officeDocument/2006/relationships/ctrlProp" Target="../ctrlProps/ctrlProp755.xml"/><Relationship Id="rId63" Type="http://schemas.openxmlformats.org/officeDocument/2006/relationships/ctrlProp" Target="../ctrlProps/ctrlProp776.xml"/><Relationship Id="rId84" Type="http://schemas.openxmlformats.org/officeDocument/2006/relationships/ctrlProp" Target="../ctrlProps/ctrlProp797.xml"/><Relationship Id="rId138" Type="http://schemas.openxmlformats.org/officeDocument/2006/relationships/ctrlProp" Target="../ctrlProps/ctrlProp851.xml"/><Relationship Id="rId107" Type="http://schemas.openxmlformats.org/officeDocument/2006/relationships/ctrlProp" Target="../ctrlProps/ctrlProp820.xml"/><Relationship Id="rId11" Type="http://schemas.openxmlformats.org/officeDocument/2006/relationships/ctrlProp" Target="../ctrlProps/ctrlProp724.xml"/><Relationship Id="rId32" Type="http://schemas.openxmlformats.org/officeDocument/2006/relationships/ctrlProp" Target="../ctrlProps/ctrlProp745.xml"/><Relationship Id="rId53" Type="http://schemas.openxmlformats.org/officeDocument/2006/relationships/ctrlProp" Target="../ctrlProps/ctrlProp766.xml"/><Relationship Id="rId74" Type="http://schemas.openxmlformats.org/officeDocument/2006/relationships/ctrlProp" Target="../ctrlProps/ctrlProp787.xml"/><Relationship Id="rId128" Type="http://schemas.openxmlformats.org/officeDocument/2006/relationships/ctrlProp" Target="../ctrlProps/ctrlProp841.xml"/><Relationship Id="rId5" Type="http://schemas.openxmlformats.org/officeDocument/2006/relationships/ctrlProp" Target="../ctrlProps/ctrlProp718.xml"/><Relationship Id="rId90" Type="http://schemas.openxmlformats.org/officeDocument/2006/relationships/ctrlProp" Target="../ctrlProps/ctrlProp803.xml"/><Relationship Id="rId95" Type="http://schemas.openxmlformats.org/officeDocument/2006/relationships/ctrlProp" Target="../ctrlProps/ctrlProp808.xml"/><Relationship Id="rId22" Type="http://schemas.openxmlformats.org/officeDocument/2006/relationships/ctrlProp" Target="../ctrlProps/ctrlProp735.xml"/><Relationship Id="rId27" Type="http://schemas.openxmlformats.org/officeDocument/2006/relationships/ctrlProp" Target="../ctrlProps/ctrlProp740.xml"/><Relationship Id="rId43" Type="http://schemas.openxmlformats.org/officeDocument/2006/relationships/ctrlProp" Target="../ctrlProps/ctrlProp756.xml"/><Relationship Id="rId48" Type="http://schemas.openxmlformats.org/officeDocument/2006/relationships/ctrlProp" Target="../ctrlProps/ctrlProp761.xml"/><Relationship Id="rId64" Type="http://schemas.openxmlformats.org/officeDocument/2006/relationships/ctrlProp" Target="../ctrlProps/ctrlProp777.xml"/><Relationship Id="rId69" Type="http://schemas.openxmlformats.org/officeDocument/2006/relationships/ctrlProp" Target="../ctrlProps/ctrlProp782.xml"/><Relationship Id="rId113" Type="http://schemas.openxmlformats.org/officeDocument/2006/relationships/ctrlProp" Target="../ctrlProps/ctrlProp826.xml"/><Relationship Id="rId118" Type="http://schemas.openxmlformats.org/officeDocument/2006/relationships/ctrlProp" Target="../ctrlProps/ctrlProp831.xml"/><Relationship Id="rId134" Type="http://schemas.openxmlformats.org/officeDocument/2006/relationships/ctrlProp" Target="../ctrlProps/ctrlProp847.xml"/><Relationship Id="rId139" Type="http://schemas.openxmlformats.org/officeDocument/2006/relationships/ctrlProp" Target="../ctrlProps/ctrlProp852.xml"/><Relationship Id="rId80" Type="http://schemas.openxmlformats.org/officeDocument/2006/relationships/ctrlProp" Target="../ctrlProps/ctrlProp793.xml"/><Relationship Id="rId85" Type="http://schemas.openxmlformats.org/officeDocument/2006/relationships/ctrlProp" Target="../ctrlProps/ctrlProp798.xml"/><Relationship Id="rId12" Type="http://schemas.openxmlformats.org/officeDocument/2006/relationships/ctrlProp" Target="../ctrlProps/ctrlProp725.xml"/><Relationship Id="rId17" Type="http://schemas.openxmlformats.org/officeDocument/2006/relationships/ctrlProp" Target="../ctrlProps/ctrlProp730.xml"/><Relationship Id="rId33" Type="http://schemas.openxmlformats.org/officeDocument/2006/relationships/ctrlProp" Target="../ctrlProps/ctrlProp746.xml"/><Relationship Id="rId38" Type="http://schemas.openxmlformats.org/officeDocument/2006/relationships/ctrlProp" Target="../ctrlProps/ctrlProp751.xml"/><Relationship Id="rId59" Type="http://schemas.openxmlformats.org/officeDocument/2006/relationships/ctrlProp" Target="../ctrlProps/ctrlProp772.xml"/><Relationship Id="rId103" Type="http://schemas.openxmlformats.org/officeDocument/2006/relationships/ctrlProp" Target="../ctrlProps/ctrlProp816.xml"/><Relationship Id="rId108" Type="http://schemas.openxmlformats.org/officeDocument/2006/relationships/ctrlProp" Target="../ctrlProps/ctrlProp821.xml"/><Relationship Id="rId124" Type="http://schemas.openxmlformats.org/officeDocument/2006/relationships/ctrlProp" Target="../ctrlProps/ctrlProp837.xml"/><Relationship Id="rId129" Type="http://schemas.openxmlformats.org/officeDocument/2006/relationships/ctrlProp" Target="../ctrlProps/ctrlProp842.xml"/><Relationship Id="rId54" Type="http://schemas.openxmlformats.org/officeDocument/2006/relationships/ctrlProp" Target="../ctrlProps/ctrlProp767.xml"/><Relationship Id="rId70" Type="http://schemas.openxmlformats.org/officeDocument/2006/relationships/ctrlProp" Target="../ctrlProps/ctrlProp783.xml"/><Relationship Id="rId75" Type="http://schemas.openxmlformats.org/officeDocument/2006/relationships/ctrlProp" Target="../ctrlProps/ctrlProp788.xml"/><Relationship Id="rId91" Type="http://schemas.openxmlformats.org/officeDocument/2006/relationships/ctrlProp" Target="../ctrlProps/ctrlProp804.xml"/><Relationship Id="rId96" Type="http://schemas.openxmlformats.org/officeDocument/2006/relationships/ctrlProp" Target="../ctrlProps/ctrlProp809.xml"/><Relationship Id="rId140" Type="http://schemas.openxmlformats.org/officeDocument/2006/relationships/ctrlProp" Target="../ctrlProps/ctrlProp853.xml"/><Relationship Id="rId145" Type="http://schemas.openxmlformats.org/officeDocument/2006/relationships/ctrlProp" Target="../ctrlProps/ctrlProp858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19.xml"/><Relationship Id="rId23" Type="http://schemas.openxmlformats.org/officeDocument/2006/relationships/ctrlProp" Target="../ctrlProps/ctrlProp736.xml"/><Relationship Id="rId28" Type="http://schemas.openxmlformats.org/officeDocument/2006/relationships/ctrlProp" Target="../ctrlProps/ctrlProp741.xml"/><Relationship Id="rId49" Type="http://schemas.openxmlformats.org/officeDocument/2006/relationships/ctrlProp" Target="../ctrlProps/ctrlProp762.xml"/><Relationship Id="rId114" Type="http://schemas.openxmlformats.org/officeDocument/2006/relationships/ctrlProp" Target="../ctrlProps/ctrlProp827.xml"/><Relationship Id="rId119" Type="http://schemas.openxmlformats.org/officeDocument/2006/relationships/ctrlProp" Target="../ctrlProps/ctrlProp832.xml"/><Relationship Id="rId44" Type="http://schemas.openxmlformats.org/officeDocument/2006/relationships/ctrlProp" Target="../ctrlProps/ctrlProp757.xml"/><Relationship Id="rId60" Type="http://schemas.openxmlformats.org/officeDocument/2006/relationships/ctrlProp" Target="../ctrlProps/ctrlProp773.xml"/><Relationship Id="rId65" Type="http://schemas.openxmlformats.org/officeDocument/2006/relationships/ctrlProp" Target="../ctrlProps/ctrlProp778.xml"/><Relationship Id="rId81" Type="http://schemas.openxmlformats.org/officeDocument/2006/relationships/ctrlProp" Target="../ctrlProps/ctrlProp794.xml"/><Relationship Id="rId86" Type="http://schemas.openxmlformats.org/officeDocument/2006/relationships/ctrlProp" Target="../ctrlProps/ctrlProp799.xml"/><Relationship Id="rId130" Type="http://schemas.openxmlformats.org/officeDocument/2006/relationships/ctrlProp" Target="../ctrlProps/ctrlProp843.xml"/><Relationship Id="rId135" Type="http://schemas.openxmlformats.org/officeDocument/2006/relationships/ctrlProp" Target="../ctrlProps/ctrlProp848.xml"/><Relationship Id="rId13" Type="http://schemas.openxmlformats.org/officeDocument/2006/relationships/ctrlProp" Target="../ctrlProps/ctrlProp726.xml"/><Relationship Id="rId18" Type="http://schemas.openxmlformats.org/officeDocument/2006/relationships/ctrlProp" Target="../ctrlProps/ctrlProp731.xml"/><Relationship Id="rId39" Type="http://schemas.openxmlformats.org/officeDocument/2006/relationships/ctrlProp" Target="../ctrlProps/ctrlProp752.xml"/><Relationship Id="rId109" Type="http://schemas.openxmlformats.org/officeDocument/2006/relationships/ctrlProp" Target="../ctrlProps/ctrlProp822.xml"/><Relationship Id="rId34" Type="http://schemas.openxmlformats.org/officeDocument/2006/relationships/ctrlProp" Target="../ctrlProps/ctrlProp747.xml"/><Relationship Id="rId50" Type="http://schemas.openxmlformats.org/officeDocument/2006/relationships/ctrlProp" Target="../ctrlProps/ctrlProp763.xml"/><Relationship Id="rId55" Type="http://schemas.openxmlformats.org/officeDocument/2006/relationships/ctrlProp" Target="../ctrlProps/ctrlProp768.xml"/><Relationship Id="rId76" Type="http://schemas.openxmlformats.org/officeDocument/2006/relationships/ctrlProp" Target="../ctrlProps/ctrlProp789.xml"/><Relationship Id="rId97" Type="http://schemas.openxmlformats.org/officeDocument/2006/relationships/ctrlProp" Target="../ctrlProps/ctrlProp810.xml"/><Relationship Id="rId104" Type="http://schemas.openxmlformats.org/officeDocument/2006/relationships/ctrlProp" Target="../ctrlProps/ctrlProp817.xml"/><Relationship Id="rId120" Type="http://schemas.openxmlformats.org/officeDocument/2006/relationships/ctrlProp" Target="../ctrlProps/ctrlProp833.xml"/><Relationship Id="rId125" Type="http://schemas.openxmlformats.org/officeDocument/2006/relationships/ctrlProp" Target="../ctrlProps/ctrlProp838.xml"/><Relationship Id="rId141" Type="http://schemas.openxmlformats.org/officeDocument/2006/relationships/ctrlProp" Target="../ctrlProps/ctrlProp854.xml"/><Relationship Id="rId146" Type="http://schemas.openxmlformats.org/officeDocument/2006/relationships/ctrlProp" Target="../ctrlProps/ctrlProp859.xml"/><Relationship Id="rId7" Type="http://schemas.openxmlformats.org/officeDocument/2006/relationships/ctrlProp" Target="../ctrlProps/ctrlProp720.xml"/><Relationship Id="rId71" Type="http://schemas.openxmlformats.org/officeDocument/2006/relationships/ctrlProp" Target="../ctrlProps/ctrlProp784.xml"/><Relationship Id="rId92" Type="http://schemas.openxmlformats.org/officeDocument/2006/relationships/ctrlProp" Target="../ctrlProps/ctrlProp805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42.xml"/><Relationship Id="rId24" Type="http://schemas.openxmlformats.org/officeDocument/2006/relationships/ctrlProp" Target="../ctrlProps/ctrlProp737.xml"/><Relationship Id="rId40" Type="http://schemas.openxmlformats.org/officeDocument/2006/relationships/ctrlProp" Target="../ctrlProps/ctrlProp753.xml"/><Relationship Id="rId45" Type="http://schemas.openxmlformats.org/officeDocument/2006/relationships/ctrlProp" Target="../ctrlProps/ctrlProp758.xml"/><Relationship Id="rId66" Type="http://schemas.openxmlformats.org/officeDocument/2006/relationships/ctrlProp" Target="../ctrlProps/ctrlProp779.xml"/><Relationship Id="rId87" Type="http://schemas.openxmlformats.org/officeDocument/2006/relationships/ctrlProp" Target="../ctrlProps/ctrlProp800.xml"/><Relationship Id="rId110" Type="http://schemas.openxmlformats.org/officeDocument/2006/relationships/ctrlProp" Target="../ctrlProps/ctrlProp823.xml"/><Relationship Id="rId115" Type="http://schemas.openxmlformats.org/officeDocument/2006/relationships/ctrlProp" Target="../ctrlProps/ctrlProp828.xml"/><Relationship Id="rId131" Type="http://schemas.openxmlformats.org/officeDocument/2006/relationships/ctrlProp" Target="../ctrlProps/ctrlProp844.xml"/><Relationship Id="rId136" Type="http://schemas.openxmlformats.org/officeDocument/2006/relationships/ctrlProp" Target="../ctrlProps/ctrlProp849.xml"/><Relationship Id="rId61" Type="http://schemas.openxmlformats.org/officeDocument/2006/relationships/ctrlProp" Target="../ctrlProps/ctrlProp774.xml"/><Relationship Id="rId82" Type="http://schemas.openxmlformats.org/officeDocument/2006/relationships/ctrlProp" Target="../ctrlProps/ctrlProp795.xml"/><Relationship Id="rId19" Type="http://schemas.openxmlformats.org/officeDocument/2006/relationships/ctrlProp" Target="../ctrlProps/ctrlProp732.xml"/><Relationship Id="rId14" Type="http://schemas.openxmlformats.org/officeDocument/2006/relationships/ctrlProp" Target="../ctrlProps/ctrlProp727.xml"/><Relationship Id="rId30" Type="http://schemas.openxmlformats.org/officeDocument/2006/relationships/ctrlProp" Target="../ctrlProps/ctrlProp743.xml"/><Relationship Id="rId35" Type="http://schemas.openxmlformats.org/officeDocument/2006/relationships/ctrlProp" Target="../ctrlProps/ctrlProp748.xml"/><Relationship Id="rId56" Type="http://schemas.openxmlformats.org/officeDocument/2006/relationships/ctrlProp" Target="../ctrlProps/ctrlProp769.xml"/><Relationship Id="rId77" Type="http://schemas.openxmlformats.org/officeDocument/2006/relationships/ctrlProp" Target="../ctrlProps/ctrlProp790.xml"/><Relationship Id="rId100" Type="http://schemas.openxmlformats.org/officeDocument/2006/relationships/ctrlProp" Target="../ctrlProps/ctrlProp813.xml"/><Relationship Id="rId105" Type="http://schemas.openxmlformats.org/officeDocument/2006/relationships/ctrlProp" Target="../ctrlProps/ctrlProp818.xml"/><Relationship Id="rId126" Type="http://schemas.openxmlformats.org/officeDocument/2006/relationships/ctrlProp" Target="../ctrlProps/ctrlProp839.xml"/><Relationship Id="rId8" Type="http://schemas.openxmlformats.org/officeDocument/2006/relationships/ctrlProp" Target="../ctrlProps/ctrlProp721.xml"/><Relationship Id="rId51" Type="http://schemas.openxmlformats.org/officeDocument/2006/relationships/ctrlProp" Target="../ctrlProps/ctrlProp764.xml"/><Relationship Id="rId72" Type="http://schemas.openxmlformats.org/officeDocument/2006/relationships/ctrlProp" Target="../ctrlProps/ctrlProp785.xml"/><Relationship Id="rId93" Type="http://schemas.openxmlformats.org/officeDocument/2006/relationships/ctrlProp" Target="../ctrlProps/ctrlProp806.xml"/><Relationship Id="rId98" Type="http://schemas.openxmlformats.org/officeDocument/2006/relationships/ctrlProp" Target="../ctrlProps/ctrlProp811.xml"/><Relationship Id="rId121" Type="http://schemas.openxmlformats.org/officeDocument/2006/relationships/ctrlProp" Target="../ctrlProps/ctrlProp834.xml"/><Relationship Id="rId142" Type="http://schemas.openxmlformats.org/officeDocument/2006/relationships/ctrlProp" Target="../ctrlProps/ctrlProp855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38.xml"/><Relationship Id="rId46" Type="http://schemas.openxmlformats.org/officeDocument/2006/relationships/ctrlProp" Target="../ctrlProps/ctrlProp759.xml"/><Relationship Id="rId67" Type="http://schemas.openxmlformats.org/officeDocument/2006/relationships/ctrlProp" Target="../ctrlProps/ctrlProp780.xml"/><Relationship Id="rId116" Type="http://schemas.openxmlformats.org/officeDocument/2006/relationships/ctrlProp" Target="../ctrlProps/ctrlProp829.xml"/><Relationship Id="rId137" Type="http://schemas.openxmlformats.org/officeDocument/2006/relationships/ctrlProp" Target="../ctrlProps/ctrlProp850.xml"/><Relationship Id="rId20" Type="http://schemas.openxmlformats.org/officeDocument/2006/relationships/ctrlProp" Target="../ctrlProps/ctrlProp733.xml"/><Relationship Id="rId41" Type="http://schemas.openxmlformats.org/officeDocument/2006/relationships/ctrlProp" Target="../ctrlProps/ctrlProp754.xml"/><Relationship Id="rId62" Type="http://schemas.openxmlformats.org/officeDocument/2006/relationships/ctrlProp" Target="../ctrlProps/ctrlProp775.xml"/><Relationship Id="rId83" Type="http://schemas.openxmlformats.org/officeDocument/2006/relationships/ctrlProp" Target="../ctrlProps/ctrlProp796.xml"/><Relationship Id="rId88" Type="http://schemas.openxmlformats.org/officeDocument/2006/relationships/ctrlProp" Target="../ctrlProps/ctrlProp801.xml"/><Relationship Id="rId111" Type="http://schemas.openxmlformats.org/officeDocument/2006/relationships/ctrlProp" Target="../ctrlProps/ctrlProp824.xml"/><Relationship Id="rId132" Type="http://schemas.openxmlformats.org/officeDocument/2006/relationships/ctrlProp" Target="../ctrlProps/ctrlProp845.xml"/><Relationship Id="rId15" Type="http://schemas.openxmlformats.org/officeDocument/2006/relationships/ctrlProp" Target="../ctrlProps/ctrlProp728.xml"/><Relationship Id="rId36" Type="http://schemas.openxmlformats.org/officeDocument/2006/relationships/ctrlProp" Target="../ctrlProps/ctrlProp749.xml"/><Relationship Id="rId57" Type="http://schemas.openxmlformats.org/officeDocument/2006/relationships/ctrlProp" Target="../ctrlProps/ctrlProp770.xml"/><Relationship Id="rId106" Type="http://schemas.openxmlformats.org/officeDocument/2006/relationships/ctrlProp" Target="../ctrlProps/ctrlProp819.xml"/><Relationship Id="rId127" Type="http://schemas.openxmlformats.org/officeDocument/2006/relationships/ctrlProp" Target="../ctrlProps/ctrlProp840.xml"/><Relationship Id="rId10" Type="http://schemas.openxmlformats.org/officeDocument/2006/relationships/ctrlProp" Target="../ctrlProps/ctrlProp723.xml"/><Relationship Id="rId31" Type="http://schemas.openxmlformats.org/officeDocument/2006/relationships/ctrlProp" Target="../ctrlProps/ctrlProp744.xml"/><Relationship Id="rId52" Type="http://schemas.openxmlformats.org/officeDocument/2006/relationships/ctrlProp" Target="../ctrlProps/ctrlProp765.xml"/><Relationship Id="rId73" Type="http://schemas.openxmlformats.org/officeDocument/2006/relationships/ctrlProp" Target="../ctrlProps/ctrlProp786.xml"/><Relationship Id="rId78" Type="http://schemas.openxmlformats.org/officeDocument/2006/relationships/ctrlProp" Target="../ctrlProps/ctrlProp791.xml"/><Relationship Id="rId94" Type="http://schemas.openxmlformats.org/officeDocument/2006/relationships/ctrlProp" Target="../ctrlProps/ctrlProp807.xml"/><Relationship Id="rId99" Type="http://schemas.openxmlformats.org/officeDocument/2006/relationships/ctrlProp" Target="../ctrlProps/ctrlProp812.xml"/><Relationship Id="rId101" Type="http://schemas.openxmlformats.org/officeDocument/2006/relationships/ctrlProp" Target="../ctrlProps/ctrlProp814.xml"/><Relationship Id="rId122" Type="http://schemas.openxmlformats.org/officeDocument/2006/relationships/ctrlProp" Target="../ctrlProps/ctrlProp835.xml"/><Relationship Id="rId143" Type="http://schemas.openxmlformats.org/officeDocument/2006/relationships/ctrlProp" Target="../ctrlProps/ctrlProp856.xml"/><Relationship Id="rId4" Type="http://schemas.openxmlformats.org/officeDocument/2006/relationships/ctrlProp" Target="../ctrlProps/ctrlProp717.xml"/><Relationship Id="rId9" Type="http://schemas.openxmlformats.org/officeDocument/2006/relationships/ctrlProp" Target="../ctrlProps/ctrlProp722.xml"/><Relationship Id="rId26" Type="http://schemas.openxmlformats.org/officeDocument/2006/relationships/ctrlProp" Target="../ctrlProps/ctrlProp739.xml"/><Relationship Id="rId47" Type="http://schemas.openxmlformats.org/officeDocument/2006/relationships/ctrlProp" Target="../ctrlProps/ctrlProp760.xml"/><Relationship Id="rId68" Type="http://schemas.openxmlformats.org/officeDocument/2006/relationships/ctrlProp" Target="../ctrlProps/ctrlProp781.xml"/><Relationship Id="rId89" Type="http://schemas.openxmlformats.org/officeDocument/2006/relationships/ctrlProp" Target="../ctrlProps/ctrlProp802.xml"/><Relationship Id="rId112" Type="http://schemas.openxmlformats.org/officeDocument/2006/relationships/ctrlProp" Target="../ctrlProps/ctrlProp825.xml"/><Relationship Id="rId133" Type="http://schemas.openxmlformats.org/officeDocument/2006/relationships/ctrlProp" Target="../ctrlProps/ctrlProp846.xml"/><Relationship Id="rId16" Type="http://schemas.openxmlformats.org/officeDocument/2006/relationships/ctrlProp" Target="../ctrlProps/ctrlProp729.xml"/><Relationship Id="rId37" Type="http://schemas.openxmlformats.org/officeDocument/2006/relationships/ctrlProp" Target="../ctrlProps/ctrlProp750.xml"/><Relationship Id="rId58" Type="http://schemas.openxmlformats.org/officeDocument/2006/relationships/ctrlProp" Target="../ctrlProps/ctrlProp771.xml"/><Relationship Id="rId79" Type="http://schemas.openxmlformats.org/officeDocument/2006/relationships/ctrlProp" Target="../ctrlProps/ctrlProp792.xml"/><Relationship Id="rId102" Type="http://schemas.openxmlformats.org/officeDocument/2006/relationships/ctrlProp" Target="../ctrlProps/ctrlProp815.xml"/><Relationship Id="rId123" Type="http://schemas.openxmlformats.org/officeDocument/2006/relationships/ctrlProp" Target="../ctrlProps/ctrlProp836.xml"/><Relationship Id="rId144" Type="http://schemas.openxmlformats.org/officeDocument/2006/relationships/ctrlProp" Target="../ctrlProps/ctrlProp85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82.xml"/><Relationship Id="rId117" Type="http://schemas.openxmlformats.org/officeDocument/2006/relationships/ctrlProp" Target="../ctrlProps/ctrlProp973.xml"/><Relationship Id="rId21" Type="http://schemas.openxmlformats.org/officeDocument/2006/relationships/ctrlProp" Target="../ctrlProps/ctrlProp877.xml"/><Relationship Id="rId42" Type="http://schemas.openxmlformats.org/officeDocument/2006/relationships/ctrlProp" Target="../ctrlProps/ctrlProp898.xml"/><Relationship Id="rId47" Type="http://schemas.openxmlformats.org/officeDocument/2006/relationships/ctrlProp" Target="../ctrlProps/ctrlProp903.xml"/><Relationship Id="rId63" Type="http://schemas.openxmlformats.org/officeDocument/2006/relationships/ctrlProp" Target="../ctrlProps/ctrlProp919.xml"/><Relationship Id="rId68" Type="http://schemas.openxmlformats.org/officeDocument/2006/relationships/ctrlProp" Target="../ctrlProps/ctrlProp924.xml"/><Relationship Id="rId84" Type="http://schemas.openxmlformats.org/officeDocument/2006/relationships/ctrlProp" Target="../ctrlProps/ctrlProp940.xml"/><Relationship Id="rId89" Type="http://schemas.openxmlformats.org/officeDocument/2006/relationships/ctrlProp" Target="../ctrlProps/ctrlProp945.xml"/><Relationship Id="rId112" Type="http://schemas.openxmlformats.org/officeDocument/2006/relationships/ctrlProp" Target="../ctrlProps/ctrlProp968.xml"/><Relationship Id="rId16" Type="http://schemas.openxmlformats.org/officeDocument/2006/relationships/ctrlProp" Target="../ctrlProps/ctrlProp872.xml"/><Relationship Id="rId107" Type="http://schemas.openxmlformats.org/officeDocument/2006/relationships/ctrlProp" Target="../ctrlProps/ctrlProp963.xml"/><Relationship Id="rId11" Type="http://schemas.openxmlformats.org/officeDocument/2006/relationships/ctrlProp" Target="../ctrlProps/ctrlProp867.xml"/><Relationship Id="rId32" Type="http://schemas.openxmlformats.org/officeDocument/2006/relationships/ctrlProp" Target="../ctrlProps/ctrlProp888.xml"/><Relationship Id="rId37" Type="http://schemas.openxmlformats.org/officeDocument/2006/relationships/ctrlProp" Target="../ctrlProps/ctrlProp893.xml"/><Relationship Id="rId53" Type="http://schemas.openxmlformats.org/officeDocument/2006/relationships/ctrlProp" Target="../ctrlProps/ctrlProp909.xml"/><Relationship Id="rId58" Type="http://schemas.openxmlformats.org/officeDocument/2006/relationships/ctrlProp" Target="../ctrlProps/ctrlProp914.xml"/><Relationship Id="rId74" Type="http://schemas.openxmlformats.org/officeDocument/2006/relationships/ctrlProp" Target="../ctrlProps/ctrlProp930.xml"/><Relationship Id="rId79" Type="http://schemas.openxmlformats.org/officeDocument/2006/relationships/ctrlProp" Target="../ctrlProps/ctrlProp935.xml"/><Relationship Id="rId102" Type="http://schemas.openxmlformats.org/officeDocument/2006/relationships/ctrlProp" Target="../ctrlProps/ctrlProp958.xml"/><Relationship Id="rId123" Type="http://schemas.openxmlformats.org/officeDocument/2006/relationships/ctrlProp" Target="../ctrlProps/ctrlProp979.xml"/><Relationship Id="rId5" Type="http://schemas.openxmlformats.org/officeDocument/2006/relationships/ctrlProp" Target="../ctrlProps/ctrlProp861.xml"/><Relationship Id="rId90" Type="http://schemas.openxmlformats.org/officeDocument/2006/relationships/ctrlProp" Target="../ctrlProps/ctrlProp946.xml"/><Relationship Id="rId95" Type="http://schemas.openxmlformats.org/officeDocument/2006/relationships/ctrlProp" Target="../ctrlProps/ctrlProp951.xml"/><Relationship Id="rId22" Type="http://schemas.openxmlformats.org/officeDocument/2006/relationships/ctrlProp" Target="../ctrlProps/ctrlProp878.xml"/><Relationship Id="rId27" Type="http://schemas.openxmlformats.org/officeDocument/2006/relationships/ctrlProp" Target="../ctrlProps/ctrlProp883.xml"/><Relationship Id="rId43" Type="http://schemas.openxmlformats.org/officeDocument/2006/relationships/ctrlProp" Target="../ctrlProps/ctrlProp899.xml"/><Relationship Id="rId48" Type="http://schemas.openxmlformats.org/officeDocument/2006/relationships/ctrlProp" Target="../ctrlProps/ctrlProp904.xml"/><Relationship Id="rId64" Type="http://schemas.openxmlformats.org/officeDocument/2006/relationships/ctrlProp" Target="../ctrlProps/ctrlProp920.xml"/><Relationship Id="rId69" Type="http://schemas.openxmlformats.org/officeDocument/2006/relationships/ctrlProp" Target="../ctrlProps/ctrlProp925.xml"/><Relationship Id="rId113" Type="http://schemas.openxmlformats.org/officeDocument/2006/relationships/ctrlProp" Target="../ctrlProps/ctrlProp969.xml"/><Relationship Id="rId118" Type="http://schemas.openxmlformats.org/officeDocument/2006/relationships/ctrlProp" Target="../ctrlProps/ctrlProp974.xml"/><Relationship Id="rId80" Type="http://schemas.openxmlformats.org/officeDocument/2006/relationships/ctrlProp" Target="../ctrlProps/ctrlProp936.xml"/><Relationship Id="rId85" Type="http://schemas.openxmlformats.org/officeDocument/2006/relationships/ctrlProp" Target="../ctrlProps/ctrlProp941.xml"/><Relationship Id="rId12" Type="http://schemas.openxmlformats.org/officeDocument/2006/relationships/ctrlProp" Target="../ctrlProps/ctrlProp868.xml"/><Relationship Id="rId17" Type="http://schemas.openxmlformats.org/officeDocument/2006/relationships/ctrlProp" Target="../ctrlProps/ctrlProp873.xml"/><Relationship Id="rId33" Type="http://schemas.openxmlformats.org/officeDocument/2006/relationships/ctrlProp" Target="../ctrlProps/ctrlProp889.xml"/><Relationship Id="rId38" Type="http://schemas.openxmlformats.org/officeDocument/2006/relationships/ctrlProp" Target="../ctrlProps/ctrlProp894.xml"/><Relationship Id="rId59" Type="http://schemas.openxmlformats.org/officeDocument/2006/relationships/ctrlProp" Target="../ctrlProps/ctrlProp915.xml"/><Relationship Id="rId103" Type="http://schemas.openxmlformats.org/officeDocument/2006/relationships/ctrlProp" Target="../ctrlProps/ctrlProp959.xml"/><Relationship Id="rId108" Type="http://schemas.openxmlformats.org/officeDocument/2006/relationships/ctrlProp" Target="../ctrlProps/ctrlProp964.xml"/><Relationship Id="rId124" Type="http://schemas.openxmlformats.org/officeDocument/2006/relationships/ctrlProp" Target="../ctrlProps/ctrlProp980.xml"/><Relationship Id="rId54" Type="http://schemas.openxmlformats.org/officeDocument/2006/relationships/ctrlProp" Target="../ctrlProps/ctrlProp910.xml"/><Relationship Id="rId70" Type="http://schemas.openxmlformats.org/officeDocument/2006/relationships/ctrlProp" Target="../ctrlProps/ctrlProp926.xml"/><Relationship Id="rId75" Type="http://schemas.openxmlformats.org/officeDocument/2006/relationships/ctrlProp" Target="../ctrlProps/ctrlProp931.xml"/><Relationship Id="rId91" Type="http://schemas.openxmlformats.org/officeDocument/2006/relationships/ctrlProp" Target="../ctrlProps/ctrlProp947.xml"/><Relationship Id="rId96" Type="http://schemas.openxmlformats.org/officeDocument/2006/relationships/ctrlProp" Target="../ctrlProps/ctrlProp952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62.xml"/><Relationship Id="rId23" Type="http://schemas.openxmlformats.org/officeDocument/2006/relationships/ctrlProp" Target="../ctrlProps/ctrlProp879.xml"/><Relationship Id="rId28" Type="http://schemas.openxmlformats.org/officeDocument/2006/relationships/ctrlProp" Target="../ctrlProps/ctrlProp884.xml"/><Relationship Id="rId49" Type="http://schemas.openxmlformats.org/officeDocument/2006/relationships/ctrlProp" Target="../ctrlProps/ctrlProp905.xml"/><Relationship Id="rId114" Type="http://schemas.openxmlformats.org/officeDocument/2006/relationships/ctrlProp" Target="../ctrlProps/ctrlProp970.xml"/><Relationship Id="rId119" Type="http://schemas.openxmlformats.org/officeDocument/2006/relationships/ctrlProp" Target="../ctrlProps/ctrlProp975.xml"/><Relationship Id="rId44" Type="http://schemas.openxmlformats.org/officeDocument/2006/relationships/ctrlProp" Target="../ctrlProps/ctrlProp900.xml"/><Relationship Id="rId60" Type="http://schemas.openxmlformats.org/officeDocument/2006/relationships/ctrlProp" Target="../ctrlProps/ctrlProp916.xml"/><Relationship Id="rId65" Type="http://schemas.openxmlformats.org/officeDocument/2006/relationships/ctrlProp" Target="../ctrlProps/ctrlProp921.xml"/><Relationship Id="rId81" Type="http://schemas.openxmlformats.org/officeDocument/2006/relationships/ctrlProp" Target="../ctrlProps/ctrlProp937.xml"/><Relationship Id="rId86" Type="http://schemas.openxmlformats.org/officeDocument/2006/relationships/ctrlProp" Target="../ctrlProps/ctrlProp942.xml"/><Relationship Id="rId4" Type="http://schemas.openxmlformats.org/officeDocument/2006/relationships/ctrlProp" Target="../ctrlProps/ctrlProp860.xml"/><Relationship Id="rId9" Type="http://schemas.openxmlformats.org/officeDocument/2006/relationships/ctrlProp" Target="../ctrlProps/ctrlProp865.xml"/><Relationship Id="rId13" Type="http://schemas.openxmlformats.org/officeDocument/2006/relationships/ctrlProp" Target="../ctrlProps/ctrlProp869.xml"/><Relationship Id="rId18" Type="http://schemas.openxmlformats.org/officeDocument/2006/relationships/ctrlProp" Target="../ctrlProps/ctrlProp874.xml"/><Relationship Id="rId39" Type="http://schemas.openxmlformats.org/officeDocument/2006/relationships/ctrlProp" Target="../ctrlProps/ctrlProp895.xml"/><Relationship Id="rId109" Type="http://schemas.openxmlformats.org/officeDocument/2006/relationships/ctrlProp" Target="../ctrlProps/ctrlProp965.xml"/><Relationship Id="rId34" Type="http://schemas.openxmlformats.org/officeDocument/2006/relationships/ctrlProp" Target="../ctrlProps/ctrlProp890.xml"/><Relationship Id="rId50" Type="http://schemas.openxmlformats.org/officeDocument/2006/relationships/ctrlProp" Target="../ctrlProps/ctrlProp906.xml"/><Relationship Id="rId55" Type="http://schemas.openxmlformats.org/officeDocument/2006/relationships/ctrlProp" Target="../ctrlProps/ctrlProp911.xml"/><Relationship Id="rId76" Type="http://schemas.openxmlformats.org/officeDocument/2006/relationships/ctrlProp" Target="../ctrlProps/ctrlProp932.xml"/><Relationship Id="rId97" Type="http://schemas.openxmlformats.org/officeDocument/2006/relationships/ctrlProp" Target="../ctrlProps/ctrlProp953.xml"/><Relationship Id="rId104" Type="http://schemas.openxmlformats.org/officeDocument/2006/relationships/ctrlProp" Target="../ctrlProps/ctrlProp960.xml"/><Relationship Id="rId120" Type="http://schemas.openxmlformats.org/officeDocument/2006/relationships/ctrlProp" Target="../ctrlProps/ctrlProp976.xml"/><Relationship Id="rId7" Type="http://schemas.openxmlformats.org/officeDocument/2006/relationships/ctrlProp" Target="../ctrlProps/ctrlProp863.xml"/><Relationship Id="rId71" Type="http://schemas.openxmlformats.org/officeDocument/2006/relationships/ctrlProp" Target="../ctrlProps/ctrlProp927.xml"/><Relationship Id="rId92" Type="http://schemas.openxmlformats.org/officeDocument/2006/relationships/ctrlProp" Target="../ctrlProps/ctrlProp948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5.xml"/><Relationship Id="rId24" Type="http://schemas.openxmlformats.org/officeDocument/2006/relationships/ctrlProp" Target="../ctrlProps/ctrlProp880.xml"/><Relationship Id="rId40" Type="http://schemas.openxmlformats.org/officeDocument/2006/relationships/ctrlProp" Target="../ctrlProps/ctrlProp896.xml"/><Relationship Id="rId45" Type="http://schemas.openxmlformats.org/officeDocument/2006/relationships/ctrlProp" Target="../ctrlProps/ctrlProp901.xml"/><Relationship Id="rId66" Type="http://schemas.openxmlformats.org/officeDocument/2006/relationships/ctrlProp" Target="../ctrlProps/ctrlProp922.xml"/><Relationship Id="rId87" Type="http://schemas.openxmlformats.org/officeDocument/2006/relationships/ctrlProp" Target="../ctrlProps/ctrlProp943.xml"/><Relationship Id="rId110" Type="http://schemas.openxmlformats.org/officeDocument/2006/relationships/ctrlProp" Target="../ctrlProps/ctrlProp966.xml"/><Relationship Id="rId115" Type="http://schemas.openxmlformats.org/officeDocument/2006/relationships/ctrlProp" Target="../ctrlProps/ctrlProp971.xml"/><Relationship Id="rId61" Type="http://schemas.openxmlformats.org/officeDocument/2006/relationships/ctrlProp" Target="../ctrlProps/ctrlProp917.xml"/><Relationship Id="rId82" Type="http://schemas.openxmlformats.org/officeDocument/2006/relationships/ctrlProp" Target="../ctrlProps/ctrlProp938.xml"/><Relationship Id="rId19" Type="http://schemas.openxmlformats.org/officeDocument/2006/relationships/ctrlProp" Target="../ctrlProps/ctrlProp875.xml"/><Relationship Id="rId14" Type="http://schemas.openxmlformats.org/officeDocument/2006/relationships/ctrlProp" Target="../ctrlProps/ctrlProp870.xml"/><Relationship Id="rId30" Type="http://schemas.openxmlformats.org/officeDocument/2006/relationships/ctrlProp" Target="../ctrlProps/ctrlProp886.xml"/><Relationship Id="rId35" Type="http://schemas.openxmlformats.org/officeDocument/2006/relationships/ctrlProp" Target="../ctrlProps/ctrlProp891.xml"/><Relationship Id="rId56" Type="http://schemas.openxmlformats.org/officeDocument/2006/relationships/ctrlProp" Target="../ctrlProps/ctrlProp912.xml"/><Relationship Id="rId77" Type="http://schemas.openxmlformats.org/officeDocument/2006/relationships/ctrlProp" Target="../ctrlProps/ctrlProp933.xml"/><Relationship Id="rId100" Type="http://schemas.openxmlformats.org/officeDocument/2006/relationships/ctrlProp" Target="../ctrlProps/ctrlProp956.xml"/><Relationship Id="rId105" Type="http://schemas.openxmlformats.org/officeDocument/2006/relationships/ctrlProp" Target="../ctrlProps/ctrlProp961.xml"/><Relationship Id="rId8" Type="http://schemas.openxmlformats.org/officeDocument/2006/relationships/ctrlProp" Target="../ctrlProps/ctrlProp864.xml"/><Relationship Id="rId51" Type="http://schemas.openxmlformats.org/officeDocument/2006/relationships/ctrlProp" Target="../ctrlProps/ctrlProp907.xml"/><Relationship Id="rId72" Type="http://schemas.openxmlformats.org/officeDocument/2006/relationships/ctrlProp" Target="../ctrlProps/ctrlProp928.xml"/><Relationship Id="rId93" Type="http://schemas.openxmlformats.org/officeDocument/2006/relationships/ctrlProp" Target="../ctrlProps/ctrlProp949.xml"/><Relationship Id="rId98" Type="http://schemas.openxmlformats.org/officeDocument/2006/relationships/ctrlProp" Target="../ctrlProps/ctrlProp954.xml"/><Relationship Id="rId121" Type="http://schemas.openxmlformats.org/officeDocument/2006/relationships/ctrlProp" Target="../ctrlProps/ctrlProp977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81.xml"/><Relationship Id="rId46" Type="http://schemas.openxmlformats.org/officeDocument/2006/relationships/ctrlProp" Target="../ctrlProps/ctrlProp902.xml"/><Relationship Id="rId67" Type="http://schemas.openxmlformats.org/officeDocument/2006/relationships/ctrlProp" Target="../ctrlProps/ctrlProp923.xml"/><Relationship Id="rId116" Type="http://schemas.openxmlformats.org/officeDocument/2006/relationships/ctrlProp" Target="../ctrlProps/ctrlProp972.xml"/><Relationship Id="rId20" Type="http://schemas.openxmlformats.org/officeDocument/2006/relationships/ctrlProp" Target="../ctrlProps/ctrlProp876.xml"/><Relationship Id="rId41" Type="http://schemas.openxmlformats.org/officeDocument/2006/relationships/ctrlProp" Target="../ctrlProps/ctrlProp897.xml"/><Relationship Id="rId62" Type="http://schemas.openxmlformats.org/officeDocument/2006/relationships/ctrlProp" Target="../ctrlProps/ctrlProp918.xml"/><Relationship Id="rId83" Type="http://schemas.openxmlformats.org/officeDocument/2006/relationships/ctrlProp" Target="../ctrlProps/ctrlProp939.xml"/><Relationship Id="rId88" Type="http://schemas.openxmlformats.org/officeDocument/2006/relationships/ctrlProp" Target="../ctrlProps/ctrlProp944.xml"/><Relationship Id="rId111" Type="http://schemas.openxmlformats.org/officeDocument/2006/relationships/ctrlProp" Target="../ctrlProps/ctrlProp967.xml"/><Relationship Id="rId15" Type="http://schemas.openxmlformats.org/officeDocument/2006/relationships/ctrlProp" Target="../ctrlProps/ctrlProp871.xml"/><Relationship Id="rId36" Type="http://schemas.openxmlformats.org/officeDocument/2006/relationships/ctrlProp" Target="../ctrlProps/ctrlProp892.xml"/><Relationship Id="rId57" Type="http://schemas.openxmlformats.org/officeDocument/2006/relationships/ctrlProp" Target="../ctrlProps/ctrlProp913.xml"/><Relationship Id="rId106" Type="http://schemas.openxmlformats.org/officeDocument/2006/relationships/ctrlProp" Target="../ctrlProps/ctrlProp962.xml"/><Relationship Id="rId10" Type="http://schemas.openxmlformats.org/officeDocument/2006/relationships/ctrlProp" Target="../ctrlProps/ctrlProp866.xml"/><Relationship Id="rId31" Type="http://schemas.openxmlformats.org/officeDocument/2006/relationships/ctrlProp" Target="../ctrlProps/ctrlProp887.xml"/><Relationship Id="rId52" Type="http://schemas.openxmlformats.org/officeDocument/2006/relationships/ctrlProp" Target="../ctrlProps/ctrlProp908.xml"/><Relationship Id="rId73" Type="http://schemas.openxmlformats.org/officeDocument/2006/relationships/ctrlProp" Target="../ctrlProps/ctrlProp929.xml"/><Relationship Id="rId78" Type="http://schemas.openxmlformats.org/officeDocument/2006/relationships/ctrlProp" Target="../ctrlProps/ctrlProp934.xml"/><Relationship Id="rId94" Type="http://schemas.openxmlformats.org/officeDocument/2006/relationships/ctrlProp" Target="../ctrlProps/ctrlProp950.xml"/><Relationship Id="rId99" Type="http://schemas.openxmlformats.org/officeDocument/2006/relationships/ctrlProp" Target="../ctrlProps/ctrlProp955.xml"/><Relationship Id="rId101" Type="http://schemas.openxmlformats.org/officeDocument/2006/relationships/ctrlProp" Target="../ctrlProps/ctrlProp957.xml"/><Relationship Id="rId122" Type="http://schemas.openxmlformats.org/officeDocument/2006/relationships/ctrlProp" Target="../ctrlProps/ctrlProp97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94.xml"/><Relationship Id="rId21" Type="http://schemas.openxmlformats.org/officeDocument/2006/relationships/ctrlProp" Target="../ctrlProps/ctrlProp998.xml"/><Relationship Id="rId63" Type="http://schemas.openxmlformats.org/officeDocument/2006/relationships/ctrlProp" Target="../ctrlProps/ctrlProp1040.xml"/><Relationship Id="rId159" Type="http://schemas.openxmlformats.org/officeDocument/2006/relationships/ctrlProp" Target="../ctrlProps/ctrlProp1136.xml"/><Relationship Id="rId170" Type="http://schemas.openxmlformats.org/officeDocument/2006/relationships/ctrlProp" Target="../ctrlProps/ctrlProp1147.xml"/><Relationship Id="rId226" Type="http://schemas.openxmlformats.org/officeDocument/2006/relationships/ctrlProp" Target="../ctrlProps/ctrlProp1203.xml"/><Relationship Id="rId268" Type="http://schemas.openxmlformats.org/officeDocument/2006/relationships/ctrlProp" Target="../ctrlProps/ctrlProp1245.xml"/><Relationship Id="rId32" Type="http://schemas.openxmlformats.org/officeDocument/2006/relationships/ctrlProp" Target="../ctrlProps/ctrlProp1009.xml"/><Relationship Id="rId74" Type="http://schemas.openxmlformats.org/officeDocument/2006/relationships/ctrlProp" Target="../ctrlProps/ctrlProp1051.xml"/><Relationship Id="rId128" Type="http://schemas.openxmlformats.org/officeDocument/2006/relationships/ctrlProp" Target="../ctrlProps/ctrlProp1105.xml"/><Relationship Id="rId5" Type="http://schemas.openxmlformats.org/officeDocument/2006/relationships/ctrlProp" Target="../ctrlProps/ctrlProp982.xml"/><Relationship Id="rId181" Type="http://schemas.openxmlformats.org/officeDocument/2006/relationships/ctrlProp" Target="../ctrlProps/ctrlProp1158.xml"/><Relationship Id="rId237" Type="http://schemas.openxmlformats.org/officeDocument/2006/relationships/ctrlProp" Target="../ctrlProps/ctrlProp1214.xml"/><Relationship Id="rId279" Type="http://schemas.openxmlformats.org/officeDocument/2006/relationships/ctrlProp" Target="../ctrlProps/ctrlProp1256.xml"/><Relationship Id="rId22" Type="http://schemas.openxmlformats.org/officeDocument/2006/relationships/ctrlProp" Target="../ctrlProps/ctrlProp999.xml"/><Relationship Id="rId43" Type="http://schemas.openxmlformats.org/officeDocument/2006/relationships/ctrlProp" Target="../ctrlProps/ctrlProp1020.xml"/><Relationship Id="rId64" Type="http://schemas.openxmlformats.org/officeDocument/2006/relationships/ctrlProp" Target="../ctrlProps/ctrlProp1041.xml"/><Relationship Id="rId118" Type="http://schemas.openxmlformats.org/officeDocument/2006/relationships/ctrlProp" Target="../ctrlProps/ctrlProp1095.xml"/><Relationship Id="rId139" Type="http://schemas.openxmlformats.org/officeDocument/2006/relationships/ctrlProp" Target="../ctrlProps/ctrlProp1116.xml"/><Relationship Id="rId85" Type="http://schemas.openxmlformats.org/officeDocument/2006/relationships/ctrlProp" Target="../ctrlProps/ctrlProp1062.xml"/><Relationship Id="rId150" Type="http://schemas.openxmlformats.org/officeDocument/2006/relationships/ctrlProp" Target="../ctrlProps/ctrlProp1127.xml"/><Relationship Id="rId171" Type="http://schemas.openxmlformats.org/officeDocument/2006/relationships/ctrlProp" Target="../ctrlProps/ctrlProp1148.xml"/><Relationship Id="rId192" Type="http://schemas.openxmlformats.org/officeDocument/2006/relationships/ctrlProp" Target="../ctrlProps/ctrlProp1169.xml"/><Relationship Id="rId206" Type="http://schemas.openxmlformats.org/officeDocument/2006/relationships/ctrlProp" Target="../ctrlProps/ctrlProp1183.xml"/><Relationship Id="rId227" Type="http://schemas.openxmlformats.org/officeDocument/2006/relationships/ctrlProp" Target="../ctrlProps/ctrlProp1204.xml"/><Relationship Id="rId248" Type="http://schemas.openxmlformats.org/officeDocument/2006/relationships/ctrlProp" Target="../ctrlProps/ctrlProp1225.xml"/><Relationship Id="rId269" Type="http://schemas.openxmlformats.org/officeDocument/2006/relationships/ctrlProp" Target="../ctrlProps/ctrlProp1246.xml"/><Relationship Id="rId12" Type="http://schemas.openxmlformats.org/officeDocument/2006/relationships/ctrlProp" Target="../ctrlProps/ctrlProp989.xml"/><Relationship Id="rId33" Type="http://schemas.openxmlformats.org/officeDocument/2006/relationships/ctrlProp" Target="../ctrlProps/ctrlProp1010.xml"/><Relationship Id="rId108" Type="http://schemas.openxmlformats.org/officeDocument/2006/relationships/ctrlProp" Target="../ctrlProps/ctrlProp1085.xml"/><Relationship Id="rId129" Type="http://schemas.openxmlformats.org/officeDocument/2006/relationships/ctrlProp" Target="../ctrlProps/ctrlProp1106.xml"/><Relationship Id="rId280" Type="http://schemas.openxmlformats.org/officeDocument/2006/relationships/ctrlProp" Target="../ctrlProps/ctrlProp1257.xml"/><Relationship Id="rId54" Type="http://schemas.openxmlformats.org/officeDocument/2006/relationships/ctrlProp" Target="../ctrlProps/ctrlProp1031.xml"/><Relationship Id="rId75" Type="http://schemas.openxmlformats.org/officeDocument/2006/relationships/ctrlProp" Target="../ctrlProps/ctrlProp1052.xml"/><Relationship Id="rId96" Type="http://schemas.openxmlformats.org/officeDocument/2006/relationships/ctrlProp" Target="../ctrlProps/ctrlProp1073.xml"/><Relationship Id="rId140" Type="http://schemas.openxmlformats.org/officeDocument/2006/relationships/ctrlProp" Target="../ctrlProps/ctrlProp1117.xml"/><Relationship Id="rId161" Type="http://schemas.openxmlformats.org/officeDocument/2006/relationships/ctrlProp" Target="../ctrlProps/ctrlProp1138.xml"/><Relationship Id="rId182" Type="http://schemas.openxmlformats.org/officeDocument/2006/relationships/ctrlProp" Target="../ctrlProps/ctrlProp1159.xml"/><Relationship Id="rId217" Type="http://schemas.openxmlformats.org/officeDocument/2006/relationships/ctrlProp" Target="../ctrlProps/ctrlProp1194.xml"/><Relationship Id="rId6" Type="http://schemas.openxmlformats.org/officeDocument/2006/relationships/ctrlProp" Target="../ctrlProps/ctrlProp983.xml"/><Relationship Id="rId238" Type="http://schemas.openxmlformats.org/officeDocument/2006/relationships/ctrlProp" Target="../ctrlProps/ctrlProp1215.xml"/><Relationship Id="rId259" Type="http://schemas.openxmlformats.org/officeDocument/2006/relationships/ctrlProp" Target="../ctrlProps/ctrlProp1236.xml"/><Relationship Id="rId23" Type="http://schemas.openxmlformats.org/officeDocument/2006/relationships/ctrlProp" Target="../ctrlProps/ctrlProp1000.xml"/><Relationship Id="rId119" Type="http://schemas.openxmlformats.org/officeDocument/2006/relationships/ctrlProp" Target="../ctrlProps/ctrlProp1096.xml"/><Relationship Id="rId270" Type="http://schemas.openxmlformats.org/officeDocument/2006/relationships/ctrlProp" Target="../ctrlProps/ctrlProp1247.xml"/><Relationship Id="rId44" Type="http://schemas.openxmlformats.org/officeDocument/2006/relationships/ctrlProp" Target="../ctrlProps/ctrlProp1021.xml"/><Relationship Id="rId65" Type="http://schemas.openxmlformats.org/officeDocument/2006/relationships/ctrlProp" Target="../ctrlProps/ctrlProp1042.xml"/><Relationship Id="rId86" Type="http://schemas.openxmlformats.org/officeDocument/2006/relationships/ctrlProp" Target="../ctrlProps/ctrlProp1063.xml"/><Relationship Id="rId130" Type="http://schemas.openxmlformats.org/officeDocument/2006/relationships/ctrlProp" Target="../ctrlProps/ctrlProp1107.xml"/><Relationship Id="rId151" Type="http://schemas.openxmlformats.org/officeDocument/2006/relationships/ctrlProp" Target="../ctrlProps/ctrlProp1128.xml"/><Relationship Id="rId172" Type="http://schemas.openxmlformats.org/officeDocument/2006/relationships/ctrlProp" Target="../ctrlProps/ctrlProp1149.xml"/><Relationship Id="rId193" Type="http://schemas.openxmlformats.org/officeDocument/2006/relationships/ctrlProp" Target="../ctrlProps/ctrlProp1170.xml"/><Relationship Id="rId207" Type="http://schemas.openxmlformats.org/officeDocument/2006/relationships/ctrlProp" Target="../ctrlProps/ctrlProp1184.xml"/><Relationship Id="rId228" Type="http://schemas.openxmlformats.org/officeDocument/2006/relationships/ctrlProp" Target="../ctrlProps/ctrlProp1205.xml"/><Relationship Id="rId249" Type="http://schemas.openxmlformats.org/officeDocument/2006/relationships/ctrlProp" Target="../ctrlProps/ctrlProp1226.xml"/><Relationship Id="rId13" Type="http://schemas.openxmlformats.org/officeDocument/2006/relationships/ctrlProp" Target="../ctrlProps/ctrlProp990.xml"/><Relationship Id="rId109" Type="http://schemas.openxmlformats.org/officeDocument/2006/relationships/ctrlProp" Target="../ctrlProps/ctrlProp1086.xml"/><Relationship Id="rId260" Type="http://schemas.openxmlformats.org/officeDocument/2006/relationships/ctrlProp" Target="../ctrlProps/ctrlProp1237.xml"/><Relationship Id="rId281" Type="http://schemas.openxmlformats.org/officeDocument/2006/relationships/ctrlProp" Target="../ctrlProps/ctrlProp1258.xml"/><Relationship Id="rId34" Type="http://schemas.openxmlformats.org/officeDocument/2006/relationships/ctrlProp" Target="../ctrlProps/ctrlProp1011.xml"/><Relationship Id="rId55" Type="http://schemas.openxmlformats.org/officeDocument/2006/relationships/ctrlProp" Target="../ctrlProps/ctrlProp1032.xml"/><Relationship Id="rId76" Type="http://schemas.openxmlformats.org/officeDocument/2006/relationships/ctrlProp" Target="../ctrlProps/ctrlProp1053.xml"/><Relationship Id="rId97" Type="http://schemas.openxmlformats.org/officeDocument/2006/relationships/ctrlProp" Target="../ctrlProps/ctrlProp1074.xml"/><Relationship Id="rId120" Type="http://schemas.openxmlformats.org/officeDocument/2006/relationships/ctrlProp" Target="../ctrlProps/ctrlProp1097.xml"/><Relationship Id="rId141" Type="http://schemas.openxmlformats.org/officeDocument/2006/relationships/ctrlProp" Target="../ctrlProps/ctrlProp1118.xml"/><Relationship Id="rId7" Type="http://schemas.openxmlformats.org/officeDocument/2006/relationships/ctrlProp" Target="../ctrlProps/ctrlProp984.xml"/><Relationship Id="rId162" Type="http://schemas.openxmlformats.org/officeDocument/2006/relationships/ctrlProp" Target="../ctrlProps/ctrlProp1139.xml"/><Relationship Id="rId183" Type="http://schemas.openxmlformats.org/officeDocument/2006/relationships/ctrlProp" Target="../ctrlProps/ctrlProp1160.xml"/><Relationship Id="rId218" Type="http://schemas.openxmlformats.org/officeDocument/2006/relationships/ctrlProp" Target="../ctrlProps/ctrlProp1195.xml"/><Relationship Id="rId239" Type="http://schemas.openxmlformats.org/officeDocument/2006/relationships/ctrlProp" Target="../ctrlProps/ctrlProp1216.xml"/><Relationship Id="rId250" Type="http://schemas.openxmlformats.org/officeDocument/2006/relationships/ctrlProp" Target="../ctrlProps/ctrlProp1227.xml"/><Relationship Id="rId271" Type="http://schemas.openxmlformats.org/officeDocument/2006/relationships/ctrlProp" Target="../ctrlProps/ctrlProp1248.xml"/><Relationship Id="rId24" Type="http://schemas.openxmlformats.org/officeDocument/2006/relationships/ctrlProp" Target="../ctrlProps/ctrlProp1001.xml"/><Relationship Id="rId45" Type="http://schemas.openxmlformats.org/officeDocument/2006/relationships/ctrlProp" Target="../ctrlProps/ctrlProp1022.xml"/><Relationship Id="rId66" Type="http://schemas.openxmlformats.org/officeDocument/2006/relationships/ctrlProp" Target="../ctrlProps/ctrlProp1043.xml"/><Relationship Id="rId87" Type="http://schemas.openxmlformats.org/officeDocument/2006/relationships/ctrlProp" Target="../ctrlProps/ctrlProp1064.xml"/><Relationship Id="rId110" Type="http://schemas.openxmlformats.org/officeDocument/2006/relationships/ctrlProp" Target="../ctrlProps/ctrlProp1087.xml"/><Relationship Id="rId131" Type="http://schemas.openxmlformats.org/officeDocument/2006/relationships/ctrlProp" Target="../ctrlProps/ctrlProp1108.xml"/><Relationship Id="rId152" Type="http://schemas.openxmlformats.org/officeDocument/2006/relationships/ctrlProp" Target="../ctrlProps/ctrlProp1129.xml"/><Relationship Id="rId173" Type="http://schemas.openxmlformats.org/officeDocument/2006/relationships/ctrlProp" Target="../ctrlProps/ctrlProp1150.xml"/><Relationship Id="rId194" Type="http://schemas.openxmlformats.org/officeDocument/2006/relationships/ctrlProp" Target="../ctrlProps/ctrlProp1171.xml"/><Relationship Id="rId208" Type="http://schemas.openxmlformats.org/officeDocument/2006/relationships/ctrlProp" Target="../ctrlProps/ctrlProp1185.xml"/><Relationship Id="rId229" Type="http://schemas.openxmlformats.org/officeDocument/2006/relationships/ctrlProp" Target="../ctrlProps/ctrlProp1206.xml"/><Relationship Id="rId240" Type="http://schemas.openxmlformats.org/officeDocument/2006/relationships/ctrlProp" Target="../ctrlProps/ctrlProp1217.xml"/><Relationship Id="rId261" Type="http://schemas.openxmlformats.org/officeDocument/2006/relationships/ctrlProp" Target="../ctrlProps/ctrlProp1238.xml"/><Relationship Id="rId14" Type="http://schemas.openxmlformats.org/officeDocument/2006/relationships/ctrlProp" Target="../ctrlProps/ctrlProp991.xml"/><Relationship Id="rId35" Type="http://schemas.openxmlformats.org/officeDocument/2006/relationships/ctrlProp" Target="../ctrlProps/ctrlProp1012.xml"/><Relationship Id="rId56" Type="http://schemas.openxmlformats.org/officeDocument/2006/relationships/ctrlProp" Target="../ctrlProps/ctrlProp1033.xml"/><Relationship Id="rId77" Type="http://schemas.openxmlformats.org/officeDocument/2006/relationships/ctrlProp" Target="../ctrlProps/ctrlProp1054.xml"/><Relationship Id="rId100" Type="http://schemas.openxmlformats.org/officeDocument/2006/relationships/ctrlProp" Target="../ctrlProps/ctrlProp1077.xml"/><Relationship Id="rId282" Type="http://schemas.openxmlformats.org/officeDocument/2006/relationships/ctrlProp" Target="../ctrlProps/ctrlProp1259.xml"/><Relationship Id="rId8" Type="http://schemas.openxmlformats.org/officeDocument/2006/relationships/ctrlProp" Target="../ctrlProps/ctrlProp985.xml"/><Relationship Id="rId98" Type="http://schemas.openxmlformats.org/officeDocument/2006/relationships/ctrlProp" Target="../ctrlProps/ctrlProp1075.xml"/><Relationship Id="rId121" Type="http://schemas.openxmlformats.org/officeDocument/2006/relationships/ctrlProp" Target="../ctrlProps/ctrlProp1098.xml"/><Relationship Id="rId142" Type="http://schemas.openxmlformats.org/officeDocument/2006/relationships/ctrlProp" Target="../ctrlProps/ctrlProp1119.xml"/><Relationship Id="rId163" Type="http://schemas.openxmlformats.org/officeDocument/2006/relationships/ctrlProp" Target="../ctrlProps/ctrlProp1140.xml"/><Relationship Id="rId184" Type="http://schemas.openxmlformats.org/officeDocument/2006/relationships/ctrlProp" Target="../ctrlProps/ctrlProp1161.xml"/><Relationship Id="rId219" Type="http://schemas.openxmlformats.org/officeDocument/2006/relationships/ctrlProp" Target="../ctrlProps/ctrlProp1196.xml"/><Relationship Id="rId230" Type="http://schemas.openxmlformats.org/officeDocument/2006/relationships/ctrlProp" Target="../ctrlProps/ctrlProp1207.xml"/><Relationship Id="rId251" Type="http://schemas.openxmlformats.org/officeDocument/2006/relationships/ctrlProp" Target="../ctrlProps/ctrlProp1228.xml"/><Relationship Id="rId25" Type="http://schemas.openxmlformats.org/officeDocument/2006/relationships/ctrlProp" Target="../ctrlProps/ctrlProp1002.xml"/><Relationship Id="rId46" Type="http://schemas.openxmlformats.org/officeDocument/2006/relationships/ctrlProp" Target="../ctrlProps/ctrlProp1023.xml"/><Relationship Id="rId67" Type="http://schemas.openxmlformats.org/officeDocument/2006/relationships/ctrlProp" Target="../ctrlProps/ctrlProp1044.xml"/><Relationship Id="rId272" Type="http://schemas.openxmlformats.org/officeDocument/2006/relationships/ctrlProp" Target="../ctrlProps/ctrlProp1249.xml"/><Relationship Id="rId88" Type="http://schemas.openxmlformats.org/officeDocument/2006/relationships/ctrlProp" Target="../ctrlProps/ctrlProp1065.xml"/><Relationship Id="rId111" Type="http://schemas.openxmlformats.org/officeDocument/2006/relationships/ctrlProp" Target="../ctrlProps/ctrlProp1088.xml"/><Relationship Id="rId132" Type="http://schemas.openxmlformats.org/officeDocument/2006/relationships/ctrlProp" Target="../ctrlProps/ctrlProp1109.xml"/><Relationship Id="rId153" Type="http://schemas.openxmlformats.org/officeDocument/2006/relationships/ctrlProp" Target="../ctrlProps/ctrlProp1130.xml"/><Relationship Id="rId174" Type="http://schemas.openxmlformats.org/officeDocument/2006/relationships/ctrlProp" Target="../ctrlProps/ctrlProp1151.xml"/><Relationship Id="rId195" Type="http://schemas.openxmlformats.org/officeDocument/2006/relationships/ctrlProp" Target="../ctrlProps/ctrlProp1172.xml"/><Relationship Id="rId209" Type="http://schemas.openxmlformats.org/officeDocument/2006/relationships/ctrlProp" Target="../ctrlProps/ctrlProp1186.xml"/><Relationship Id="rId220" Type="http://schemas.openxmlformats.org/officeDocument/2006/relationships/ctrlProp" Target="../ctrlProps/ctrlProp1197.xml"/><Relationship Id="rId241" Type="http://schemas.openxmlformats.org/officeDocument/2006/relationships/ctrlProp" Target="../ctrlProps/ctrlProp1218.xml"/><Relationship Id="rId15" Type="http://schemas.openxmlformats.org/officeDocument/2006/relationships/ctrlProp" Target="../ctrlProps/ctrlProp992.xml"/><Relationship Id="rId36" Type="http://schemas.openxmlformats.org/officeDocument/2006/relationships/ctrlProp" Target="../ctrlProps/ctrlProp1013.xml"/><Relationship Id="rId57" Type="http://schemas.openxmlformats.org/officeDocument/2006/relationships/ctrlProp" Target="../ctrlProps/ctrlProp1034.xml"/><Relationship Id="rId262" Type="http://schemas.openxmlformats.org/officeDocument/2006/relationships/ctrlProp" Target="../ctrlProps/ctrlProp1239.xml"/><Relationship Id="rId283" Type="http://schemas.openxmlformats.org/officeDocument/2006/relationships/ctrlProp" Target="../ctrlProps/ctrlProp1260.xml"/><Relationship Id="rId78" Type="http://schemas.openxmlformats.org/officeDocument/2006/relationships/ctrlProp" Target="../ctrlProps/ctrlProp1055.xml"/><Relationship Id="rId99" Type="http://schemas.openxmlformats.org/officeDocument/2006/relationships/ctrlProp" Target="../ctrlProps/ctrlProp1076.xml"/><Relationship Id="rId101" Type="http://schemas.openxmlformats.org/officeDocument/2006/relationships/ctrlProp" Target="../ctrlProps/ctrlProp1078.xml"/><Relationship Id="rId122" Type="http://schemas.openxmlformats.org/officeDocument/2006/relationships/ctrlProp" Target="../ctrlProps/ctrlProp1099.xml"/><Relationship Id="rId143" Type="http://schemas.openxmlformats.org/officeDocument/2006/relationships/ctrlProp" Target="../ctrlProps/ctrlProp1120.xml"/><Relationship Id="rId164" Type="http://schemas.openxmlformats.org/officeDocument/2006/relationships/ctrlProp" Target="../ctrlProps/ctrlProp1141.xml"/><Relationship Id="rId185" Type="http://schemas.openxmlformats.org/officeDocument/2006/relationships/ctrlProp" Target="../ctrlProps/ctrlProp1162.xml"/><Relationship Id="rId9" Type="http://schemas.openxmlformats.org/officeDocument/2006/relationships/ctrlProp" Target="../ctrlProps/ctrlProp986.xml"/><Relationship Id="rId210" Type="http://schemas.openxmlformats.org/officeDocument/2006/relationships/ctrlProp" Target="../ctrlProps/ctrlProp1187.xml"/><Relationship Id="rId26" Type="http://schemas.openxmlformats.org/officeDocument/2006/relationships/ctrlProp" Target="../ctrlProps/ctrlProp1003.xml"/><Relationship Id="rId231" Type="http://schemas.openxmlformats.org/officeDocument/2006/relationships/ctrlProp" Target="../ctrlProps/ctrlProp1208.xml"/><Relationship Id="rId252" Type="http://schemas.openxmlformats.org/officeDocument/2006/relationships/ctrlProp" Target="../ctrlProps/ctrlProp1229.xml"/><Relationship Id="rId273" Type="http://schemas.openxmlformats.org/officeDocument/2006/relationships/ctrlProp" Target="../ctrlProps/ctrlProp1250.xml"/><Relationship Id="rId47" Type="http://schemas.openxmlformats.org/officeDocument/2006/relationships/ctrlProp" Target="../ctrlProps/ctrlProp1024.xml"/><Relationship Id="rId68" Type="http://schemas.openxmlformats.org/officeDocument/2006/relationships/ctrlProp" Target="../ctrlProps/ctrlProp1045.xml"/><Relationship Id="rId89" Type="http://schemas.openxmlformats.org/officeDocument/2006/relationships/ctrlProp" Target="../ctrlProps/ctrlProp1066.xml"/><Relationship Id="rId112" Type="http://schemas.openxmlformats.org/officeDocument/2006/relationships/ctrlProp" Target="../ctrlProps/ctrlProp1089.xml"/><Relationship Id="rId133" Type="http://schemas.openxmlformats.org/officeDocument/2006/relationships/ctrlProp" Target="../ctrlProps/ctrlProp1110.xml"/><Relationship Id="rId154" Type="http://schemas.openxmlformats.org/officeDocument/2006/relationships/ctrlProp" Target="../ctrlProps/ctrlProp1131.xml"/><Relationship Id="rId175" Type="http://schemas.openxmlformats.org/officeDocument/2006/relationships/ctrlProp" Target="../ctrlProps/ctrlProp1152.xml"/><Relationship Id="rId196" Type="http://schemas.openxmlformats.org/officeDocument/2006/relationships/ctrlProp" Target="../ctrlProps/ctrlProp1173.xml"/><Relationship Id="rId200" Type="http://schemas.openxmlformats.org/officeDocument/2006/relationships/ctrlProp" Target="../ctrlProps/ctrlProp1177.xml"/><Relationship Id="rId16" Type="http://schemas.openxmlformats.org/officeDocument/2006/relationships/ctrlProp" Target="../ctrlProps/ctrlProp993.xml"/><Relationship Id="rId221" Type="http://schemas.openxmlformats.org/officeDocument/2006/relationships/ctrlProp" Target="../ctrlProps/ctrlProp1198.xml"/><Relationship Id="rId242" Type="http://schemas.openxmlformats.org/officeDocument/2006/relationships/ctrlProp" Target="../ctrlProps/ctrlProp1219.xml"/><Relationship Id="rId263" Type="http://schemas.openxmlformats.org/officeDocument/2006/relationships/ctrlProp" Target="../ctrlProps/ctrlProp1240.xml"/><Relationship Id="rId284" Type="http://schemas.openxmlformats.org/officeDocument/2006/relationships/ctrlProp" Target="../ctrlProps/ctrlProp1261.xml"/><Relationship Id="rId37" Type="http://schemas.openxmlformats.org/officeDocument/2006/relationships/ctrlProp" Target="../ctrlProps/ctrlProp1014.xml"/><Relationship Id="rId58" Type="http://schemas.openxmlformats.org/officeDocument/2006/relationships/ctrlProp" Target="../ctrlProps/ctrlProp1035.xml"/><Relationship Id="rId79" Type="http://schemas.openxmlformats.org/officeDocument/2006/relationships/ctrlProp" Target="../ctrlProps/ctrlProp1056.xml"/><Relationship Id="rId102" Type="http://schemas.openxmlformats.org/officeDocument/2006/relationships/ctrlProp" Target="../ctrlProps/ctrlProp1079.xml"/><Relationship Id="rId123" Type="http://schemas.openxmlformats.org/officeDocument/2006/relationships/ctrlProp" Target="../ctrlProps/ctrlProp1100.xml"/><Relationship Id="rId144" Type="http://schemas.openxmlformats.org/officeDocument/2006/relationships/ctrlProp" Target="../ctrlProps/ctrlProp1121.xml"/><Relationship Id="rId90" Type="http://schemas.openxmlformats.org/officeDocument/2006/relationships/ctrlProp" Target="../ctrlProps/ctrlProp1067.xml"/><Relationship Id="rId165" Type="http://schemas.openxmlformats.org/officeDocument/2006/relationships/ctrlProp" Target="../ctrlProps/ctrlProp1142.xml"/><Relationship Id="rId186" Type="http://schemas.openxmlformats.org/officeDocument/2006/relationships/ctrlProp" Target="../ctrlProps/ctrlProp1163.xml"/><Relationship Id="rId211" Type="http://schemas.openxmlformats.org/officeDocument/2006/relationships/ctrlProp" Target="../ctrlProps/ctrlProp1188.xml"/><Relationship Id="rId232" Type="http://schemas.openxmlformats.org/officeDocument/2006/relationships/ctrlProp" Target="../ctrlProps/ctrlProp1209.xml"/><Relationship Id="rId253" Type="http://schemas.openxmlformats.org/officeDocument/2006/relationships/ctrlProp" Target="../ctrlProps/ctrlProp1230.xml"/><Relationship Id="rId274" Type="http://schemas.openxmlformats.org/officeDocument/2006/relationships/ctrlProp" Target="../ctrlProps/ctrlProp1251.xml"/><Relationship Id="rId27" Type="http://schemas.openxmlformats.org/officeDocument/2006/relationships/ctrlProp" Target="../ctrlProps/ctrlProp1004.xml"/><Relationship Id="rId48" Type="http://schemas.openxmlformats.org/officeDocument/2006/relationships/ctrlProp" Target="../ctrlProps/ctrlProp1025.xml"/><Relationship Id="rId69" Type="http://schemas.openxmlformats.org/officeDocument/2006/relationships/ctrlProp" Target="../ctrlProps/ctrlProp1046.xml"/><Relationship Id="rId113" Type="http://schemas.openxmlformats.org/officeDocument/2006/relationships/ctrlProp" Target="../ctrlProps/ctrlProp1090.xml"/><Relationship Id="rId134" Type="http://schemas.openxmlformats.org/officeDocument/2006/relationships/ctrlProp" Target="../ctrlProps/ctrlProp1111.xml"/><Relationship Id="rId80" Type="http://schemas.openxmlformats.org/officeDocument/2006/relationships/ctrlProp" Target="../ctrlProps/ctrlProp1057.xml"/><Relationship Id="rId155" Type="http://schemas.openxmlformats.org/officeDocument/2006/relationships/ctrlProp" Target="../ctrlProps/ctrlProp1132.xml"/><Relationship Id="rId176" Type="http://schemas.openxmlformats.org/officeDocument/2006/relationships/ctrlProp" Target="../ctrlProps/ctrlProp1153.xml"/><Relationship Id="rId197" Type="http://schemas.openxmlformats.org/officeDocument/2006/relationships/ctrlProp" Target="../ctrlProps/ctrlProp1174.xml"/><Relationship Id="rId201" Type="http://schemas.openxmlformats.org/officeDocument/2006/relationships/ctrlProp" Target="../ctrlProps/ctrlProp1178.xml"/><Relationship Id="rId222" Type="http://schemas.openxmlformats.org/officeDocument/2006/relationships/ctrlProp" Target="../ctrlProps/ctrlProp1199.xml"/><Relationship Id="rId243" Type="http://schemas.openxmlformats.org/officeDocument/2006/relationships/ctrlProp" Target="../ctrlProps/ctrlProp1220.xml"/><Relationship Id="rId264" Type="http://schemas.openxmlformats.org/officeDocument/2006/relationships/ctrlProp" Target="../ctrlProps/ctrlProp1241.xml"/><Relationship Id="rId17" Type="http://schemas.openxmlformats.org/officeDocument/2006/relationships/ctrlProp" Target="../ctrlProps/ctrlProp994.xml"/><Relationship Id="rId38" Type="http://schemas.openxmlformats.org/officeDocument/2006/relationships/ctrlProp" Target="../ctrlProps/ctrlProp1015.xml"/><Relationship Id="rId59" Type="http://schemas.openxmlformats.org/officeDocument/2006/relationships/ctrlProp" Target="../ctrlProps/ctrlProp1036.xml"/><Relationship Id="rId103" Type="http://schemas.openxmlformats.org/officeDocument/2006/relationships/ctrlProp" Target="../ctrlProps/ctrlProp1080.xml"/><Relationship Id="rId124" Type="http://schemas.openxmlformats.org/officeDocument/2006/relationships/ctrlProp" Target="../ctrlProps/ctrlProp1101.xml"/><Relationship Id="rId70" Type="http://schemas.openxmlformats.org/officeDocument/2006/relationships/ctrlProp" Target="../ctrlProps/ctrlProp1047.xml"/><Relationship Id="rId91" Type="http://schemas.openxmlformats.org/officeDocument/2006/relationships/ctrlProp" Target="../ctrlProps/ctrlProp1068.xml"/><Relationship Id="rId145" Type="http://schemas.openxmlformats.org/officeDocument/2006/relationships/ctrlProp" Target="../ctrlProps/ctrlProp1122.xml"/><Relationship Id="rId166" Type="http://schemas.openxmlformats.org/officeDocument/2006/relationships/ctrlProp" Target="../ctrlProps/ctrlProp1143.xml"/><Relationship Id="rId187" Type="http://schemas.openxmlformats.org/officeDocument/2006/relationships/ctrlProp" Target="../ctrlProps/ctrlProp1164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189.xml"/><Relationship Id="rId233" Type="http://schemas.openxmlformats.org/officeDocument/2006/relationships/ctrlProp" Target="../ctrlProps/ctrlProp1210.xml"/><Relationship Id="rId254" Type="http://schemas.openxmlformats.org/officeDocument/2006/relationships/ctrlProp" Target="../ctrlProps/ctrlProp1231.xml"/><Relationship Id="rId28" Type="http://schemas.openxmlformats.org/officeDocument/2006/relationships/ctrlProp" Target="../ctrlProps/ctrlProp1005.xml"/><Relationship Id="rId49" Type="http://schemas.openxmlformats.org/officeDocument/2006/relationships/ctrlProp" Target="../ctrlProps/ctrlProp1026.xml"/><Relationship Id="rId114" Type="http://schemas.openxmlformats.org/officeDocument/2006/relationships/ctrlProp" Target="../ctrlProps/ctrlProp1091.xml"/><Relationship Id="rId275" Type="http://schemas.openxmlformats.org/officeDocument/2006/relationships/ctrlProp" Target="../ctrlProps/ctrlProp1252.xml"/><Relationship Id="rId60" Type="http://schemas.openxmlformats.org/officeDocument/2006/relationships/ctrlProp" Target="../ctrlProps/ctrlProp1037.xml"/><Relationship Id="rId81" Type="http://schemas.openxmlformats.org/officeDocument/2006/relationships/ctrlProp" Target="../ctrlProps/ctrlProp1058.xml"/><Relationship Id="rId135" Type="http://schemas.openxmlformats.org/officeDocument/2006/relationships/ctrlProp" Target="../ctrlProps/ctrlProp1112.xml"/><Relationship Id="rId156" Type="http://schemas.openxmlformats.org/officeDocument/2006/relationships/ctrlProp" Target="../ctrlProps/ctrlProp1133.xml"/><Relationship Id="rId177" Type="http://schemas.openxmlformats.org/officeDocument/2006/relationships/ctrlProp" Target="../ctrlProps/ctrlProp1154.xml"/><Relationship Id="rId198" Type="http://schemas.openxmlformats.org/officeDocument/2006/relationships/ctrlProp" Target="../ctrlProps/ctrlProp1175.xml"/><Relationship Id="rId202" Type="http://schemas.openxmlformats.org/officeDocument/2006/relationships/ctrlProp" Target="../ctrlProps/ctrlProp1179.xml"/><Relationship Id="rId223" Type="http://schemas.openxmlformats.org/officeDocument/2006/relationships/ctrlProp" Target="../ctrlProps/ctrlProp1200.xml"/><Relationship Id="rId244" Type="http://schemas.openxmlformats.org/officeDocument/2006/relationships/ctrlProp" Target="../ctrlProps/ctrlProp1221.xml"/><Relationship Id="rId18" Type="http://schemas.openxmlformats.org/officeDocument/2006/relationships/ctrlProp" Target="../ctrlProps/ctrlProp995.xml"/><Relationship Id="rId39" Type="http://schemas.openxmlformats.org/officeDocument/2006/relationships/ctrlProp" Target="../ctrlProps/ctrlProp1016.xml"/><Relationship Id="rId265" Type="http://schemas.openxmlformats.org/officeDocument/2006/relationships/ctrlProp" Target="../ctrlProps/ctrlProp1242.xml"/><Relationship Id="rId50" Type="http://schemas.openxmlformats.org/officeDocument/2006/relationships/ctrlProp" Target="../ctrlProps/ctrlProp1027.xml"/><Relationship Id="rId104" Type="http://schemas.openxmlformats.org/officeDocument/2006/relationships/ctrlProp" Target="../ctrlProps/ctrlProp1081.xml"/><Relationship Id="rId125" Type="http://schemas.openxmlformats.org/officeDocument/2006/relationships/ctrlProp" Target="../ctrlProps/ctrlProp1102.xml"/><Relationship Id="rId146" Type="http://schemas.openxmlformats.org/officeDocument/2006/relationships/ctrlProp" Target="../ctrlProps/ctrlProp1123.xml"/><Relationship Id="rId167" Type="http://schemas.openxmlformats.org/officeDocument/2006/relationships/ctrlProp" Target="../ctrlProps/ctrlProp1144.xml"/><Relationship Id="rId188" Type="http://schemas.openxmlformats.org/officeDocument/2006/relationships/ctrlProp" Target="../ctrlProps/ctrlProp1165.xml"/><Relationship Id="rId71" Type="http://schemas.openxmlformats.org/officeDocument/2006/relationships/ctrlProp" Target="../ctrlProps/ctrlProp1048.xml"/><Relationship Id="rId92" Type="http://schemas.openxmlformats.org/officeDocument/2006/relationships/ctrlProp" Target="../ctrlProps/ctrlProp1069.xml"/><Relationship Id="rId213" Type="http://schemas.openxmlformats.org/officeDocument/2006/relationships/ctrlProp" Target="../ctrlProps/ctrlProp1190.xml"/><Relationship Id="rId234" Type="http://schemas.openxmlformats.org/officeDocument/2006/relationships/ctrlProp" Target="../ctrlProps/ctrlProp1211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06.xml"/><Relationship Id="rId255" Type="http://schemas.openxmlformats.org/officeDocument/2006/relationships/ctrlProp" Target="../ctrlProps/ctrlProp1232.xml"/><Relationship Id="rId276" Type="http://schemas.openxmlformats.org/officeDocument/2006/relationships/ctrlProp" Target="../ctrlProps/ctrlProp1253.xml"/><Relationship Id="rId40" Type="http://schemas.openxmlformats.org/officeDocument/2006/relationships/ctrlProp" Target="../ctrlProps/ctrlProp1017.xml"/><Relationship Id="rId115" Type="http://schemas.openxmlformats.org/officeDocument/2006/relationships/ctrlProp" Target="../ctrlProps/ctrlProp1092.xml"/><Relationship Id="rId136" Type="http://schemas.openxmlformats.org/officeDocument/2006/relationships/ctrlProp" Target="../ctrlProps/ctrlProp1113.xml"/><Relationship Id="rId157" Type="http://schemas.openxmlformats.org/officeDocument/2006/relationships/ctrlProp" Target="../ctrlProps/ctrlProp1134.xml"/><Relationship Id="rId178" Type="http://schemas.openxmlformats.org/officeDocument/2006/relationships/ctrlProp" Target="../ctrlProps/ctrlProp1155.xml"/><Relationship Id="rId61" Type="http://schemas.openxmlformats.org/officeDocument/2006/relationships/ctrlProp" Target="../ctrlProps/ctrlProp1038.xml"/><Relationship Id="rId82" Type="http://schemas.openxmlformats.org/officeDocument/2006/relationships/ctrlProp" Target="../ctrlProps/ctrlProp1059.xml"/><Relationship Id="rId199" Type="http://schemas.openxmlformats.org/officeDocument/2006/relationships/ctrlProp" Target="../ctrlProps/ctrlProp1176.xml"/><Relationship Id="rId203" Type="http://schemas.openxmlformats.org/officeDocument/2006/relationships/ctrlProp" Target="../ctrlProps/ctrlProp1180.xml"/><Relationship Id="rId19" Type="http://schemas.openxmlformats.org/officeDocument/2006/relationships/ctrlProp" Target="../ctrlProps/ctrlProp996.xml"/><Relationship Id="rId224" Type="http://schemas.openxmlformats.org/officeDocument/2006/relationships/ctrlProp" Target="../ctrlProps/ctrlProp1201.xml"/><Relationship Id="rId245" Type="http://schemas.openxmlformats.org/officeDocument/2006/relationships/ctrlProp" Target="../ctrlProps/ctrlProp1222.xml"/><Relationship Id="rId266" Type="http://schemas.openxmlformats.org/officeDocument/2006/relationships/ctrlProp" Target="../ctrlProps/ctrlProp1243.xml"/><Relationship Id="rId30" Type="http://schemas.openxmlformats.org/officeDocument/2006/relationships/ctrlProp" Target="../ctrlProps/ctrlProp1007.xml"/><Relationship Id="rId105" Type="http://schemas.openxmlformats.org/officeDocument/2006/relationships/ctrlProp" Target="../ctrlProps/ctrlProp1082.xml"/><Relationship Id="rId126" Type="http://schemas.openxmlformats.org/officeDocument/2006/relationships/ctrlProp" Target="../ctrlProps/ctrlProp1103.xml"/><Relationship Id="rId147" Type="http://schemas.openxmlformats.org/officeDocument/2006/relationships/ctrlProp" Target="../ctrlProps/ctrlProp1124.xml"/><Relationship Id="rId168" Type="http://schemas.openxmlformats.org/officeDocument/2006/relationships/ctrlProp" Target="../ctrlProps/ctrlProp1145.xml"/><Relationship Id="rId51" Type="http://schemas.openxmlformats.org/officeDocument/2006/relationships/ctrlProp" Target="../ctrlProps/ctrlProp1028.xml"/><Relationship Id="rId72" Type="http://schemas.openxmlformats.org/officeDocument/2006/relationships/ctrlProp" Target="../ctrlProps/ctrlProp1049.xml"/><Relationship Id="rId93" Type="http://schemas.openxmlformats.org/officeDocument/2006/relationships/ctrlProp" Target="../ctrlProps/ctrlProp1070.xml"/><Relationship Id="rId189" Type="http://schemas.openxmlformats.org/officeDocument/2006/relationships/ctrlProp" Target="../ctrlProps/ctrlProp1166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191.xml"/><Relationship Id="rId235" Type="http://schemas.openxmlformats.org/officeDocument/2006/relationships/ctrlProp" Target="../ctrlProps/ctrlProp1212.xml"/><Relationship Id="rId256" Type="http://schemas.openxmlformats.org/officeDocument/2006/relationships/ctrlProp" Target="../ctrlProps/ctrlProp1233.xml"/><Relationship Id="rId277" Type="http://schemas.openxmlformats.org/officeDocument/2006/relationships/ctrlProp" Target="../ctrlProps/ctrlProp1254.xml"/><Relationship Id="rId116" Type="http://schemas.openxmlformats.org/officeDocument/2006/relationships/ctrlProp" Target="../ctrlProps/ctrlProp1093.xml"/><Relationship Id="rId137" Type="http://schemas.openxmlformats.org/officeDocument/2006/relationships/ctrlProp" Target="../ctrlProps/ctrlProp1114.xml"/><Relationship Id="rId158" Type="http://schemas.openxmlformats.org/officeDocument/2006/relationships/ctrlProp" Target="../ctrlProps/ctrlProp1135.xml"/><Relationship Id="rId20" Type="http://schemas.openxmlformats.org/officeDocument/2006/relationships/ctrlProp" Target="../ctrlProps/ctrlProp997.xml"/><Relationship Id="rId41" Type="http://schemas.openxmlformats.org/officeDocument/2006/relationships/ctrlProp" Target="../ctrlProps/ctrlProp1018.xml"/><Relationship Id="rId62" Type="http://schemas.openxmlformats.org/officeDocument/2006/relationships/ctrlProp" Target="../ctrlProps/ctrlProp1039.xml"/><Relationship Id="rId83" Type="http://schemas.openxmlformats.org/officeDocument/2006/relationships/ctrlProp" Target="../ctrlProps/ctrlProp1060.xml"/><Relationship Id="rId179" Type="http://schemas.openxmlformats.org/officeDocument/2006/relationships/ctrlProp" Target="../ctrlProps/ctrlProp1156.xml"/><Relationship Id="rId190" Type="http://schemas.openxmlformats.org/officeDocument/2006/relationships/ctrlProp" Target="../ctrlProps/ctrlProp1167.xml"/><Relationship Id="rId204" Type="http://schemas.openxmlformats.org/officeDocument/2006/relationships/ctrlProp" Target="../ctrlProps/ctrlProp1181.xml"/><Relationship Id="rId225" Type="http://schemas.openxmlformats.org/officeDocument/2006/relationships/ctrlProp" Target="../ctrlProps/ctrlProp1202.xml"/><Relationship Id="rId246" Type="http://schemas.openxmlformats.org/officeDocument/2006/relationships/ctrlProp" Target="../ctrlProps/ctrlProp1223.xml"/><Relationship Id="rId267" Type="http://schemas.openxmlformats.org/officeDocument/2006/relationships/ctrlProp" Target="../ctrlProps/ctrlProp1244.xml"/><Relationship Id="rId106" Type="http://schemas.openxmlformats.org/officeDocument/2006/relationships/ctrlProp" Target="../ctrlProps/ctrlProp1083.xml"/><Relationship Id="rId127" Type="http://schemas.openxmlformats.org/officeDocument/2006/relationships/ctrlProp" Target="../ctrlProps/ctrlProp1104.xml"/><Relationship Id="rId10" Type="http://schemas.openxmlformats.org/officeDocument/2006/relationships/ctrlProp" Target="../ctrlProps/ctrlProp987.xml"/><Relationship Id="rId31" Type="http://schemas.openxmlformats.org/officeDocument/2006/relationships/ctrlProp" Target="../ctrlProps/ctrlProp1008.xml"/><Relationship Id="rId52" Type="http://schemas.openxmlformats.org/officeDocument/2006/relationships/ctrlProp" Target="../ctrlProps/ctrlProp1029.xml"/><Relationship Id="rId73" Type="http://schemas.openxmlformats.org/officeDocument/2006/relationships/ctrlProp" Target="../ctrlProps/ctrlProp1050.xml"/><Relationship Id="rId94" Type="http://schemas.openxmlformats.org/officeDocument/2006/relationships/ctrlProp" Target="../ctrlProps/ctrlProp1071.xml"/><Relationship Id="rId148" Type="http://schemas.openxmlformats.org/officeDocument/2006/relationships/ctrlProp" Target="../ctrlProps/ctrlProp1125.xml"/><Relationship Id="rId169" Type="http://schemas.openxmlformats.org/officeDocument/2006/relationships/ctrlProp" Target="../ctrlProps/ctrlProp1146.xml"/><Relationship Id="rId4" Type="http://schemas.openxmlformats.org/officeDocument/2006/relationships/ctrlProp" Target="../ctrlProps/ctrlProp981.xml"/><Relationship Id="rId180" Type="http://schemas.openxmlformats.org/officeDocument/2006/relationships/ctrlProp" Target="../ctrlProps/ctrlProp1157.xml"/><Relationship Id="rId215" Type="http://schemas.openxmlformats.org/officeDocument/2006/relationships/ctrlProp" Target="../ctrlProps/ctrlProp1192.xml"/><Relationship Id="rId236" Type="http://schemas.openxmlformats.org/officeDocument/2006/relationships/ctrlProp" Target="../ctrlProps/ctrlProp1213.xml"/><Relationship Id="rId257" Type="http://schemas.openxmlformats.org/officeDocument/2006/relationships/ctrlProp" Target="../ctrlProps/ctrlProp1234.xml"/><Relationship Id="rId278" Type="http://schemas.openxmlformats.org/officeDocument/2006/relationships/ctrlProp" Target="../ctrlProps/ctrlProp1255.xml"/><Relationship Id="rId42" Type="http://schemas.openxmlformats.org/officeDocument/2006/relationships/ctrlProp" Target="../ctrlProps/ctrlProp1019.xml"/><Relationship Id="rId84" Type="http://schemas.openxmlformats.org/officeDocument/2006/relationships/ctrlProp" Target="../ctrlProps/ctrlProp1061.xml"/><Relationship Id="rId138" Type="http://schemas.openxmlformats.org/officeDocument/2006/relationships/ctrlProp" Target="../ctrlProps/ctrlProp1115.xml"/><Relationship Id="rId191" Type="http://schemas.openxmlformats.org/officeDocument/2006/relationships/ctrlProp" Target="../ctrlProps/ctrlProp1168.xml"/><Relationship Id="rId205" Type="http://schemas.openxmlformats.org/officeDocument/2006/relationships/ctrlProp" Target="../ctrlProps/ctrlProp1182.xml"/><Relationship Id="rId247" Type="http://schemas.openxmlformats.org/officeDocument/2006/relationships/ctrlProp" Target="../ctrlProps/ctrlProp1224.xml"/><Relationship Id="rId107" Type="http://schemas.openxmlformats.org/officeDocument/2006/relationships/ctrlProp" Target="../ctrlProps/ctrlProp1084.xml"/><Relationship Id="rId11" Type="http://schemas.openxmlformats.org/officeDocument/2006/relationships/ctrlProp" Target="../ctrlProps/ctrlProp988.xml"/><Relationship Id="rId53" Type="http://schemas.openxmlformats.org/officeDocument/2006/relationships/ctrlProp" Target="../ctrlProps/ctrlProp1030.xml"/><Relationship Id="rId149" Type="http://schemas.openxmlformats.org/officeDocument/2006/relationships/ctrlProp" Target="../ctrlProps/ctrlProp1126.xml"/><Relationship Id="rId95" Type="http://schemas.openxmlformats.org/officeDocument/2006/relationships/ctrlProp" Target="../ctrlProps/ctrlProp1072.xml"/><Relationship Id="rId160" Type="http://schemas.openxmlformats.org/officeDocument/2006/relationships/ctrlProp" Target="../ctrlProps/ctrlProp1137.xml"/><Relationship Id="rId216" Type="http://schemas.openxmlformats.org/officeDocument/2006/relationships/ctrlProp" Target="../ctrlProps/ctrlProp1193.xml"/><Relationship Id="rId258" Type="http://schemas.openxmlformats.org/officeDocument/2006/relationships/ctrlProp" Target="../ctrlProps/ctrlProp1235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A1:BL67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3984375" style="689" customWidth="1"/>
    <col min="2" max="2" width="4.3984375" style="689" customWidth="1"/>
    <col min="3" max="3" width="9.3984375" style="689" customWidth="1"/>
    <col min="4" max="4" width="9.1328125" style="689"/>
    <col min="5" max="5" width="9.59765625" style="689" customWidth="1"/>
    <col min="6" max="7" width="9.1328125" style="689"/>
    <col min="8" max="8" width="10" style="689" bestFit="1" customWidth="1"/>
    <col min="9" max="9" width="9.1328125" style="689"/>
    <col min="10" max="10" width="11.3984375" style="689" customWidth="1"/>
    <col min="11" max="11" width="9.1328125" style="689" customWidth="1"/>
    <col min="12" max="12" width="8.73046875" style="689" customWidth="1"/>
    <col min="13" max="13" width="9.73046875" style="689" customWidth="1"/>
    <col min="14" max="16384" width="9.1328125" style="689"/>
  </cols>
  <sheetData>
    <row r="1" spans="1:64" s="698" customFormat="1" ht="6.8" customHeight="1" x14ac:dyDescent="0.35">
      <c r="A1" s="696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7"/>
      <c r="AM1" s="697"/>
      <c r="AN1" s="697"/>
      <c r="AO1" s="697"/>
      <c r="AP1" s="697"/>
      <c r="AQ1" s="697"/>
      <c r="AR1" s="697"/>
      <c r="AS1" s="697"/>
      <c r="AT1" s="697"/>
      <c r="AU1" s="697"/>
      <c r="AV1" s="697"/>
      <c r="AW1" s="697"/>
      <c r="AX1" s="697"/>
      <c r="AY1" s="697"/>
      <c r="AZ1" s="697"/>
      <c r="BA1" s="697"/>
      <c r="BB1" s="697"/>
      <c r="BC1" s="697"/>
      <c r="BD1" s="697"/>
      <c r="BE1" s="697"/>
      <c r="BF1" s="697"/>
      <c r="BG1" s="697"/>
      <c r="BH1" s="697"/>
      <c r="BI1" s="697"/>
      <c r="BJ1" s="697"/>
      <c r="BK1" s="697"/>
    </row>
    <row r="2" spans="1:64" s="704" customFormat="1" ht="17.25" customHeight="1" x14ac:dyDescent="0.4">
      <c r="A2" s="697"/>
      <c r="B2" s="697"/>
      <c r="C2" s="699" t="s">
        <v>326</v>
      </c>
      <c r="D2" s="697"/>
      <c r="E2" s="700">
        <f ca="1">Var_AfspraakDatum</f>
        <v>42739</v>
      </c>
      <c r="F2" s="701"/>
      <c r="G2" s="697"/>
      <c r="H2" s="699" t="s">
        <v>327</v>
      </c>
      <c r="I2" s="697"/>
      <c r="J2" s="702">
        <f>_Pat_OpnDatum</f>
        <v>42370</v>
      </c>
      <c r="K2" s="699" t="str">
        <f ca="1">"ICU-dag: "&amp;Var_AfspraakDatum-_Pat_OpnDatum+1</f>
        <v>ICU-dag: 370</v>
      </c>
      <c r="L2" s="697"/>
      <c r="M2" s="699"/>
      <c r="N2" s="699" t="s">
        <v>549</v>
      </c>
      <c r="O2" s="703">
        <f>__1_Bed</f>
        <v>0</v>
      </c>
      <c r="P2" s="697"/>
      <c r="Q2" s="697"/>
      <c r="R2" s="697"/>
      <c r="S2" s="697"/>
      <c r="T2" s="697"/>
      <c r="U2" s="697"/>
      <c r="V2" s="697"/>
      <c r="W2" s="697"/>
      <c r="X2" s="697"/>
      <c r="Y2" s="697"/>
      <c r="Z2" s="697"/>
      <c r="AA2" s="697"/>
      <c r="AB2" s="697"/>
      <c r="AC2" s="697"/>
      <c r="AD2" s="697"/>
      <c r="AE2" s="697"/>
      <c r="AF2" s="697"/>
      <c r="AG2" s="697"/>
      <c r="AH2" s="697"/>
      <c r="AI2" s="697"/>
      <c r="AJ2" s="697"/>
      <c r="AK2" s="697"/>
      <c r="AL2" s="697"/>
      <c r="AM2" s="697"/>
      <c r="AN2" s="697"/>
      <c r="AO2" s="697"/>
      <c r="AP2" s="697"/>
      <c r="AQ2" s="697"/>
      <c r="AR2" s="697"/>
      <c r="AS2" s="697"/>
      <c r="AT2" s="697"/>
      <c r="AU2" s="697"/>
      <c r="AV2" s="697"/>
      <c r="AW2" s="697"/>
      <c r="AX2" s="697"/>
      <c r="AY2" s="697"/>
      <c r="AZ2" s="697"/>
      <c r="BA2" s="697"/>
      <c r="BB2" s="697"/>
      <c r="BC2" s="697"/>
      <c r="BD2" s="697"/>
      <c r="BE2" s="697"/>
      <c r="BF2" s="697"/>
      <c r="BG2" s="697"/>
      <c r="BH2" s="697"/>
      <c r="BI2" s="697"/>
      <c r="BJ2" s="697"/>
      <c r="BK2" s="697"/>
    </row>
    <row r="3" spans="1:64" s="704" customFormat="1" ht="17.25" customHeight="1" x14ac:dyDescent="0.4">
      <c r="A3" s="697"/>
      <c r="B3" s="697"/>
      <c r="C3" s="699" t="s">
        <v>28</v>
      </c>
      <c r="D3" s="697"/>
      <c r="E3" s="705" t="str">
        <f>__2_AchterNaam&amp;", "&amp;__3_VoorNaam</f>
        <v xml:space="preserve">, </v>
      </c>
      <c r="F3" s="705"/>
      <c r="G3" s="697"/>
      <c r="H3" s="699" t="s">
        <v>334</v>
      </c>
      <c r="I3" s="697"/>
      <c r="J3" s="702">
        <f>__4_GebDatum</f>
        <v>0</v>
      </c>
      <c r="K3" s="706" t="str">
        <f>"Gewicht: "&amp;_Pat_Gewicht/10&amp;" kg"</f>
        <v>Gewicht: 10 kg</v>
      </c>
      <c r="L3" s="699"/>
      <c r="M3" s="697"/>
      <c r="N3" s="706" t="str">
        <f>"Lengte: "&amp;_Pat_Lengte&amp;" cm"</f>
        <v>Lengte: 80 cm</v>
      </c>
      <c r="O3" s="699"/>
      <c r="P3" s="697"/>
      <c r="Q3" s="697"/>
      <c r="R3" s="697"/>
      <c r="S3" s="697"/>
      <c r="T3" s="697"/>
      <c r="U3" s="697"/>
      <c r="V3" s="697"/>
      <c r="W3" s="697"/>
      <c r="X3" s="697"/>
      <c r="Y3" s="697"/>
      <c r="Z3" s="697"/>
      <c r="AA3" s="697"/>
      <c r="AB3" s="697"/>
      <c r="AC3" s="697"/>
      <c r="AD3" s="697"/>
      <c r="AE3" s="697"/>
      <c r="AF3" s="697"/>
      <c r="AG3" s="697"/>
      <c r="AH3" s="697"/>
      <c r="AI3" s="697"/>
      <c r="AJ3" s="697"/>
      <c r="AK3" s="697"/>
      <c r="AL3" s="697"/>
      <c r="AM3" s="697"/>
      <c r="AN3" s="697"/>
      <c r="AO3" s="697"/>
      <c r="AP3" s="697"/>
      <c r="AQ3" s="697"/>
      <c r="AR3" s="697"/>
      <c r="AS3" s="697"/>
      <c r="AT3" s="697"/>
      <c r="AU3" s="697"/>
      <c r="AV3" s="697"/>
      <c r="AW3" s="697"/>
      <c r="AX3" s="697"/>
      <c r="AY3" s="697"/>
      <c r="AZ3" s="697"/>
      <c r="BA3" s="697"/>
      <c r="BB3" s="697"/>
      <c r="BC3" s="697"/>
      <c r="BD3" s="697"/>
      <c r="BE3" s="697"/>
      <c r="BF3" s="697"/>
      <c r="BG3" s="697"/>
      <c r="BH3" s="697"/>
      <c r="BI3" s="697"/>
      <c r="BJ3" s="697"/>
      <c r="BK3" s="697"/>
    </row>
    <row r="4" spans="1:64" s="704" customFormat="1" ht="17.25" customHeight="1" x14ac:dyDescent="0.4">
      <c r="A4" s="697"/>
      <c r="B4" s="697"/>
      <c r="C4" s="699" t="s">
        <v>369</v>
      </c>
      <c r="D4" s="707"/>
      <c r="E4" s="706">
        <f>__0_PatNum</f>
        <v>0</v>
      </c>
      <c r="F4" s="701"/>
      <c r="G4" s="707"/>
      <c r="H4" s="699" t="s">
        <v>296</v>
      </c>
      <c r="I4" s="707"/>
      <c r="J4" s="708" t="str">
        <f ca="1">PatDetails!F2</f>
        <v/>
      </c>
      <c r="K4" s="699"/>
      <c r="L4" s="707"/>
      <c r="M4" s="699" t="str">
        <f>"Lichamelijk oppervlak: "&amp;ROUND(POWER(_Pat_Gewicht/10,0.424)*POWER(((_Pat_Lengte/100)*100),0.724)*0.007184,2)&amp;" m2"</f>
        <v>Lichamelijk oppervlak: 0,46 m2</v>
      </c>
      <c r="N4" s="699"/>
      <c r="O4" s="707"/>
      <c r="P4" s="707"/>
      <c r="Q4" s="707"/>
      <c r="R4" s="697"/>
      <c r="S4" s="697"/>
      <c r="T4" s="697"/>
      <c r="U4" s="697"/>
      <c r="V4" s="697"/>
      <c r="W4" s="697"/>
      <c r="X4" s="697"/>
      <c r="Y4" s="697"/>
      <c r="Z4" s="697"/>
      <c r="AA4" s="697"/>
      <c r="AB4" s="697"/>
      <c r="AC4" s="697"/>
      <c r="AD4" s="697"/>
      <c r="AE4" s="697"/>
      <c r="AF4" s="697"/>
      <c r="AG4" s="697"/>
      <c r="AH4" s="697"/>
      <c r="AI4" s="697"/>
      <c r="AJ4" s="697"/>
      <c r="AK4" s="697"/>
      <c r="AL4" s="697"/>
      <c r="AM4" s="697"/>
      <c r="AN4" s="697"/>
      <c r="AO4" s="697"/>
      <c r="AP4" s="697"/>
      <c r="AQ4" s="697"/>
      <c r="AR4" s="697"/>
      <c r="AS4" s="697"/>
      <c r="AT4" s="697"/>
      <c r="AU4" s="697"/>
      <c r="AV4" s="697"/>
      <c r="AW4" s="697"/>
      <c r="AX4" s="697"/>
      <c r="AY4" s="697"/>
      <c r="AZ4" s="697"/>
      <c r="BA4" s="697"/>
      <c r="BB4" s="697"/>
      <c r="BC4" s="697"/>
      <c r="BD4" s="697"/>
      <c r="BE4" s="697"/>
      <c r="BF4" s="697"/>
      <c r="BG4" s="697"/>
      <c r="BH4" s="697"/>
      <c r="BI4" s="697"/>
      <c r="BJ4" s="697"/>
      <c r="BK4" s="697"/>
    </row>
    <row r="5" spans="1:64" x14ac:dyDescent="0.35">
      <c r="A5" s="688"/>
      <c r="B5" s="688"/>
      <c r="C5" s="688"/>
      <c r="D5" s="693"/>
      <c r="E5" s="693"/>
      <c r="F5" s="693"/>
      <c r="G5" s="693"/>
      <c r="H5" s="693"/>
      <c r="I5" s="693"/>
      <c r="J5" s="693"/>
      <c r="K5" s="693"/>
      <c r="L5" s="693"/>
      <c r="M5" s="693"/>
      <c r="N5" s="693"/>
      <c r="O5" s="688"/>
      <c r="P5" s="688"/>
      <c r="Q5" s="688"/>
      <c r="R5" s="688"/>
      <c r="S5" s="688"/>
      <c r="T5" s="688"/>
      <c r="U5" s="688"/>
      <c r="V5" s="688"/>
    </row>
    <row r="6" spans="1:64" ht="19.55" customHeight="1" x14ac:dyDescent="0.4">
      <c r="A6" s="709" t="s">
        <v>4182</v>
      </c>
      <c r="B6" s="710">
        <v>1</v>
      </c>
      <c r="C6" s="711"/>
      <c r="D6" s="877">
        <f>GlobBerMedDisc!C2</f>
        <v>0</v>
      </c>
      <c r="E6" s="877"/>
      <c r="F6" s="877"/>
      <c r="G6" s="877"/>
      <c r="H6" s="712" t="str">
        <f>IF(INDEX(tblMedDiscTijdenValues,GlobBerMedDisc!I2,1)=0,"",INDEX(tblMedDiscTijdenValues,GlobBerMedDisc!I2,1))</f>
        <v/>
      </c>
      <c r="I6" s="713" t="str">
        <f>IF(GlobBerMedDisc!C2&gt;1,GlobBerMedDisc!H2,"")</f>
        <v/>
      </c>
      <c r="J6" s="714" t="str">
        <f>IF(GlobBerMedDisc!C2&gt;1,GlobBerMedDisc!F2,"")</f>
        <v/>
      </c>
      <c r="K6" s="715">
        <f>GlobBerMedDisc!L2</f>
        <v>0</v>
      </c>
      <c r="L6" s="716" t="str">
        <f>IF(AND(GlobBerMedDisc!C2&gt;1,GlobBerMedDisc!O2&gt;1),GlobBerMedDisc!N2,"")</f>
        <v/>
      </c>
      <c r="M6" s="716" t="str">
        <f>IF(AND(GlobBerMedDisc!C2&gt;1,L6&lt;&gt;0,GlobBerMedDisc!O2&gt;1),"ml","")</f>
        <v/>
      </c>
      <c r="N6" s="716"/>
      <c r="O6" s="716" t="str">
        <f>IF(AND(L6&lt;&gt;"",GlobBerMedDisc!Q2&gt;0),GlobBerMedDisc!Q2&amp;" min","")</f>
        <v/>
      </c>
      <c r="P6" s="716"/>
      <c r="Q6" s="688"/>
      <c r="R6" s="688"/>
      <c r="S6" s="688"/>
      <c r="T6" s="688"/>
      <c r="U6" s="688"/>
      <c r="V6" s="688"/>
    </row>
    <row r="7" spans="1:64" ht="19.55" customHeight="1" x14ac:dyDescent="0.35">
      <c r="A7" s="716"/>
      <c r="B7" s="710" t="s">
        <v>313</v>
      </c>
      <c r="C7" s="716"/>
      <c r="D7" s="717">
        <f>GlobBerOpm!C7</f>
        <v>0</v>
      </c>
      <c r="E7" s="717"/>
      <c r="F7" s="717"/>
      <c r="G7" s="717"/>
      <c r="H7" s="718" t="str">
        <f>IF(GlobBerMedDisc!C2&gt;1,"Dosering/kg/dag: ","")</f>
        <v/>
      </c>
      <c r="I7" s="716"/>
      <c r="J7" s="717" t="str">
        <f>IF(GlobBerMedDisc!C2&gt;1,GlobBerMedDisc!M2,"")</f>
        <v/>
      </c>
      <c r="K7" s="716" t="str">
        <f>IF(AND(GlobBerMedDisc!C2&gt;1),J6&amp;"/kg/dag ","")</f>
        <v/>
      </c>
      <c r="L7" s="716"/>
      <c r="M7" s="716" t="str">
        <f>IF(AND(GlobBerMedDisc!C2&gt;1,GlobBerMedDisc!O2&gt;1,GlobBerMedDisc!N2&gt;0),"Oplossing:","")</f>
        <v/>
      </c>
      <c r="N7" s="716" t="str">
        <f>IF(AND(GlobBerMedDisc!C2&gt;1,GlobBerMedDisc!O2&gt;1,GlobBerMedDisc!N2&gt;0),ROUND(GlobBerMedDisc!H2/GlobBerMedDisc!N2,2)&amp;" "&amp;GlobBerMedDisc!F2&amp;"/ml","")</f>
        <v/>
      </c>
      <c r="O7" s="716"/>
      <c r="P7" s="716"/>
      <c r="Q7" s="688"/>
      <c r="R7" s="688"/>
      <c r="S7" s="688"/>
      <c r="T7" s="688"/>
      <c r="U7" s="688"/>
      <c r="V7" s="688"/>
    </row>
    <row r="8" spans="1:64" ht="19.55" customHeight="1" x14ac:dyDescent="0.4">
      <c r="A8" s="719"/>
      <c r="B8" s="690">
        <v>2</v>
      </c>
      <c r="C8" s="720"/>
      <c r="D8" s="878">
        <f>GlobBerMedDisc!C3</f>
        <v>0</v>
      </c>
      <c r="E8" s="878"/>
      <c r="F8" s="878"/>
      <c r="G8" s="878"/>
      <c r="H8" s="692" t="str">
        <f>IF(INDEX(tblMedDiscTijdenValues,GlobBerMedDisc!I3,1)=0,"",INDEX(tblMedDiscTijdenValues,GlobBerMedDisc!I3,1))</f>
        <v/>
      </c>
      <c r="I8" s="721" t="str">
        <f>IF(GlobBerMedDisc!C3&gt;1,GlobBerMedDisc!H3,"")</f>
        <v/>
      </c>
      <c r="J8" s="722" t="str">
        <f>IF(GlobBerMedDisc!C3&gt;1,GlobBerMedDisc!F3,"")</f>
        <v/>
      </c>
      <c r="K8" s="723">
        <f>GlobBerMedDisc!L3</f>
        <v>0</v>
      </c>
      <c r="L8" s="693" t="str">
        <f>IF(AND(GlobBerMedDisc!C3&gt;1,GlobBerMedDisc!O3&gt;1,H8&lt;&gt;"STOP"),GlobBerMedDisc!N3,"")</f>
        <v/>
      </c>
      <c r="M8" s="693" t="str">
        <f>IF(AND(GlobBerMedDisc!C3&gt;1,L8&lt;&gt;0,GlobBerMedDisc!O3&gt;1,H8&lt;&gt;"STOP"),"ml","")</f>
        <v/>
      </c>
      <c r="N8" s="693"/>
      <c r="O8" s="693" t="str">
        <f>IF(AND(L8&lt;&gt;"",GlobBerMedDisc!Q3&gt;0,H8&lt;&gt;"STOP"),GlobBerMedDisc!Q3&amp;" min","")</f>
        <v/>
      </c>
      <c r="P8" s="693"/>
      <c r="Q8" s="688"/>
      <c r="R8" s="688"/>
      <c r="S8" s="688"/>
      <c r="T8" s="688"/>
      <c r="U8" s="688"/>
      <c r="V8" s="688"/>
    </row>
    <row r="9" spans="1:64" ht="19.55" customHeight="1" x14ac:dyDescent="0.35">
      <c r="A9" s="693"/>
      <c r="B9" s="690" t="s">
        <v>313</v>
      </c>
      <c r="C9" s="693"/>
      <c r="D9" s="724">
        <f>GlobBerOpm!C8</f>
        <v>0</v>
      </c>
      <c r="E9" s="724"/>
      <c r="F9" s="724"/>
      <c r="G9" s="724"/>
      <c r="H9" s="691" t="str">
        <f>IF(AND(GlobBerMedDisc!C3&gt;1,H8&lt;&gt;"STOP"),"Dosering/kg/dag: ","")</f>
        <v/>
      </c>
      <c r="I9" s="693"/>
      <c r="J9" s="724" t="str">
        <f>IF(GlobBerMedDisc!C3&gt;1,GlobBerMedDisc!M3,"")</f>
        <v/>
      </c>
      <c r="K9" s="693" t="str">
        <f>IF(AND(GlobBerMedDisc!C3&gt;1,H8&lt;&gt;"STOP"),J8&amp;"/kg/dag ","")</f>
        <v/>
      </c>
      <c r="L9" s="693"/>
      <c r="M9" s="693" t="str">
        <f>IF(AND(GlobBerMedDisc!C3&gt;1,GlobBerMedDisc!O3&gt;1,GlobBerMedDisc!N3&gt;0,H8&lt;&gt;"STOP"),"Oplossing:","")</f>
        <v/>
      </c>
      <c r="N9" s="693" t="str">
        <f>IF(AND(GlobBerMedDisc!C3&gt;1,GlobBerMedDisc!O3&gt;1,GlobBerMedDisc!N3&gt;0,H8&lt;&gt;"STOP"),ROUND(GlobBerMedDisc!H3/GlobBerMedDisc!N3,2)&amp;" "&amp;GlobBerMedDisc!F3&amp;"/ml","")</f>
        <v/>
      </c>
      <c r="O9" s="693"/>
      <c r="P9" s="693"/>
      <c r="Q9" s="688"/>
      <c r="R9" s="688"/>
      <c r="S9" s="688"/>
      <c r="T9" s="688"/>
      <c r="U9" s="688"/>
      <c r="V9" s="688"/>
    </row>
    <row r="10" spans="1:64" ht="19.55" customHeight="1" x14ac:dyDescent="0.4">
      <c r="A10" s="725"/>
      <c r="B10" s="710">
        <v>3</v>
      </c>
      <c r="C10" s="711"/>
      <c r="D10" s="877">
        <f>GlobBerMedDisc!C4</f>
        <v>0</v>
      </c>
      <c r="E10" s="877"/>
      <c r="F10" s="877"/>
      <c r="G10" s="877"/>
      <c r="H10" s="712" t="str">
        <f>IF(INDEX(tblMedDiscTijdenValues,GlobBerMedDisc!I4,1)=0,"",INDEX(tblMedDiscTijdenValues,GlobBerMedDisc!I4,1))</f>
        <v/>
      </c>
      <c r="I10" s="713" t="str">
        <f>IF(GlobBerMedDisc!C4&gt;1,GlobBerMedDisc!H4,"")</f>
        <v/>
      </c>
      <c r="J10" s="714" t="str">
        <f>IF(GlobBerMedDisc!C4&gt;1,GlobBerMedDisc!F4,"")</f>
        <v/>
      </c>
      <c r="K10" s="715">
        <f>GlobBerMedDisc!L4</f>
        <v>0</v>
      </c>
      <c r="L10" s="716" t="str">
        <f>IF(AND(GlobBerMedDisc!C4&gt;1,GlobBerMedDisc!O4&gt;1,H10&lt;&gt;"STOP"),GlobBerMedDisc!N4,"")</f>
        <v/>
      </c>
      <c r="M10" s="716" t="str">
        <f>IF(AND(GlobBerMedDisc!C4&gt;1,L10&lt;&gt;0,GlobBerMedDisc!O4&gt;1,H10&lt;&gt;"STOP"),"ml","")</f>
        <v/>
      </c>
      <c r="N10" s="716"/>
      <c r="O10" s="716" t="str">
        <f>IF(AND(L10&lt;&gt;"",GlobBerMedDisc!Q4&gt;0,H10&lt;&gt;"STOP"),GlobBerMedDisc!Q4&amp;" min","")</f>
        <v/>
      </c>
      <c r="P10" s="716"/>
      <c r="Q10" s="688"/>
      <c r="R10" s="688"/>
      <c r="S10" s="688"/>
      <c r="T10" s="688"/>
      <c r="U10" s="688"/>
      <c r="V10" s="688"/>
    </row>
    <row r="11" spans="1:64" ht="19.55" customHeight="1" x14ac:dyDescent="0.35">
      <c r="A11" s="716"/>
      <c r="B11" s="710" t="s">
        <v>313</v>
      </c>
      <c r="C11" s="716"/>
      <c r="D11" s="717">
        <f>GlobBerOpm!C9</f>
        <v>0</v>
      </c>
      <c r="E11" s="717"/>
      <c r="F11" s="717"/>
      <c r="G11" s="717"/>
      <c r="H11" s="718" t="str">
        <f>IF(AND(GlobBerMedDisc!C4&gt;1,H10&lt;&gt;"STOP"),"Dosering/kg/dag: ","")</f>
        <v/>
      </c>
      <c r="I11" s="716"/>
      <c r="J11" s="717" t="str">
        <f>IF(GlobBerMedDisc!C4&gt;1,GlobBerMedDisc!M4,"")</f>
        <v/>
      </c>
      <c r="K11" s="716" t="str">
        <f>IF(AND(GlobBerMedDisc!C4&gt;1,H10&lt;&gt;"STOP"),J10&amp;"/kg/dag ","")</f>
        <v/>
      </c>
      <c r="L11" s="716"/>
      <c r="M11" s="716" t="str">
        <f>IF(AND(GlobBerMedDisc!C4&gt;1,GlobBerMedDisc!O4&gt;1,GlobBerMedDisc!N4&gt;0,H10&lt;&gt;"STOP"),"Oplossing:","")</f>
        <v/>
      </c>
      <c r="N11" s="716" t="str">
        <f>IF(AND(GlobBerMedDisc!C4&gt;1,GlobBerMedDisc!O4&gt;1,GlobBerMedDisc!N4&gt;0,H10&lt;&gt;"STOP"),ROUND(GlobBerMedDisc!H4/GlobBerMedDisc!N4,2)&amp;" "&amp;GlobBerMedDisc!F4&amp;"/ml","")</f>
        <v/>
      </c>
      <c r="O11" s="716"/>
      <c r="P11" s="716"/>
      <c r="Q11" s="688"/>
      <c r="R11" s="688"/>
      <c r="S11" s="688"/>
      <c r="T11" s="688"/>
      <c r="U11" s="688"/>
      <c r="V11" s="688"/>
    </row>
    <row r="12" spans="1:64" ht="19.55" customHeight="1" x14ac:dyDescent="0.4">
      <c r="A12" s="719"/>
      <c r="B12" s="690">
        <v>4</v>
      </c>
      <c r="C12" s="720"/>
      <c r="D12" s="878">
        <f>GlobBerMedDisc!C5</f>
        <v>0</v>
      </c>
      <c r="E12" s="878"/>
      <c r="F12" s="878"/>
      <c r="G12" s="878"/>
      <c r="H12" s="692" t="str">
        <f>IF(INDEX(tblMedDiscTijdenValues,GlobBerMedDisc!I5,1)=0,"",INDEX(tblMedDiscTijdenValues,GlobBerMedDisc!I5,1))</f>
        <v/>
      </c>
      <c r="I12" s="721" t="str">
        <f>IF(GlobBerMedDisc!C5&gt;1,GlobBerMedDisc!H5,"")</f>
        <v/>
      </c>
      <c r="J12" s="722" t="str">
        <f>IF(GlobBerMedDisc!C5&gt;1,GlobBerMedDisc!F5,"")</f>
        <v/>
      </c>
      <c r="K12" s="723">
        <f>GlobBerMedDisc!L5</f>
        <v>0</v>
      </c>
      <c r="L12" s="693" t="str">
        <f>IF(AND(GlobBerMedDisc!C5&gt;1,GlobBerMedDisc!O5&gt;1,H12&lt;&gt;"STOP"),GlobBerMedDisc!N5,"")</f>
        <v/>
      </c>
      <c r="M12" s="693" t="str">
        <f>IF(AND(GlobBerMedDisc!C5&gt;1,L12&lt;&gt;0,GlobBerMedDisc!O5&gt;1,H12&lt;&gt;"STOP"),"ml","")</f>
        <v/>
      </c>
      <c r="N12" s="693"/>
      <c r="O12" s="693" t="str">
        <f>IF(AND(L12&lt;&gt;"",GlobBerMedDisc!Q5&gt;0,H12&lt;&gt;"STOP"),GlobBerMedDisc!Q5&amp;" min","")</f>
        <v/>
      </c>
      <c r="P12" s="693"/>
      <c r="Q12" s="688"/>
      <c r="R12" s="688"/>
      <c r="S12" s="688"/>
      <c r="T12" s="688"/>
      <c r="U12" s="688"/>
      <c r="V12" s="688"/>
    </row>
    <row r="13" spans="1:64" ht="19.55" customHeight="1" x14ac:dyDescent="0.35">
      <c r="A13" s="693"/>
      <c r="B13" s="690" t="s">
        <v>313</v>
      </c>
      <c r="C13" s="693"/>
      <c r="D13" s="724">
        <f>GlobBerOpm!C10</f>
        <v>0</v>
      </c>
      <c r="E13" s="724"/>
      <c r="F13" s="724"/>
      <c r="G13" s="724"/>
      <c r="H13" s="691" t="str">
        <f>IF(AND(GlobBerMedDisc!C5&gt;1,H12&lt;&gt;"STOP"),"Dosering/kg/dag: ","")</f>
        <v/>
      </c>
      <c r="I13" s="693"/>
      <c r="J13" s="724" t="str">
        <f>IF(GlobBerMedDisc!C5&gt;1,GlobBerMedDisc!M5,"")</f>
        <v/>
      </c>
      <c r="K13" s="693" t="str">
        <f>IF(AND(GlobBerMedDisc!C5&gt;1,H12&lt;&gt;"STOP"),J12&amp;"/kg/dag ","")</f>
        <v/>
      </c>
      <c r="L13" s="693"/>
      <c r="M13" s="693" t="str">
        <f>IF(AND(GlobBerMedDisc!C5&gt;1,GlobBerMedDisc!O5&gt;1,GlobBerMedDisc!N5&gt;0,H12&lt;&gt;"STOP"),"Oplossing:","")</f>
        <v/>
      </c>
      <c r="N13" s="693" t="str">
        <f>IF(AND(GlobBerMedDisc!C5&gt;1,GlobBerMedDisc!O5&gt;1,GlobBerMedDisc!N5&gt;0,H12&lt;&gt;"STOP"),ROUND(GlobBerMedDisc!H5/GlobBerMedDisc!N5,2)&amp;" "&amp;GlobBerMedDisc!F5&amp;"/ml","")</f>
        <v/>
      </c>
      <c r="O13" s="693"/>
      <c r="P13" s="693"/>
      <c r="Q13" s="688"/>
      <c r="R13" s="694"/>
      <c r="S13" s="694"/>
      <c r="T13" s="694"/>
      <c r="U13" s="694"/>
      <c r="V13" s="694"/>
      <c r="W13" s="695"/>
      <c r="X13" s="695"/>
      <c r="Y13" s="695"/>
      <c r="Z13" s="695"/>
      <c r="AA13" s="695"/>
      <c r="AB13" s="695"/>
      <c r="AC13" s="695"/>
      <c r="AD13" s="695"/>
      <c r="AE13" s="695"/>
      <c r="AF13" s="695"/>
      <c r="AG13" s="695"/>
      <c r="AH13" s="695"/>
      <c r="AI13" s="695"/>
      <c r="AJ13" s="695"/>
      <c r="AK13" s="695"/>
      <c r="AL13" s="695"/>
      <c r="AM13" s="695"/>
      <c r="AN13" s="695"/>
      <c r="AO13" s="695"/>
      <c r="AP13" s="695"/>
      <c r="AQ13" s="695"/>
      <c r="AR13" s="695"/>
      <c r="AS13" s="695"/>
      <c r="AT13" s="695"/>
      <c r="AU13" s="695"/>
      <c r="AV13" s="695"/>
      <c r="AW13" s="695"/>
      <c r="AX13" s="695"/>
      <c r="AY13" s="695"/>
      <c r="AZ13" s="695"/>
      <c r="BA13" s="695"/>
      <c r="BB13" s="695"/>
      <c r="BC13" s="695"/>
      <c r="BD13" s="695"/>
      <c r="BE13" s="695"/>
      <c r="BF13" s="695"/>
      <c r="BG13" s="695"/>
      <c r="BH13" s="695"/>
      <c r="BI13" s="695"/>
      <c r="BJ13" s="695"/>
      <c r="BK13" s="695"/>
      <c r="BL13" s="695"/>
    </row>
    <row r="14" spans="1:64" s="695" customFormat="1" ht="19.55" customHeight="1" x14ac:dyDescent="0.4">
      <c r="A14" s="725"/>
      <c r="B14" s="710">
        <v>5</v>
      </c>
      <c r="C14" s="711"/>
      <c r="D14" s="877">
        <f>GlobBerMedDisc!C6</f>
        <v>0</v>
      </c>
      <c r="E14" s="877"/>
      <c r="F14" s="877"/>
      <c r="G14" s="877"/>
      <c r="H14" s="712" t="str">
        <f>IF(INDEX(tblMedDiscTijdenValues,GlobBerMedDisc!I6,1)=0,"",INDEX(tblMedDiscTijdenValues,GlobBerMedDisc!I6,1))</f>
        <v/>
      </c>
      <c r="I14" s="713" t="str">
        <f>IF(GlobBerMedDisc!C6&gt;1,GlobBerMedDisc!H6,"")</f>
        <v/>
      </c>
      <c r="J14" s="714" t="str">
        <f>IF(GlobBerMedDisc!C6&gt;1,GlobBerMedDisc!F6,"")</f>
        <v/>
      </c>
      <c r="K14" s="715">
        <f>GlobBerMedDisc!L6</f>
        <v>0</v>
      </c>
      <c r="L14" s="716" t="str">
        <f>IF(AND(GlobBerMedDisc!C6&gt;1,GlobBerMedDisc!O6&gt;1,H14&lt;&gt;"STOP"),GlobBerMedDisc!N6,"")</f>
        <v/>
      </c>
      <c r="M14" s="716" t="str">
        <f>IF(AND(GlobBerMedDisc!C6&gt;1,L14&lt;&gt;0,GlobBerMedDisc!O6&gt;1,H14&lt;&gt;"STOP"),"ml","")</f>
        <v/>
      </c>
      <c r="N14" s="716"/>
      <c r="O14" s="716" t="str">
        <f>IF(AND(L14&lt;&gt;"",GlobBerMedDisc!Q6&gt;0,H14&lt;&gt;"STOP"),GlobBerMedDisc!Q6&amp;" min","")</f>
        <v/>
      </c>
      <c r="P14" s="716"/>
      <c r="Q14" s="688"/>
      <c r="R14" s="688"/>
      <c r="S14" s="688"/>
      <c r="T14" s="688"/>
      <c r="U14" s="688"/>
      <c r="V14" s="688"/>
      <c r="W14" s="689"/>
      <c r="X14" s="689"/>
      <c r="Y14" s="689"/>
      <c r="Z14" s="689"/>
      <c r="AA14" s="689"/>
      <c r="AB14" s="689"/>
      <c r="AC14" s="689"/>
      <c r="AD14" s="689"/>
      <c r="AE14" s="689"/>
      <c r="AF14" s="689"/>
      <c r="AG14" s="689"/>
      <c r="AH14" s="689"/>
      <c r="AI14" s="689"/>
      <c r="AJ14" s="689"/>
      <c r="AK14" s="689"/>
      <c r="AL14" s="689"/>
      <c r="AM14" s="689"/>
      <c r="AN14" s="689"/>
      <c r="AO14" s="689"/>
      <c r="AP14" s="689"/>
      <c r="AQ14" s="689"/>
      <c r="AR14" s="689"/>
      <c r="AS14" s="689"/>
      <c r="AT14" s="689"/>
      <c r="AU14" s="689"/>
      <c r="AV14" s="689"/>
      <c r="AW14" s="689"/>
      <c r="AX14" s="689"/>
      <c r="AY14" s="689"/>
      <c r="AZ14" s="689"/>
      <c r="BA14" s="689"/>
      <c r="BB14" s="689"/>
      <c r="BC14" s="689"/>
      <c r="BD14" s="689"/>
      <c r="BE14" s="689"/>
      <c r="BF14" s="689"/>
      <c r="BG14" s="689"/>
      <c r="BH14" s="689"/>
      <c r="BI14" s="689"/>
      <c r="BJ14" s="689"/>
      <c r="BK14" s="689"/>
      <c r="BL14" s="689"/>
    </row>
    <row r="15" spans="1:64" ht="19.55" customHeight="1" x14ac:dyDescent="0.35">
      <c r="A15" s="716"/>
      <c r="B15" s="710" t="s">
        <v>313</v>
      </c>
      <c r="C15" s="716"/>
      <c r="D15" s="717">
        <f>GlobBerOpm!C11</f>
        <v>0</v>
      </c>
      <c r="E15" s="717"/>
      <c r="F15" s="717"/>
      <c r="G15" s="717"/>
      <c r="H15" s="718" t="str">
        <f>IF(AND(GlobBerMedDisc!C6&gt;1,H14&lt;&gt;"STOP"),"Dosering/kg/dag: ","")</f>
        <v/>
      </c>
      <c r="I15" s="716"/>
      <c r="J15" s="717" t="str">
        <f>IF(GlobBerMedDisc!C6&gt;1,GlobBerMedDisc!M6,"")</f>
        <v/>
      </c>
      <c r="K15" s="716" t="str">
        <f>IF(AND(GlobBerMedDisc!C6&gt;1,H14&lt;&gt;"STOP"),J14&amp;"/kg/dag ","")</f>
        <v/>
      </c>
      <c r="L15" s="716"/>
      <c r="M15" s="716" t="str">
        <f>IF(AND(GlobBerMedDisc!C6&gt;1,GlobBerMedDisc!O6&gt;1,GlobBerMedDisc!N6&gt;0,H14&lt;&gt;"STOP"),"Oplossing:","")</f>
        <v/>
      </c>
      <c r="N15" s="716" t="str">
        <f>IF(AND(GlobBerMedDisc!C6&gt;1,GlobBerMedDisc!O6&gt;1,GlobBerMedDisc!N6&gt;0,H14&lt;&gt;"STOP"),ROUND(GlobBerMedDisc!H6/GlobBerMedDisc!N6,2)&amp;" "&amp;GlobBerMedDisc!F6&amp;"/ml","")</f>
        <v/>
      </c>
      <c r="O15" s="716"/>
      <c r="P15" s="716"/>
      <c r="Q15" s="688"/>
      <c r="R15" s="688"/>
      <c r="S15" s="688"/>
      <c r="T15" s="688"/>
      <c r="U15" s="688"/>
      <c r="V15" s="688"/>
    </row>
    <row r="16" spans="1:64" ht="19.55" customHeight="1" x14ac:dyDescent="0.4">
      <c r="A16" s="719"/>
      <c r="B16" s="690">
        <v>6</v>
      </c>
      <c r="C16" s="720"/>
      <c r="D16" s="878">
        <f>GlobBerMedDisc!C7</f>
        <v>0</v>
      </c>
      <c r="E16" s="878"/>
      <c r="F16" s="878"/>
      <c r="G16" s="878"/>
      <c r="H16" s="692" t="str">
        <f>IF(INDEX(tblMedDiscTijdenValues,GlobBerMedDisc!I7,1)=0,"",INDEX(tblMedDiscTijdenValues,GlobBerMedDisc!I7,1))</f>
        <v/>
      </c>
      <c r="I16" s="721" t="str">
        <f>IF(GlobBerMedDisc!C7&gt;1,GlobBerMedDisc!H7,"")</f>
        <v/>
      </c>
      <c r="J16" s="722" t="str">
        <f>IF(GlobBerMedDisc!C7&gt;1,GlobBerMedDisc!F7,"")</f>
        <v/>
      </c>
      <c r="K16" s="723">
        <f>GlobBerMedDisc!L7</f>
        <v>0</v>
      </c>
      <c r="L16" s="693" t="str">
        <f>IF(AND(GlobBerMedDisc!C7&gt;1,GlobBerMedDisc!O7&gt;1,H16&lt;&gt;"STOP"),GlobBerMedDisc!N7,"")</f>
        <v/>
      </c>
      <c r="M16" s="693" t="str">
        <f>IF(AND(GlobBerMedDisc!C7&gt;1,L16&lt;&gt;0,GlobBerMedDisc!O7&gt;1,H16&lt;&gt;"STOP"),"ml","")</f>
        <v/>
      </c>
      <c r="N16" s="693"/>
      <c r="O16" s="693" t="str">
        <f>IF(AND(L16&lt;&gt;"",GlobBerMedDisc!Q7&gt;0,H16&lt;&gt;"STOP"),GlobBerMedDisc!Q7&amp;" min","")</f>
        <v/>
      </c>
      <c r="P16" s="693"/>
      <c r="Q16" s="688"/>
      <c r="R16" s="688"/>
      <c r="S16" s="688"/>
      <c r="T16" s="688"/>
      <c r="U16" s="688"/>
      <c r="V16" s="688"/>
    </row>
    <row r="17" spans="1:22" ht="19.55" customHeight="1" x14ac:dyDescent="0.35">
      <c r="A17" s="693"/>
      <c r="B17" s="690" t="s">
        <v>313</v>
      </c>
      <c r="C17" s="693"/>
      <c r="D17" s="724">
        <f>GlobBerOpm!C12</f>
        <v>0</v>
      </c>
      <c r="E17" s="724"/>
      <c r="F17" s="724"/>
      <c r="G17" s="724"/>
      <c r="H17" s="691" t="str">
        <f>IF(AND(GlobBerMedDisc!C7&gt;1,H16&lt;&gt;"STOP"),"Dosering/kg/dag: ","")</f>
        <v/>
      </c>
      <c r="I17" s="693"/>
      <c r="J17" s="724" t="str">
        <f>IF(GlobBerMedDisc!C7&gt;1,GlobBerMedDisc!M7,"")</f>
        <v/>
      </c>
      <c r="K17" s="693" t="str">
        <f>IF(AND(GlobBerMedDisc!C7&gt;1,H16&lt;&gt;"STOP"),J16&amp;"/kg/dag ","")</f>
        <v/>
      </c>
      <c r="L17" s="693"/>
      <c r="M17" s="693" t="str">
        <f>IF(AND(GlobBerMedDisc!C7&gt;1,GlobBerMedDisc!O7&gt;1,GlobBerMedDisc!N7&gt;0,H16&lt;&gt;"STOP"),"Oplossing:","")</f>
        <v/>
      </c>
      <c r="N17" s="693" t="str">
        <f>IF(AND(GlobBerMedDisc!C7&gt;1,GlobBerMedDisc!O7&gt;1,GlobBerMedDisc!N7&gt;0,H16&lt;&gt;"STOP"),ROUND(GlobBerMedDisc!H7/GlobBerMedDisc!N7,2)&amp;" "&amp;GlobBerMedDisc!F7&amp;"/ml","")</f>
        <v/>
      </c>
      <c r="O17" s="693"/>
      <c r="P17" s="693"/>
      <c r="Q17" s="688"/>
      <c r="R17" s="688"/>
      <c r="S17" s="688"/>
      <c r="T17" s="688"/>
      <c r="U17" s="688"/>
      <c r="V17" s="688"/>
    </row>
    <row r="18" spans="1:22" ht="19.55" customHeight="1" x14ac:dyDescent="0.4">
      <c r="A18" s="725"/>
      <c r="B18" s="710">
        <v>7</v>
      </c>
      <c r="C18" s="711"/>
      <c r="D18" s="877">
        <f>GlobBerMedDisc!C8</f>
        <v>0</v>
      </c>
      <c r="E18" s="877"/>
      <c r="F18" s="877"/>
      <c r="G18" s="877"/>
      <c r="H18" s="712" t="str">
        <f>IF(INDEX(tblMedDiscTijdenValues,GlobBerMedDisc!I8,1)=0,"",INDEX(tblMedDiscTijdenValues,GlobBerMedDisc!I8,1))</f>
        <v/>
      </c>
      <c r="I18" s="713" t="str">
        <f>IF(GlobBerMedDisc!C8&gt;1,GlobBerMedDisc!H8,"")</f>
        <v/>
      </c>
      <c r="J18" s="714" t="str">
        <f>IF(GlobBerMedDisc!C8&gt;1,GlobBerMedDisc!F8,"")</f>
        <v/>
      </c>
      <c r="K18" s="715">
        <f>GlobBerMedDisc!L8</f>
        <v>0</v>
      </c>
      <c r="L18" s="716" t="str">
        <f>IF(AND(GlobBerMedDisc!C8&gt;1,GlobBerMedDisc!O8&gt;1,H18&lt;&gt;"STOP"),GlobBerMedDisc!N8,"")</f>
        <v/>
      </c>
      <c r="M18" s="716" t="str">
        <f>IF(AND(GlobBerMedDisc!C8&gt;1,L18&lt;&gt;0,GlobBerMedDisc!O8&gt;1,H18&lt;&gt;"STOP"),"ml","")</f>
        <v/>
      </c>
      <c r="N18" s="716"/>
      <c r="O18" s="716" t="str">
        <f>IF(AND(L18&lt;&gt;"",GlobBerMedDisc!Q8&gt;0,H18&lt;&gt;"STOP"),GlobBerMedDisc!Q8&amp;" min","")</f>
        <v/>
      </c>
      <c r="P18" s="716"/>
      <c r="Q18" s="688"/>
      <c r="R18" s="688"/>
      <c r="S18" s="688"/>
      <c r="T18" s="688"/>
      <c r="U18" s="688"/>
      <c r="V18" s="688"/>
    </row>
    <row r="19" spans="1:22" ht="19.55" customHeight="1" x14ac:dyDescent="0.35">
      <c r="A19" s="716"/>
      <c r="B19" s="710" t="s">
        <v>313</v>
      </c>
      <c r="C19" s="716"/>
      <c r="D19" s="717">
        <f>GlobBerOpm!C13</f>
        <v>0</v>
      </c>
      <c r="E19" s="717"/>
      <c r="F19" s="717"/>
      <c r="G19" s="717"/>
      <c r="H19" s="718" t="str">
        <f>IF(AND(GlobBerMedDisc!C8&gt;1,H18&lt;&gt;"STOP"),"Dosering/kg/dag: ","")</f>
        <v/>
      </c>
      <c r="I19" s="716"/>
      <c r="J19" s="717" t="str">
        <f>IF(GlobBerMedDisc!C8&gt;1,GlobBerMedDisc!M8,"")</f>
        <v/>
      </c>
      <c r="K19" s="716" t="str">
        <f>IF(AND(GlobBerMedDisc!C8&gt;1,H18&lt;&gt;"STOP"),J18&amp;"/kg/dag ","")</f>
        <v/>
      </c>
      <c r="L19" s="716"/>
      <c r="M19" s="716" t="str">
        <f>IF(AND(GlobBerMedDisc!C8&gt;1,GlobBerMedDisc!O8&gt;1,GlobBerMedDisc!N8&gt;0,H18&lt;&gt;"STOP"),"Oplossing:","")</f>
        <v/>
      </c>
      <c r="N19" s="716" t="str">
        <f>IF(AND(GlobBerMedDisc!C8&gt;1,GlobBerMedDisc!O8&gt;1,GlobBerMedDisc!N8&gt;0,H18&lt;&gt;"STOP"),ROUND(GlobBerMedDisc!H8/GlobBerMedDisc!N8,2)&amp;" "&amp;GlobBerMedDisc!F8&amp;"/ml","")</f>
        <v/>
      </c>
      <c r="O19" s="716"/>
      <c r="P19" s="716"/>
      <c r="Q19" s="688"/>
      <c r="R19" s="688"/>
      <c r="S19" s="688"/>
      <c r="T19" s="688"/>
      <c r="U19" s="688"/>
      <c r="V19" s="688"/>
    </row>
    <row r="20" spans="1:22" ht="19.55" customHeight="1" x14ac:dyDescent="0.4">
      <c r="A20" s="719"/>
      <c r="B20" s="690">
        <v>8</v>
      </c>
      <c r="C20" s="720"/>
      <c r="D20" s="878">
        <f>GlobBerMedDisc!C9</f>
        <v>0</v>
      </c>
      <c r="E20" s="878"/>
      <c r="F20" s="878"/>
      <c r="G20" s="878"/>
      <c r="H20" s="692" t="str">
        <f>IF(INDEX(tblMedDiscTijdenValues,GlobBerMedDisc!I9,1)=0,"",INDEX(tblMedDiscTijdenValues,GlobBerMedDisc!I9,1))</f>
        <v/>
      </c>
      <c r="I20" s="721" t="str">
        <f>IF(GlobBerMedDisc!C9&gt;1,GlobBerMedDisc!H9,"")</f>
        <v/>
      </c>
      <c r="J20" s="722" t="str">
        <f>IF(GlobBerMedDisc!C9&gt;1,GlobBerMedDisc!F9,"")</f>
        <v/>
      </c>
      <c r="K20" s="723">
        <f>GlobBerMedDisc!L9</f>
        <v>0</v>
      </c>
      <c r="L20" s="693" t="str">
        <f>IF(AND(GlobBerMedDisc!C9&gt;1,GlobBerMedDisc!O9&gt;1,H20&lt;&gt;"STOP"),GlobBerMedDisc!N9,"")</f>
        <v/>
      </c>
      <c r="M20" s="693" t="str">
        <f>IF(AND(GlobBerMedDisc!C9&gt;1,L20&lt;&gt;0,GlobBerMedDisc!O9&gt;1,H20&lt;&gt;"STOP"),"ml","")</f>
        <v/>
      </c>
      <c r="N20" s="693"/>
      <c r="O20" s="693" t="str">
        <f>IF(AND(L20&lt;&gt;"",GlobBerMedDisc!Q9&gt;0,H20&lt;&gt;"STOP"),GlobBerMedDisc!Q9&amp;" min","")</f>
        <v/>
      </c>
      <c r="P20" s="693"/>
      <c r="Q20" s="688"/>
      <c r="R20" s="688"/>
      <c r="S20" s="688"/>
      <c r="T20" s="688"/>
      <c r="U20" s="688"/>
      <c r="V20" s="688"/>
    </row>
    <row r="21" spans="1:22" ht="19.55" customHeight="1" x14ac:dyDescent="0.35">
      <c r="A21" s="693"/>
      <c r="B21" s="690" t="s">
        <v>313</v>
      </c>
      <c r="C21" s="693"/>
      <c r="D21" s="724">
        <f>GlobBerOpm!C14</f>
        <v>0</v>
      </c>
      <c r="E21" s="724"/>
      <c r="F21" s="724"/>
      <c r="G21" s="724"/>
      <c r="H21" s="691" t="str">
        <f>IF(AND(GlobBerMedDisc!C9&gt;1,H20&lt;&gt;"STOP"),"Dosering/kg/dag: ","")</f>
        <v/>
      </c>
      <c r="I21" s="693"/>
      <c r="J21" s="724" t="str">
        <f>IF(GlobBerMedDisc!C9&gt;1,GlobBerMedDisc!M9,"")</f>
        <v/>
      </c>
      <c r="K21" s="693" t="str">
        <f>IF(AND(GlobBerMedDisc!C9&gt;1,H20&lt;&gt;"STOP"),J20&amp;"/kg/dag ","")</f>
        <v/>
      </c>
      <c r="L21" s="693"/>
      <c r="M21" s="693" t="str">
        <f>IF(AND(GlobBerMedDisc!C9&gt;1,GlobBerMedDisc!O9&gt;1,GlobBerMedDisc!N9&gt;0,H20&lt;&gt;"STOP"),"Oplossing:","")</f>
        <v/>
      </c>
      <c r="N21" s="693" t="str">
        <f>IF(AND(GlobBerMedDisc!C9&gt;1,GlobBerMedDisc!O9&gt;1,GlobBerMedDisc!N9&gt;0,H20&lt;&gt;"STOP"),ROUND(GlobBerMedDisc!H9/GlobBerMedDisc!N9,2)&amp;" "&amp;GlobBerMedDisc!F9&amp;"/ml","")</f>
        <v/>
      </c>
      <c r="O21" s="693"/>
      <c r="P21" s="693"/>
      <c r="Q21" s="688"/>
      <c r="R21" s="688"/>
      <c r="S21" s="688"/>
      <c r="T21" s="688"/>
      <c r="U21" s="688"/>
      <c r="V21" s="688"/>
    </row>
    <row r="22" spans="1:22" ht="19.55" customHeight="1" x14ac:dyDescent="0.4">
      <c r="A22" s="725"/>
      <c r="B22" s="710">
        <v>9</v>
      </c>
      <c r="C22" s="711"/>
      <c r="D22" s="877">
        <f>GlobBerMedDisc!C10</f>
        <v>0</v>
      </c>
      <c r="E22" s="877"/>
      <c r="F22" s="877"/>
      <c r="G22" s="877"/>
      <c r="H22" s="712" t="str">
        <f>IF(INDEX(tblMedDiscTijdenValues,GlobBerMedDisc!I10,1)=0,"",INDEX(tblMedDiscTijdenValues,GlobBerMedDisc!I10,1))</f>
        <v/>
      </c>
      <c r="I22" s="713" t="str">
        <f>IF(GlobBerMedDisc!C10&gt;1,GlobBerMedDisc!H10,"")</f>
        <v/>
      </c>
      <c r="J22" s="714" t="str">
        <f>IF(GlobBerMedDisc!C10&gt;1,GlobBerMedDisc!F10,"")</f>
        <v/>
      </c>
      <c r="K22" s="715">
        <f>GlobBerMedDisc!L10</f>
        <v>0</v>
      </c>
      <c r="L22" s="716" t="str">
        <f>IF(AND(GlobBerMedDisc!C10&gt;1,GlobBerMedDisc!O10&gt;1,H22&lt;&gt;"STOP"),GlobBerMedDisc!N10,"")</f>
        <v/>
      </c>
      <c r="M22" s="716" t="str">
        <f>IF(AND(GlobBerMedDisc!C10&gt;1,L22&lt;&gt;0,GlobBerMedDisc!O10&gt;1,H22&lt;&gt;"STOP"),"ml","")</f>
        <v/>
      </c>
      <c r="N22" s="716"/>
      <c r="O22" s="716" t="str">
        <f>IF(AND(L22&lt;&gt;"",GlobBerMedDisc!Q10&gt;0,H22&lt;&gt;"STOP"),GlobBerMedDisc!Q10&amp;" min","")</f>
        <v/>
      </c>
      <c r="P22" s="716"/>
      <c r="Q22" s="688"/>
      <c r="R22" s="688"/>
      <c r="S22" s="688"/>
      <c r="T22" s="688"/>
      <c r="U22" s="688"/>
      <c r="V22" s="688"/>
    </row>
    <row r="23" spans="1:22" ht="19.55" customHeight="1" x14ac:dyDescent="0.35">
      <c r="A23" s="716"/>
      <c r="B23" s="710" t="s">
        <v>313</v>
      </c>
      <c r="C23" s="716"/>
      <c r="D23" s="717">
        <f>GlobBerOpm!C15</f>
        <v>0</v>
      </c>
      <c r="E23" s="717"/>
      <c r="F23" s="717"/>
      <c r="G23" s="717"/>
      <c r="H23" s="718" t="str">
        <f>IF(AND(GlobBerMedDisc!C10&gt;1,H22&lt;&gt;"STOP"),"Dosering/kg/dag: ","")</f>
        <v/>
      </c>
      <c r="I23" s="716"/>
      <c r="J23" s="717" t="str">
        <f>IF(GlobBerMedDisc!C10&gt;1,GlobBerMedDisc!M10,"")</f>
        <v/>
      </c>
      <c r="K23" s="716" t="str">
        <f>IF(AND(GlobBerMedDisc!C10&gt;1,H22&lt;&gt;"STOP"),J22&amp;"/kg/dag ","")</f>
        <v/>
      </c>
      <c r="L23" s="716"/>
      <c r="M23" s="716" t="str">
        <f>IF(AND(GlobBerMedDisc!C10&gt;1,GlobBerMedDisc!O10&gt;1,GlobBerMedDisc!N10&gt;0,H22&lt;&gt;"STOP"),"Oplossing:","")</f>
        <v/>
      </c>
      <c r="N23" s="716" t="str">
        <f>IF(AND(GlobBerMedDisc!C10&gt;1,GlobBerMedDisc!O10&gt;1,GlobBerMedDisc!N10&gt;0,H22&lt;&gt;"STOP"),ROUND(GlobBerMedDisc!H10/GlobBerMedDisc!N10,2)&amp;" "&amp;GlobBerMedDisc!F10&amp;"/ml","")</f>
        <v/>
      </c>
      <c r="O23" s="716"/>
      <c r="P23" s="716"/>
      <c r="Q23" s="688"/>
      <c r="R23" s="688"/>
      <c r="S23" s="688"/>
      <c r="T23" s="688"/>
      <c r="U23" s="688"/>
      <c r="V23" s="688"/>
    </row>
    <row r="24" spans="1:22" ht="19.55" customHeight="1" x14ac:dyDescent="0.4">
      <c r="A24" s="719"/>
      <c r="B24" s="690">
        <v>10</v>
      </c>
      <c r="C24" s="720"/>
      <c r="D24" s="878">
        <f>GlobBerMedDisc!C11</f>
        <v>0</v>
      </c>
      <c r="E24" s="878"/>
      <c r="F24" s="878"/>
      <c r="G24" s="878"/>
      <c r="H24" s="692" t="str">
        <f>IF(INDEX(tblMedDiscTijdenValues,GlobBerMedDisc!I11,1)=0,"",INDEX(tblMedDiscTijdenValues,GlobBerMedDisc!I11,1))</f>
        <v/>
      </c>
      <c r="I24" s="721" t="str">
        <f>IF(GlobBerMedDisc!C11&gt;1,GlobBerMedDisc!H11,"")</f>
        <v/>
      </c>
      <c r="J24" s="722" t="str">
        <f>IF(GlobBerMedDisc!C11&gt;1,GlobBerMedDisc!F11,"")</f>
        <v/>
      </c>
      <c r="K24" s="723">
        <f>GlobBerMedDisc!L11</f>
        <v>0</v>
      </c>
      <c r="L24" s="693" t="str">
        <f>IF(AND(GlobBerMedDisc!C11&gt;1,GlobBerMedDisc!O11&gt;1,H23&lt;&gt;"STOP"),GlobBerMedDisc!N11,"")</f>
        <v/>
      </c>
      <c r="M24" s="693" t="str">
        <f>IF(AND(GlobBerMedDisc!C11&gt;1,L23&lt;&gt;0,GlobBerMedDisc!O11&gt;1,H23&lt;&gt;"STOP"),"ml","")</f>
        <v/>
      </c>
      <c r="N24" s="693"/>
      <c r="O24" s="693" t="str">
        <f>IF(AND(L23&lt;&gt;"",GlobBerMedDisc!Q11&gt;0,H23&lt;&gt;"STOP"),GlobBerMedDisc!Q11&amp;" min","")</f>
        <v/>
      </c>
      <c r="P24" s="693"/>
      <c r="Q24" s="688"/>
      <c r="R24" s="688"/>
      <c r="S24" s="688"/>
      <c r="T24" s="688"/>
      <c r="U24" s="688"/>
      <c r="V24" s="688"/>
    </row>
    <row r="25" spans="1:22" ht="19.55" customHeight="1" x14ac:dyDescent="0.35">
      <c r="A25" s="693"/>
      <c r="B25" s="690" t="s">
        <v>313</v>
      </c>
      <c r="C25" s="693"/>
      <c r="D25" s="724">
        <f>GlobBerOpm!C16</f>
        <v>0</v>
      </c>
      <c r="E25" s="724"/>
      <c r="F25" s="724"/>
      <c r="G25" s="724"/>
      <c r="H25" s="691" t="str">
        <f>IF(AND(GlobBerMedDisc!C11&gt;1,H23&lt;&gt;"STOP"),"Dosering/kg/dag: ","")</f>
        <v/>
      </c>
      <c r="I25" s="693"/>
      <c r="J25" s="724" t="str">
        <f>IF(GlobBerMedDisc!C11&gt;1,GlobBerMedDisc!M11,"")</f>
        <v/>
      </c>
      <c r="K25" s="693" t="str">
        <f>IF(AND(GlobBerMedDisc!C11&gt;1,H24&lt;&gt;"STOP"),J24&amp;"/kg/dag ","")</f>
        <v/>
      </c>
      <c r="L25" s="693"/>
      <c r="M25" s="693" t="str">
        <f>IF(AND(GlobBerMedDisc!C11&gt;1,GlobBerMedDisc!O11&gt;1,GlobBerMedDisc!N11&gt;0,H23&lt;&gt;"STOP"),"Oplossing:","")</f>
        <v/>
      </c>
      <c r="N25" s="693" t="str">
        <f>IF(AND(GlobBerMedDisc!C11&gt;1,GlobBerMedDisc!O11&gt;1,GlobBerMedDisc!N11&gt;0,H23&lt;&gt;"STOP"),ROUND(GlobBerMedDisc!H11/GlobBerMedDisc!N11,2)&amp;" "&amp;GlobBerMedDisc!F11&amp;"/ml","")</f>
        <v/>
      </c>
      <c r="O25" s="693"/>
      <c r="P25" s="693"/>
      <c r="Q25" s="688"/>
      <c r="R25" s="688"/>
      <c r="S25" s="688"/>
      <c r="T25" s="688"/>
      <c r="U25" s="688"/>
      <c r="V25" s="688"/>
    </row>
    <row r="26" spans="1:22" ht="19.55" customHeight="1" x14ac:dyDescent="0.4">
      <c r="A26" s="725"/>
      <c r="B26" s="710">
        <v>11</v>
      </c>
      <c r="C26" s="711"/>
      <c r="D26" s="877">
        <f>GlobBerMedDisc!C12</f>
        <v>0</v>
      </c>
      <c r="E26" s="877"/>
      <c r="F26" s="877"/>
      <c r="G26" s="877"/>
      <c r="H26" s="712" t="str">
        <f>IF(INDEX(tblMedDiscTijdenValues,GlobBerMedDisc!I12,1)=0,"",INDEX(tblMedDiscTijdenValues,GlobBerMedDisc!I12,1))</f>
        <v/>
      </c>
      <c r="I26" s="713" t="str">
        <f>IF(GlobBerMedDisc!C12&gt;1,GlobBerMedDisc!H12,"")</f>
        <v/>
      </c>
      <c r="J26" s="714" t="str">
        <f>IF(GlobBerMedDisc!C12&gt;1,GlobBerMedDisc!F12,"")</f>
        <v/>
      </c>
      <c r="K26" s="715">
        <f>GlobBerMedDisc!L12</f>
        <v>0</v>
      </c>
      <c r="L26" s="716" t="str">
        <f>IF(AND(GlobBerMedDisc!C12&gt;1,GlobBerMedDisc!O12&gt;1,H26&lt;&gt;"STOP"),GlobBerMedDisc!N12,"")</f>
        <v/>
      </c>
      <c r="M26" s="716" t="str">
        <f>IF(AND(GlobBerMedDisc!C12&gt;1,L26&lt;&gt;0,GlobBerMedDisc!O12&gt;1,H26&lt;&gt;"STOP"),"ml","")</f>
        <v/>
      </c>
      <c r="N26" s="716"/>
      <c r="O26" s="716" t="str">
        <f>IF(AND(L26&lt;&gt;"",GlobBerMedDisc!Q12&gt;0,H26&lt;&gt;"STOP"),GlobBerMedDisc!Q12&amp;" min","")</f>
        <v/>
      </c>
      <c r="P26" s="716"/>
      <c r="Q26" s="688"/>
      <c r="R26" s="688"/>
      <c r="S26" s="688"/>
      <c r="T26" s="688"/>
      <c r="U26" s="688"/>
      <c r="V26" s="688"/>
    </row>
    <row r="27" spans="1:22" ht="19.55" customHeight="1" x14ac:dyDescent="0.35">
      <c r="A27" s="716"/>
      <c r="B27" s="710" t="s">
        <v>313</v>
      </c>
      <c r="C27" s="716"/>
      <c r="D27" s="717">
        <f>GlobBerOpm!C17</f>
        <v>0</v>
      </c>
      <c r="E27" s="717"/>
      <c r="F27" s="717"/>
      <c r="G27" s="717"/>
      <c r="H27" s="718" t="str">
        <f>IF(AND(GlobBerMedDisc!C12&gt;1,H26&lt;&gt;"STOP"),"Dosering/kg/dag: ","")</f>
        <v/>
      </c>
      <c r="I27" s="716"/>
      <c r="J27" s="717" t="str">
        <f>IF(GlobBerMedDisc!C12&gt;1,GlobBerMedDisc!M12,"")</f>
        <v/>
      </c>
      <c r="K27" s="716" t="str">
        <f>IF(AND(GlobBerMedDisc!C12&gt;1,H26&lt;&gt;"STOP"),J26&amp;"/kg/dag ","")</f>
        <v/>
      </c>
      <c r="L27" s="716"/>
      <c r="M27" s="716" t="str">
        <f>IF(AND(GlobBerMedDisc!C12&gt;1,GlobBerMedDisc!O12&gt;1,GlobBerMedDisc!N12&gt;0,H26&lt;&gt;"STOP"),"Oplossing:","")</f>
        <v/>
      </c>
      <c r="N27" s="716" t="str">
        <f>IF(AND(GlobBerMedDisc!C12&gt;1,GlobBerMedDisc!O12&gt;1,GlobBerMedDisc!N12&gt;0,H26&lt;&gt;"STOP"),ROUND(GlobBerMedDisc!H12/GlobBerMedDisc!N12,2)&amp;" "&amp;GlobBerMedDisc!F12&amp;"/ml","")</f>
        <v/>
      </c>
      <c r="O27" s="716"/>
      <c r="P27" s="716"/>
      <c r="Q27" s="688"/>
      <c r="R27" s="688"/>
      <c r="S27" s="688"/>
      <c r="T27" s="688"/>
      <c r="U27" s="688"/>
      <c r="V27" s="688"/>
    </row>
    <row r="28" spans="1:22" ht="19.55" customHeight="1" x14ac:dyDescent="0.4">
      <c r="A28" s="719"/>
      <c r="B28" s="690">
        <v>12</v>
      </c>
      <c r="C28" s="720"/>
      <c r="D28" s="878">
        <f>GlobBerMedDisc!C13</f>
        <v>0</v>
      </c>
      <c r="E28" s="878"/>
      <c r="F28" s="878"/>
      <c r="G28" s="878"/>
      <c r="H28" s="692" t="str">
        <f>IF(INDEX(tblMedDiscTijdenValues,GlobBerMedDisc!I13,1)=0,"",INDEX(tblMedDiscTijdenValues,GlobBerMedDisc!I13,1))</f>
        <v/>
      </c>
      <c r="I28" s="721" t="str">
        <f>IF(GlobBerMedDisc!C13&gt;1,GlobBerMedDisc!H13,"")</f>
        <v/>
      </c>
      <c r="J28" s="722" t="str">
        <f>IF(GlobBerMedDisc!C13&gt;1,GlobBerMedDisc!F13,"")</f>
        <v/>
      </c>
      <c r="K28" s="723">
        <f>GlobBerMedDisc!L13</f>
        <v>0</v>
      </c>
      <c r="L28" s="693" t="str">
        <f>IF(AND(GlobBerMedDisc!C13&gt;1,GlobBerMedDisc!O13&gt;1,H28&lt;&gt;"STOP"),GlobBerMedDisc!N13,"")</f>
        <v/>
      </c>
      <c r="M28" s="693" t="str">
        <f>IF(AND(GlobBerMedDisc!C13&gt;1,L28&lt;&gt;0,GlobBerMedDisc!O13&gt;1,H28&lt;&gt;"STOP"),"ml","")</f>
        <v/>
      </c>
      <c r="N28" s="693"/>
      <c r="O28" s="693" t="str">
        <f>IF(AND(L28&lt;&gt;"",GlobBerMedDisc!Q13&gt;0,H28&lt;&gt;"STOP"),GlobBerMedDisc!Q13&amp;" min","")</f>
        <v/>
      </c>
      <c r="P28" s="693"/>
      <c r="Q28" s="688"/>
      <c r="R28" s="688"/>
      <c r="S28" s="688"/>
      <c r="T28" s="688"/>
      <c r="U28" s="688"/>
      <c r="V28" s="688"/>
    </row>
    <row r="29" spans="1:22" ht="19.55" customHeight="1" x14ac:dyDescent="0.35">
      <c r="A29" s="693"/>
      <c r="B29" s="690" t="s">
        <v>313</v>
      </c>
      <c r="C29" s="693"/>
      <c r="D29" s="724">
        <f>GlobBerOpm!C18</f>
        <v>0</v>
      </c>
      <c r="E29" s="724"/>
      <c r="F29" s="724"/>
      <c r="G29" s="724"/>
      <c r="H29" s="691" t="str">
        <f>IF(AND(GlobBerMedDisc!C13&gt;1,H28&lt;&gt;"STOP"),"Dosering/kg/dag: ","")</f>
        <v/>
      </c>
      <c r="I29" s="693"/>
      <c r="J29" s="724" t="str">
        <f>IF(GlobBerMedDisc!C13&gt;1,GlobBerMedDisc!M13,"")</f>
        <v/>
      </c>
      <c r="K29" s="693" t="str">
        <f>IF(AND(GlobBerMedDisc!C13&gt;1,H28&lt;&gt;"STOP"),J28&amp;"/kg/dag ","")</f>
        <v/>
      </c>
      <c r="L29" s="693"/>
      <c r="M29" s="693" t="str">
        <f>IF(AND(GlobBerMedDisc!C13&gt;1,GlobBerMedDisc!O13&gt;1,GlobBerMedDisc!N13&gt;0,H28&lt;&gt;"STOP"),"Oplossing:","")</f>
        <v/>
      </c>
      <c r="N29" s="693" t="str">
        <f>IF(AND(GlobBerMedDisc!C13&gt;1,GlobBerMedDisc!O13&gt;1,GlobBerMedDisc!N13&gt;0,H28&lt;&gt;"STOP"),ROUND(GlobBerMedDisc!H13/GlobBerMedDisc!N13,2)&amp;" "&amp;GlobBerMedDisc!F13&amp;"/ml","")</f>
        <v/>
      </c>
      <c r="O29" s="693"/>
      <c r="P29" s="693"/>
      <c r="Q29" s="688"/>
      <c r="R29" s="688"/>
      <c r="S29" s="688"/>
      <c r="T29" s="688"/>
      <c r="U29" s="688"/>
      <c r="V29" s="688"/>
    </row>
    <row r="30" spans="1:22" ht="19.55" customHeight="1" x14ac:dyDescent="0.4">
      <c r="A30" s="725"/>
      <c r="B30" s="710">
        <v>13</v>
      </c>
      <c r="C30" s="711"/>
      <c r="D30" s="877">
        <f>GlobBerMedDisc!C14</f>
        <v>0</v>
      </c>
      <c r="E30" s="877"/>
      <c r="F30" s="877"/>
      <c r="G30" s="877"/>
      <c r="H30" s="712" t="str">
        <f>IF(INDEX(tblMedDiscTijdenValues,GlobBerMedDisc!I14,1)=0,"",INDEX(tblMedDiscTijdenValues,GlobBerMedDisc!I14,1))</f>
        <v/>
      </c>
      <c r="I30" s="713" t="str">
        <f>IF(GlobBerMedDisc!C14&gt;1,GlobBerMedDisc!H14,"")</f>
        <v/>
      </c>
      <c r="J30" s="714" t="str">
        <f>IF(GlobBerMedDisc!C14&gt;1,GlobBerMedDisc!F14,"")</f>
        <v/>
      </c>
      <c r="K30" s="715">
        <f>GlobBerMedDisc!L14</f>
        <v>0</v>
      </c>
      <c r="L30" s="716" t="str">
        <f>IF(AND(GlobBerMedDisc!C14&gt;1,GlobBerMedDisc!O14&gt;1,H30&lt;&gt;"STOP"),GlobBerMedDisc!N14,"")</f>
        <v/>
      </c>
      <c r="M30" s="716" t="str">
        <f>IF(AND(GlobBerMedDisc!C14&gt;1,L30&lt;&gt;0,GlobBerMedDisc!O14&gt;1,H30&lt;&gt;"STOP"),"ml","")</f>
        <v/>
      </c>
      <c r="N30" s="716"/>
      <c r="O30" s="716" t="str">
        <f>IF(AND(L30&lt;&gt;"",GlobBerMedDisc!Q14&gt;0,H30&lt;&gt;"STOP"),GlobBerMedDisc!Q14&amp;" min","")</f>
        <v/>
      </c>
      <c r="P30" s="716"/>
      <c r="Q30" s="688"/>
      <c r="R30" s="688"/>
      <c r="S30" s="688"/>
      <c r="T30" s="688"/>
      <c r="U30" s="688"/>
      <c r="V30" s="688"/>
    </row>
    <row r="31" spans="1:22" ht="19.55" customHeight="1" x14ac:dyDescent="0.35">
      <c r="A31" s="716"/>
      <c r="B31" s="710" t="s">
        <v>313</v>
      </c>
      <c r="C31" s="716"/>
      <c r="D31" s="717">
        <f>GlobBerOpm!C19</f>
        <v>0</v>
      </c>
      <c r="E31" s="717"/>
      <c r="F31" s="717"/>
      <c r="G31" s="717"/>
      <c r="H31" s="718" t="str">
        <f>IF(AND(GlobBerMedDisc!C14&gt;1,H30&lt;&gt;"STOP"),"Dosering/kg/dag: ","")</f>
        <v/>
      </c>
      <c r="I31" s="716"/>
      <c r="J31" s="717" t="str">
        <f>IF(GlobBerMedDisc!C14&gt;1,GlobBerMedDisc!M14,"")</f>
        <v/>
      </c>
      <c r="K31" s="716" t="str">
        <f>IF(AND(GlobBerMedDisc!C14&gt;1,H30&lt;&gt;"STOP"),J30&amp;"/kg/dag ","")</f>
        <v/>
      </c>
      <c r="L31" s="716"/>
      <c r="M31" s="716" t="str">
        <f>IF(AND(GlobBerMedDisc!C14&gt;1,GlobBerMedDisc!O14&gt;1,GlobBerMedDisc!N14&gt;0,H30&lt;&gt;"STOP"),"Oplossing:","")</f>
        <v/>
      </c>
      <c r="N31" s="716" t="str">
        <f>IF(AND(GlobBerMedDisc!C14&gt;1,GlobBerMedDisc!O14&gt;1,GlobBerMedDisc!N14&gt;0,H30&lt;&gt;"STOP"),ROUND(GlobBerMedDisc!H14/GlobBerMedDisc!N14,2)&amp;" "&amp;GlobBerMedDisc!F14&amp;"/ml","")</f>
        <v/>
      </c>
      <c r="O31" s="716"/>
      <c r="P31" s="716"/>
      <c r="Q31" s="688"/>
      <c r="R31" s="688"/>
      <c r="S31" s="688"/>
      <c r="T31" s="688"/>
      <c r="U31" s="688"/>
      <c r="V31" s="688"/>
    </row>
    <row r="32" spans="1:22" ht="19.55" customHeight="1" x14ac:dyDescent="0.4">
      <c r="A32" s="719"/>
      <c r="B32" s="690">
        <v>14</v>
      </c>
      <c r="C32" s="720"/>
      <c r="D32" s="878">
        <f>GlobBerMedDisc!C15</f>
        <v>0</v>
      </c>
      <c r="E32" s="878"/>
      <c r="F32" s="878"/>
      <c r="G32" s="878"/>
      <c r="H32" s="692" t="str">
        <f>IF(INDEX(tblMedDiscTijdenValues,GlobBerMedDisc!I15,1)=0,"",INDEX(tblMedDiscTijdenValues,GlobBerMedDisc!I15,1))</f>
        <v/>
      </c>
      <c r="I32" s="721" t="str">
        <f>IF(GlobBerMedDisc!C15&gt;1,GlobBerMedDisc!H15,"")</f>
        <v/>
      </c>
      <c r="J32" s="722" t="str">
        <f>IF(GlobBerMedDisc!C15&gt;1,GlobBerMedDisc!F15,"")</f>
        <v/>
      </c>
      <c r="K32" s="723">
        <f>GlobBerMedDisc!L15</f>
        <v>0</v>
      </c>
      <c r="L32" s="693" t="str">
        <f>IF(AND(GlobBerMedDisc!C15&gt;1,GlobBerMedDisc!O15&gt;1,H32&lt;&gt;"STOP"),GlobBerMedDisc!N15,"")</f>
        <v/>
      </c>
      <c r="M32" s="693" t="str">
        <f>IF(AND(GlobBerMedDisc!C15&gt;1,L32&lt;&gt;0,GlobBerMedDisc!O15&gt;1,H32&lt;&gt;"STOP"),"ml","")</f>
        <v/>
      </c>
      <c r="N32" s="693"/>
      <c r="O32" s="693" t="str">
        <f>IF(AND(L32&lt;&gt;"",GlobBerMedDisc!Q15&gt;0,H32&lt;&gt;"STOP"),GlobBerMedDisc!Q15&amp;" min","")</f>
        <v/>
      </c>
      <c r="P32" s="693"/>
      <c r="Q32" s="688"/>
      <c r="R32" s="688"/>
      <c r="S32" s="688"/>
      <c r="T32" s="688"/>
      <c r="U32" s="688"/>
      <c r="V32" s="688"/>
    </row>
    <row r="33" spans="1:22" ht="19.55" customHeight="1" x14ac:dyDescent="0.35">
      <c r="A33" s="693"/>
      <c r="B33" s="690" t="s">
        <v>313</v>
      </c>
      <c r="C33" s="693"/>
      <c r="D33" s="724">
        <f>GlobBerOpm!C20</f>
        <v>0</v>
      </c>
      <c r="E33" s="724"/>
      <c r="F33" s="724"/>
      <c r="G33" s="724"/>
      <c r="H33" s="691" t="str">
        <f>IF(AND(GlobBerMedDisc!C15&gt;1,H32&lt;&gt;"STOP"),"Dosering/kg/dag: ","")</f>
        <v/>
      </c>
      <c r="I33" s="693"/>
      <c r="J33" s="724" t="str">
        <f>IF(GlobBerMedDisc!C15&gt;1,GlobBerMedDisc!M15,"")</f>
        <v/>
      </c>
      <c r="K33" s="693" t="str">
        <f>IF(AND(GlobBerMedDisc!C15&gt;1,H32&lt;&gt;"STOP"),J32&amp;"/kg/dag ","")</f>
        <v/>
      </c>
      <c r="L33" s="693"/>
      <c r="M33" s="693" t="str">
        <f>IF(AND(GlobBerMedDisc!C15&gt;1,GlobBerMedDisc!O15&gt;1,GlobBerMedDisc!N15&gt;0,H32&lt;&gt;"STOP"),"Oplossing:","")</f>
        <v/>
      </c>
      <c r="N33" s="693" t="str">
        <f>IF(AND(GlobBerMedDisc!C15&gt;1,GlobBerMedDisc!O15&gt;1,GlobBerMedDisc!N15&gt;0,H32&lt;&gt;"STOP"),ROUND(GlobBerMedDisc!H15/GlobBerMedDisc!N15,2)&amp;" "&amp;GlobBerMedDisc!F15&amp;"/ml","")</f>
        <v/>
      </c>
      <c r="O33" s="693"/>
      <c r="P33" s="693"/>
      <c r="Q33" s="688"/>
      <c r="R33" s="688"/>
      <c r="S33" s="688"/>
      <c r="T33" s="688"/>
      <c r="U33" s="688"/>
      <c r="V33" s="688"/>
    </row>
    <row r="34" spans="1:22" ht="19.55" customHeight="1" x14ac:dyDescent="0.4">
      <c r="A34" s="725"/>
      <c r="B34" s="710">
        <v>15</v>
      </c>
      <c r="C34" s="711"/>
      <c r="D34" s="877">
        <f>GlobBerMedDisc!C16</f>
        <v>0</v>
      </c>
      <c r="E34" s="877"/>
      <c r="F34" s="877"/>
      <c r="G34" s="877"/>
      <c r="H34" s="712" t="str">
        <f>IF(INDEX(tblMedDiscTijdenValues,GlobBerMedDisc!I16,1)=0,"",INDEX(tblMedDiscTijdenValues,GlobBerMedDisc!I16,1))</f>
        <v/>
      </c>
      <c r="I34" s="713" t="str">
        <f>IF(GlobBerMedDisc!C16&gt;1,GlobBerMedDisc!H16,"")</f>
        <v/>
      </c>
      <c r="J34" s="714" t="str">
        <f>IF(GlobBerMedDisc!C16&gt;1,GlobBerMedDisc!F16,"")</f>
        <v/>
      </c>
      <c r="K34" s="715">
        <f>GlobBerMedDisc!L16</f>
        <v>0</v>
      </c>
      <c r="L34" s="716" t="str">
        <f>IF(AND(GlobBerMedDisc!C16&gt;1,GlobBerMedDisc!O16&gt;1,H34&lt;&gt;"STOP"),GlobBerMedDisc!N16,"")</f>
        <v/>
      </c>
      <c r="M34" s="716" t="str">
        <f>IF(AND(GlobBerMedDisc!C16&gt;1,L34&lt;&gt;0,GlobBerMedDisc!O16&gt;1,H34&lt;&gt;"STOP"),"ml","")</f>
        <v/>
      </c>
      <c r="N34" s="716"/>
      <c r="O34" s="716" t="str">
        <f>IF(AND(L34&lt;&gt;"",GlobBerMedDisc!Q16&gt;0,H34&lt;&gt;"STOP"),GlobBerMedDisc!Q16&amp;" min","")</f>
        <v/>
      </c>
      <c r="P34" s="716"/>
      <c r="Q34" s="688"/>
      <c r="R34" s="688"/>
      <c r="S34" s="688"/>
      <c r="T34" s="688"/>
      <c r="U34" s="688"/>
      <c r="V34" s="688"/>
    </row>
    <row r="35" spans="1:22" ht="19.55" customHeight="1" x14ac:dyDescent="0.35">
      <c r="A35" s="716"/>
      <c r="B35" s="710" t="s">
        <v>313</v>
      </c>
      <c r="C35" s="716"/>
      <c r="D35" s="717">
        <f>GlobBerOpm!C21</f>
        <v>0</v>
      </c>
      <c r="E35" s="717"/>
      <c r="F35" s="717"/>
      <c r="G35" s="717"/>
      <c r="H35" s="718" t="str">
        <f>IF(AND(GlobBerMedDisc!C16&gt;1,H34&lt;&gt;"STOP"),"Dosering/kg/dag: ","")</f>
        <v/>
      </c>
      <c r="I35" s="716"/>
      <c r="J35" s="717" t="str">
        <f>IF(GlobBerMedDisc!C16&gt;1,GlobBerMedDisc!M16,"")</f>
        <v/>
      </c>
      <c r="K35" s="716" t="str">
        <f>IF(AND(GlobBerMedDisc!C16&gt;1,H34&lt;&gt;"STOP"),J34&amp;"/kg/dag ","")</f>
        <v/>
      </c>
      <c r="L35" s="716"/>
      <c r="M35" s="716" t="str">
        <f>IF(AND(GlobBerMedDisc!C16&gt;1,GlobBerMedDisc!O16&gt;1,GlobBerMedDisc!N16&gt;0,H34&lt;&gt;"STOP"),"Oplossing:","")</f>
        <v/>
      </c>
      <c r="N35" s="716" t="str">
        <f>IF(AND(GlobBerMedDisc!C16&gt;1,GlobBerMedDisc!O16&gt;1,GlobBerMedDisc!N16&gt;0,H34&lt;&gt;"STOP"),ROUND(GlobBerMedDisc!H16/GlobBerMedDisc!N16,2)&amp;" "&amp;GlobBerMedDisc!F16&amp;"/ml","")</f>
        <v/>
      </c>
      <c r="O35" s="716"/>
      <c r="P35" s="716"/>
      <c r="Q35" s="688"/>
      <c r="R35" s="688"/>
      <c r="S35" s="688"/>
      <c r="T35" s="688"/>
      <c r="U35" s="688"/>
      <c r="V35" s="688"/>
    </row>
    <row r="36" spans="1:22" ht="19.55" customHeight="1" x14ac:dyDescent="0.4">
      <c r="A36" s="719"/>
      <c r="B36" s="690">
        <v>16</v>
      </c>
      <c r="C36" s="720"/>
      <c r="D36" s="878">
        <f>GlobBerMedDisc!C17</f>
        <v>0</v>
      </c>
      <c r="E36" s="878"/>
      <c r="F36" s="878"/>
      <c r="G36" s="878"/>
      <c r="H36" s="692" t="str">
        <f>IF(INDEX(tblMedDiscTijdenValues,GlobBerMedDisc!I17,1)=0,"",INDEX(tblMedDiscTijdenValues,GlobBerMedDisc!I17,1))</f>
        <v/>
      </c>
      <c r="I36" s="721" t="str">
        <f>IF(GlobBerMedDisc!C17&gt;1,GlobBerMedDisc!H17,"")</f>
        <v/>
      </c>
      <c r="J36" s="722" t="str">
        <f>IF(GlobBerMedDisc!C17&gt;1,GlobBerMedDisc!F17,"")</f>
        <v/>
      </c>
      <c r="K36" s="723">
        <f>GlobBerMedDisc!L17</f>
        <v>0</v>
      </c>
      <c r="L36" s="693" t="str">
        <f>IF(AND(GlobBerMedDisc!C17&gt;1,GlobBerMedDisc!O17&gt;1),GlobBerMedDisc!N17,"")</f>
        <v/>
      </c>
      <c r="M36" s="693" t="str">
        <f>IF(AND(GlobBerMedDisc!C17&gt;1,L36&lt;&gt;0,GlobBerMedDisc!O17&gt;1),"ml","")</f>
        <v/>
      </c>
      <c r="N36" s="693"/>
      <c r="O36" s="693" t="str">
        <f>IF(AND(L36&lt;&gt;"",GlobBerMedDisc!Q17&gt;0),GlobBerMedDisc!Q17&amp;" min","")</f>
        <v/>
      </c>
      <c r="P36" s="693"/>
      <c r="Q36" s="688"/>
      <c r="R36" s="688"/>
      <c r="S36" s="688"/>
      <c r="T36" s="688"/>
      <c r="U36" s="688"/>
      <c r="V36" s="688"/>
    </row>
    <row r="37" spans="1:22" ht="19.55" customHeight="1" x14ac:dyDescent="0.35">
      <c r="A37" s="693"/>
      <c r="B37" s="690" t="s">
        <v>313</v>
      </c>
      <c r="C37" s="693"/>
      <c r="D37" s="724">
        <f>GlobBerOpm!C22</f>
        <v>0</v>
      </c>
      <c r="E37" s="724"/>
      <c r="F37" s="724"/>
      <c r="G37" s="724"/>
      <c r="H37" s="691" t="str">
        <f>IF(GlobBerMedDisc!C17&gt;1,"Dosering/kg/dag: ","")</f>
        <v/>
      </c>
      <c r="I37" s="693"/>
      <c r="J37" s="724" t="str">
        <f>IF(GlobBerMedDisc!C17&gt;1,GlobBerMedDisc!M17,"")</f>
        <v/>
      </c>
      <c r="K37" s="693" t="str">
        <f>IF(AND(GlobBerMedDisc!C17&gt;1,H36&lt;&gt;"STOP"),J36&amp;"/kg/dag ","")</f>
        <v/>
      </c>
      <c r="L37" s="693"/>
      <c r="M37" s="693" t="str">
        <f>IF(AND(GlobBerMedDisc!C17&gt;1,GlobBerMedDisc!O17&gt;1,GlobBerMedDisc!N17&gt;0),"Oplossing:","")</f>
        <v/>
      </c>
      <c r="N37" s="693" t="str">
        <f>IF(AND(GlobBerMedDisc!C17&gt;1,GlobBerMedDisc!O17&gt;1,GlobBerMedDisc!N17&gt;0),ROUND(GlobBerMedDisc!H17/GlobBerMedDisc!N17,2)&amp;" "&amp;GlobBerMedDisc!F17&amp;"/ml","")</f>
        <v/>
      </c>
      <c r="O37" s="693"/>
      <c r="P37" s="693"/>
      <c r="Q37" s="688"/>
      <c r="R37" s="688"/>
      <c r="S37" s="688"/>
      <c r="T37" s="688"/>
      <c r="U37" s="688"/>
      <c r="V37" s="688"/>
    </row>
    <row r="38" spans="1:22" ht="19.55" customHeight="1" x14ac:dyDescent="0.4">
      <c r="A38" s="725"/>
      <c r="B38" s="710">
        <v>17</v>
      </c>
      <c r="C38" s="711"/>
      <c r="D38" s="877">
        <f>GlobBerMedDisc!C18</f>
        <v>0</v>
      </c>
      <c r="E38" s="877"/>
      <c r="F38" s="877"/>
      <c r="G38" s="877"/>
      <c r="H38" s="712" t="str">
        <f>IF(INDEX(tblMedDiscTijdenValues,GlobBerMedDisc!I18,1)=0,"",INDEX(tblMedDiscTijdenValues,GlobBerMedDisc!I18,1))</f>
        <v/>
      </c>
      <c r="I38" s="713" t="str">
        <f>IF(GlobBerMedDisc!C18&gt;1,GlobBerMedDisc!H18,"")</f>
        <v/>
      </c>
      <c r="J38" s="714" t="str">
        <f>IF(GlobBerMedDisc!C18&gt;1,GlobBerMedDisc!F18,"")</f>
        <v/>
      </c>
      <c r="K38" s="715">
        <f>GlobBerMedDisc!L18</f>
        <v>0</v>
      </c>
      <c r="L38" s="716" t="str">
        <f>IF(AND(GlobBerMedDisc!C18&gt;1,GlobBerMedDisc!O18&gt;1),GlobBerMedDisc!N18,"")</f>
        <v/>
      </c>
      <c r="M38" s="716" t="str">
        <f>IF(AND(GlobBerMedDisc!C18&gt;1,L38&lt;&gt;0,GlobBerMedDisc!O18&gt;1),"ml","")</f>
        <v/>
      </c>
      <c r="N38" s="716"/>
      <c r="O38" s="716" t="str">
        <f>IF(AND(L38&lt;&gt;"",GlobBerMedDisc!Q18&gt;0),GlobBerMedDisc!Q18&amp;" min","")</f>
        <v/>
      </c>
      <c r="P38" s="716"/>
      <c r="Q38" s="688"/>
      <c r="R38" s="688"/>
      <c r="S38" s="688"/>
      <c r="T38" s="688"/>
      <c r="U38" s="688"/>
      <c r="V38" s="688"/>
    </row>
    <row r="39" spans="1:22" ht="19.55" customHeight="1" x14ac:dyDescent="0.35">
      <c r="A39" s="716"/>
      <c r="B39" s="710" t="s">
        <v>313</v>
      </c>
      <c r="C39" s="716"/>
      <c r="D39" s="717">
        <f>GlobBerOpm!C23</f>
        <v>0</v>
      </c>
      <c r="E39" s="717"/>
      <c r="F39" s="717"/>
      <c r="G39" s="717"/>
      <c r="H39" s="718" t="str">
        <f>IF(GlobBerMedDisc!C18&gt;1,"Dosering/kg/dag: ","")</f>
        <v/>
      </c>
      <c r="I39" s="716"/>
      <c r="J39" s="717" t="str">
        <f>IF(GlobBerMedDisc!C18&gt;1,GlobBerMedDisc!M18,"")</f>
        <v/>
      </c>
      <c r="K39" s="716" t="str">
        <f>IF(AND(GlobBerMedDisc!C18&gt;1,H38&lt;&gt;"STOP"),J38&amp;"/kg/dag ","")</f>
        <v/>
      </c>
      <c r="L39" s="716"/>
      <c r="M39" s="716" t="str">
        <f>IF(AND(GlobBerMedDisc!C18&gt;1,GlobBerMedDisc!O18&gt;1,GlobBerMedDisc!N18&gt;0),"Oplossing:","")</f>
        <v/>
      </c>
      <c r="N39" s="716" t="str">
        <f>IF(AND(GlobBerMedDisc!C18&gt;1,GlobBerMedDisc!O18&gt;1,GlobBerMedDisc!N18&gt;0),ROUND(GlobBerMedDisc!H18/GlobBerMedDisc!N18,2)&amp;" "&amp;GlobBerMedDisc!F18&amp;"/ml","")</f>
        <v/>
      </c>
      <c r="O39" s="716"/>
      <c r="P39" s="716"/>
      <c r="Q39" s="688"/>
      <c r="R39" s="688"/>
      <c r="S39" s="688"/>
      <c r="T39" s="688"/>
      <c r="U39" s="688"/>
      <c r="V39" s="688"/>
    </row>
    <row r="40" spans="1:22" ht="19.55" customHeight="1" x14ac:dyDescent="0.4">
      <c r="A40" s="719"/>
      <c r="B40" s="690">
        <v>18</v>
      </c>
      <c r="C40" s="720"/>
      <c r="D40" s="878">
        <f>GlobBerMedDisc!C19</f>
        <v>0</v>
      </c>
      <c r="E40" s="878"/>
      <c r="F40" s="878"/>
      <c r="G40" s="878"/>
      <c r="H40" s="692" t="str">
        <f>IF(INDEX(tblMedDiscTijdenValues,GlobBerMedDisc!I19,1)=0,"",INDEX(tblMedDiscTijdenValues,GlobBerMedDisc!I19,1))</f>
        <v/>
      </c>
      <c r="I40" s="721" t="str">
        <f>IF(GlobBerMedDisc!C19&gt;1,GlobBerMedDisc!H19,"")</f>
        <v/>
      </c>
      <c r="J40" s="722" t="str">
        <f>IF(GlobBerMedDisc!C19&gt;1,GlobBerMedDisc!F19,"")</f>
        <v/>
      </c>
      <c r="K40" s="723">
        <f>GlobBerMedDisc!L19</f>
        <v>0</v>
      </c>
      <c r="L40" s="693" t="str">
        <f>IF(AND(GlobBerMedDisc!C19&gt;1,GlobBerMedDisc!O19&gt;1),GlobBerMedDisc!N19,"")</f>
        <v/>
      </c>
      <c r="M40" s="693" t="str">
        <f>IF(AND(GlobBerMedDisc!C19&gt;1,L40&lt;&gt;0,GlobBerMedDisc!O19&gt;1),"ml","")</f>
        <v/>
      </c>
      <c r="N40" s="693"/>
      <c r="O40" s="693" t="str">
        <f>IF(AND(L40&lt;&gt;"",GlobBerMedDisc!Q19&gt;0),GlobBerMedDisc!Q19&amp;" min","")</f>
        <v/>
      </c>
      <c r="P40" s="693"/>
      <c r="Q40" s="688"/>
      <c r="R40" s="688"/>
      <c r="S40" s="688"/>
      <c r="T40" s="688"/>
      <c r="U40" s="688"/>
      <c r="V40" s="688"/>
    </row>
    <row r="41" spans="1:22" ht="19.55" customHeight="1" x14ac:dyDescent="0.35">
      <c r="A41" s="693"/>
      <c r="B41" s="690" t="s">
        <v>313</v>
      </c>
      <c r="C41" s="693"/>
      <c r="D41" s="724">
        <f>GlobBerOpm!C24</f>
        <v>0</v>
      </c>
      <c r="E41" s="724"/>
      <c r="F41" s="724"/>
      <c r="G41" s="724"/>
      <c r="H41" s="691" t="str">
        <f>IF(GlobBerMedDisc!C19&gt;1,"Dosering/kg/dag: ","")</f>
        <v/>
      </c>
      <c r="I41" s="693"/>
      <c r="J41" s="724" t="str">
        <f>IF(GlobBerMedDisc!C19&gt;1,GlobBerMedDisc!M19,"")</f>
        <v/>
      </c>
      <c r="K41" s="693" t="str">
        <f>IF(AND(GlobBerMedDisc!C19&gt;1,H40&lt;&gt;"STOP"),J40&amp;"/kg/dag ","")</f>
        <v/>
      </c>
      <c r="L41" s="693"/>
      <c r="M41" s="693" t="str">
        <f>IF(AND(GlobBerMedDisc!C19&gt;1,GlobBerMedDisc!O19&gt;1,GlobBerMedDisc!N19&gt;0),"Oplossing:","")</f>
        <v/>
      </c>
      <c r="N41" s="693" t="str">
        <f>IF(AND(GlobBerMedDisc!C19&gt;1,GlobBerMedDisc!O19&gt;1,GlobBerMedDisc!N19&gt;0),ROUND(GlobBerMedDisc!H19/GlobBerMedDisc!N19,2)&amp;" "&amp;GlobBerMedDisc!F19&amp;"/ml","")</f>
        <v/>
      </c>
      <c r="O41" s="693"/>
      <c r="P41" s="693"/>
      <c r="Q41" s="688"/>
      <c r="R41" s="688"/>
      <c r="S41" s="688"/>
      <c r="T41" s="688"/>
      <c r="U41" s="688"/>
      <c r="V41" s="688"/>
    </row>
    <row r="42" spans="1:22" ht="19.55" customHeight="1" x14ac:dyDescent="0.4">
      <c r="A42" s="725"/>
      <c r="B42" s="710">
        <v>19</v>
      </c>
      <c r="C42" s="711"/>
      <c r="D42" s="877">
        <f>GlobBerMedDisc!C20</f>
        <v>0</v>
      </c>
      <c r="E42" s="877"/>
      <c r="F42" s="877"/>
      <c r="G42" s="877"/>
      <c r="H42" s="712" t="str">
        <f>IF(INDEX(tblMedDiscTijdenValues,GlobBerMedDisc!I20,1)=0,"",INDEX(tblMedDiscTijdenValues,GlobBerMedDisc!I20,1))</f>
        <v/>
      </c>
      <c r="I42" s="713" t="str">
        <f>IF(GlobBerMedDisc!C20&gt;1,GlobBerMedDisc!H20,"")</f>
        <v/>
      </c>
      <c r="J42" s="714" t="str">
        <f>IF(GlobBerMedDisc!C20&gt;1,GlobBerMedDisc!F20,"")</f>
        <v/>
      </c>
      <c r="K42" s="715">
        <f>GlobBerMedDisc!L20</f>
        <v>0</v>
      </c>
      <c r="L42" s="716" t="str">
        <f>IF(AND(GlobBerMedDisc!C20&gt;1,GlobBerMedDisc!O20&gt;1),GlobBerMedDisc!N20,"")</f>
        <v/>
      </c>
      <c r="M42" s="716" t="str">
        <f>IF(AND(GlobBerMedDisc!C20&gt;1,L42&lt;&gt;0,GlobBerMedDisc!O20&gt;1),"ml","")</f>
        <v/>
      </c>
      <c r="N42" s="716"/>
      <c r="O42" s="716" t="str">
        <f>IF(AND(L42&lt;&gt;"",GlobBerMedDisc!Q20&gt;0),GlobBerMedDisc!Q20&amp;" min","")</f>
        <v/>
      </c>
      <c r="P42" s="716"/>
      <c r="Q42" s="688"/>
      <c r="R42" s="688"/>
      <c r="S42" s="688"/>
      <c r="T42" s="688"/>
      <c r="U42" s="688"/>
      <c r="V42" s="688"/>
    </row>
    <row r="43" spans="1:22" ht="19.55" customHeight="1" x14ac:dyDescent="0.35">
      <c r="A43" s="716"/>
      <c r="B43" s="710" t="s">
        <v>313</v>
      </c>
      <c r="C43" s="716"/>
      <c r="D43" s="717">
        <f>GlobBerOpm!C25</f>
        <v>0</v>
      </c>
      <c r="E43" s="717"/>
      <c r="F43" s="717"/>
      <c r="G43" s="717"/>
      <c r="H43" s="718" t="str">
        <f>IF(GlobBerMedDisc!C20&gt;1,"Dosering/kg/dag: ","")</f>
        <v/>
      </c>
      <c r="I43" s="716"/>
      <c r="J43" s="717" t="str">
        <f>IF(GlobBerMedDisc!C20&gt;1,GlobBerMedDisc!M20,"")</f>
        <v/>
      </c>
      <c r="K43" s="716" t="str">
        <f>IF(AND(GlobBerMedDisc!C20&gt;1,H42&lt;&gt;"STOP"),J42&amp;"/kg/dag ","")</f>
        <v/>
      </c>
      <c r="L43" s="716"/>
      <c r="M43" s="716" t="str">
        <f>IF(AND(GlobBerMedDisc!C20&gt;1,GlobBerMedDisc!O20&gt;1,GlobBerMedDisc!N20&gt;0),"Oplossing:","")</f>
        <v/>
      </c>
      <c r="N43" s="716" t="str">
        <f>IF(AND(GlobBerMedDisc!C20&gt;1,GlobBerMedDisc!O20&gt;1,GlobBerMedDisc!N20&gt;0),ROUND(GlobBerMedDisc!H20/GlobBerMedDisc!N20,2)&amp;" "&amp;GlobBerMedDisc!F20&amp;"/ml","")</f>
        <v/>
      </c>
      <c r="O43" s="716"/>
      <c r="P43" s="716"/>
      <c r="Q43" s="688"/>
      <c r="R43" s="688"/>
      <c r="S43" s="688"/>
      <c r="T43" s="688"/>
      <c r="U43" s="688"/>
      <c r="V43" s="688"/>
    </row>
    <row r="44" spans="1:22" ht="19.55" customHeight="1" x14ac:dyDescent="0.4">
      <c r="A44" s="719"/>
      <c r="B44" s="690">
        <v>20</v>
      </c>
      <c r="C44" s="726"/>
      <c r="D44" s="878">
        <f>GlobBerMedDisc!C21</f>
        <v>0</v>
      </c>
      <c r="E44" s="878"/>
      <c r="F44" s="878"/>
      <c r="G44" s="878"/>
      <c r="H44" s="692" t="str">
        <f>IF(INDEX(tblMedDiscTijdenValues,GlobBerMedDisc!I21,1)=0,"",INDEX(tblMedDiscTijdenValues,GlobBerMedDisc!I21,1))</f>
        <v/>
      </c>
      <c r="I44" s="721" t="str">
        <f>IF(GlobBerMedDisc!C21&gt;1,GlobBerMedDisc!H21,"")</f>
        <v/>
      </c>
      <c r="J44" s="722" t="str">
        <f>IF(GlobBerMedDisc!C21&gt;1,GlobBerMedDisc!F21,"")</f>
        <v/>
      </c>
      <c r="K44" s="723">
        <f>GlobBerMedDisc!L21</f>
        <v>0</v>
      </c>
      <c r="L44" s="693" t="str">
        <f>IF(AND(GlobBerMedDisc!C21&gt;1,GlobBerMedDisc!O21&gt;1),GlobBerMedDisc!N21,"")</f>
        <v/>
      </c>
      <c r="M44" s="693" t="str">
        <f>IF(AND(GlobBerMedDisc!C21&gt;1,L44&lt;&gt;0,GlobBerMedDisc!O21&gt;1),"ml","")</f>
        <v/>
      </c>
      <c r="N44" s="693"/>
      <c r="O44" s="693" t="str">
        <f>IF(AND(L44&lt;&gt;"",GlobBerMedDisc!Q21&gt;0),GlobBerMedDisc!Q21&amp;" min","")</f>
        <v/>
      </c>
      <c r="P44" s="693"/>
      <c r="Q44" s="688"/>
      <c r="R44" s="688"/>
      <c r="S44" s="688"/>
      <c r="T44" s="688"/>
      <c r="U44" s="688"/>
      <c r="V44" s="688"/>
    </row>
    <row r="45" spans="1:22" ht="19.55" customHeight="1" x14ac:dyDescent="0.35">
      <c r="A45" s="693"/>
      <c r="B45" s="690" t="s">
        <v>313</v>
      </c>
      <c r="C45" s="693"/>
      <c r="D45" s="724">
        <f>GlobBerOpm!C26</f>
        <v>0</v>
      </c>
      <c r="E45" s="724"/>
      <c r="F45" s="724"/>
      <c r="G45" s="724"/>
      <c r="H45" s="691" t="str">
        <f>IF(GlobBerMedDisc!C21&gt;1,"Dosering/kg/dag: ","")</f>
        <v/>
      </c>
      <c r="I45" s="693"/>
      <c r="J45" s="724" t="str">
        <f>IF(GlobBerMedDisc!C21&gt;1,GlobBerMedDisc!M21,"")</f>
        <v/>
      </c>
      <c r="K45" s="693" t="str">
        <f>IF(AND(GlobBerMedDisc!C21&gt;1,H44&lt;&gt;"STOP"),J44&amp;"/kg/dag ","")</f>
        <v/>
      </c>
      <c r="L45" s="693"/>
      <c r="M45" s="693" t="str">
        <f>IF(AND(GlobBerMedDisc!C21&gt;1,GlobBerMedDisc!O21&gt;1,GlobBerMedDisc!N21&gt;0),"Oplossing:","")</f>
        <v/>
      </c>
      <c r="N45" s="693" t="str">
        <f>IF(AND(GlobBerMedDisc!C21&gt;1,GlobBerMedDisc!O21&gt;1,GlobBerMedDisc!N21&gt;0),ROUND(GlobBerMedDisc!H21/GlobBerMedDisc!N21,2)&amp;" "&amp;GlobBerMedDisc!F21&amp;"/ml","")</f>
        <v/>
      </c>
      <c r="O45" s="693"/>
      <c r="P45" s="693"/>
      <c r="Q45" s="688"/>
      <c r="R45" s="688"/>
      <c r="S45" s="688"/>
      <c r="T45" s="688"/>
      <c r="U45" s="688"/>
      <c r="V45" s="688"/>
    </row>
    <row r="46" spans="1:22" ht="19.55" customHeight="1" x14ac:dyDescent="0.4">
      <c r="A46" s="725"/>
      <c r="B46" s="710">
        <v>21</v>
      </c>
      <c r="C46" s="727"/>
      <c r="D46" s="877">
        <f>GlobBerMedDisc!C22</f>
        <v>0</v>
      </c>
      <c r="E46" s="877"/>
      <c r="F46" s="877"/>
      <c r="G46" s="877"/>
      <c r="H46" s="712" t="str">
        <f>IF(INDEX(tblMedDiscTijdenValues,GlobBerMedDisc!I22,1)=0,"",INDEX(tblMedDiscTijdenValues,GlobBerMedDisc!I22,1))</f>
        <v/>
      </c>
      <c r="I46" s="713" t="str">
        <f>IF(GlobBerMedDisc!C22&gt;1,GlobBerMedDisc!H22,"")</f>
        <v/>
      </c>
      <c r="J46" s="714" t="str">
        <f>IF(GlobBerMedDisc!C22&gt;1,GlobBerMedDisc!F22,"")</f>
        <v/>
      </c>
      <c r="K46" s="715">
        <f>GlobBerMedDisc!L22</f>
        <v>0</v>
      </c>
      <c r="L46" s="716" t="str">
        <f>IF(AND(GlobBerMedDisc!C22&gt;1,GlobBerMedDisc!O22&gt;1),GlobBerMedDisc!N22,"")</f>
        <v/>
      </c>
      <c r="M46" s="716" t="str">
        <f>IF(AND(GlobBerMedDisc!C22&gt;1,L46&lt;&gt;0,GlobBerMedDisc!O22&gt;1),"ml","")</f>
        <v/>
      </c>
      <c r="N46" s="716"/>
      <c r="O46" s="716" t="str">
        <f>IF(AND(L46&lt;&gt;"",GlobBerMedDisc!Q22&gt;0),GlobBerMedDisc!Q22&amp;" min","")</f>
        <v/>
      </c>
      <c r="P46" s="716"/>
      <c r="Q46" s="688"/>
      <c r="R46" s="688"/>
      <c r="S46" s="688"/>
      <c r="T46" s="688"/>
      <c r="U46" s="688"/>
      <c r="V46" s="688"/>
    </row>
    <row r="47" spans="1:22" ht="19.55" customHeight="1" x14ac:dyDescent="0.35">
      <c r="A47" s="716"/>
      <c r="B47" s="710" t="s">
        <v>313</v>
      </c>
      <c r="C47" s="716"/>
      <c r="D47" s="717">
        <f>GlobBerOpm!C27</f>
        <v>0</v>
      </c>
      <c r="E47" s="717"/>
      <c r="F47" s="717"/>
      <c r="G47" s="717"/>
      <c r="H47" s="718" t="str">
        <f>IF(GlobBerMedDisc!C22&gt;1,"Dosering/kg/dag: ","")</f>
        <v/>
      </c>
      <c r="I47" s="716"/>
      <c r="J47" s="717" t="str">
        <f>IF(GlobBerMedDisc!C22&gt;1,GlobBerMedDisc!M22,"")</f>
        <v/>
      </c>
      <c r="K47" s="716" t="str">
        <f>IF(AND(GlobBerMedDisc!C22&gt;1,H46&lt;&gt;"STOP"),J46&amp;"/kg/dag ","")</f>
        <v/>
      </c>
      <c r="L47" s="716"/>
      <c r="M47" s="716" t="str">
        <f>IF(AND(GlobBerMedDisc!C22&gt;1,GlobBerMedDisc!O22&gt;1,GlobBerMedDisc!N22&gt;0),"Oplossing:","")</f>
        <v/>
      </c>
      <c r="N47" s="716" t="str">
        <f>IF(AND(GlobBerMedDisc!C22&gt;1,GlobBerMedDisc!O22&gt;1,GlobBerMedDisc!N22&gt;0),ROUND(GlobBerMedDisc!H22/GlobBerMedDisc!N22,2)&amp;" "&amp;GlobBerMedDisc!F22&amp;"/ml","")</f>
        <v/>
      </c>
      <c r="O47" s="716"/>
      <c r="P47" s="716"/>
      <c r="Q47" s="688"/>
      <c r="R47" s="688"/>
      <c r="S47" s="688"/>
      <c r="T47" s="688"/>
      <c r="U47" s="688"/>
      <c r="V47" s="688"/>
    </row>
    <row r="48" spans="1:22" ht="19.55" customHeight="1" x14ac:dyDescent="0.4">
      <c r="A48" s="719"/>
      <c r="B48" s="690">
        <v>22</v>
      </c>
      <c r="C48" s="726"/>
      <c r="D48" s="878">
        <f>GlobBerMedDisc!C23</f>
        <v>0</v>
      </c>
      <c r="E48" s="878"/>
      <c r="F48" s="878"/>
      <c r="G48" s="878"/>
      <c r="H48" s="692" t="str">
        <f>IF(INDEX(tblMedDiscTijdenValues,GlobBerMedDisc!I23,1)=0,"",INDEX(tblMedDiscTijdenValues,GlobBerMedDisc!I23,1))</f>
        <v/>
      </c>
      <c r="I48" s="721" t="str">
        <f>IF(GlobBerMedDisc!C23&gt;1,GlobBerMedDisc!H23,"")</f>
        <v/>
      </c>
      <c r="J48" s="722" t="str">
        <f>IF(GlobBerMedDisc!C23&gt;1,GlobBerMedDisc!F23,"")</f>
        <v/>
      </c>
      <c r="K48" s="723">
        <f>GlobBerMedDisc!L23</f>
        <v>0</v>
      </c>
      <c r="L48" s="693" t="str">
        <f>IF(AND(GlobBerMedDisc!C23&gt;1,GlobBerMedDisc!O23&gt;1),GlobBerMedDisc!N23,"")</f>
        <v/>
      </c>
      <c r="M48" s="693" t="str">
        <f>IF(AND(GlobBerMedDisc!C23&gt;1,L48&lt;&gt;0,GlobBerMedDisc!O23&gt;1),"ml","")</f>
        <v/>
      </c>
      <c r="N48" s="693"/>
      <c r="O48" s="693" t="str">
        <f>IF(AND(L48&lt;&gt;"",GlobBerMedDisc!Q23&gt;0),GlobBerMedDisc!Q23&amp;" min","")</f>
        <v/>
      </c>
      <c r="P48" s="693"/>
      <c r="Q48" s="688"/>
      <c r="R48" s="688"/>
      <c r="S48" s="688"/>
      <c r="T48" s="688"/>
      <c r="U48" s="688"/>
      <c r="V48" s="688"/>
    </row>
    <row r="49" spans="1:22" ht="19.55" customHeight="1" x14ac:dyDescent="0.35">
      <c r="A49" s="693"/>
      <c r="B49" s="690" t="s">
        <v>313</v>
      </c>
      <c r="C49" s="693"/>
      <c r="D49" s="724">
        <f>GlobBerOpm!C28</f>
        <v>0</v>
      </c>
      <c r="E49" s="724"/>
      <c r="F49" s="724"/>
      <c r="G49" s="724"/>
      <c r="H49" s="691" t="str">
        <f>IF(GlobBerMedDisc!C23&gt;1,"Dosering/kg/dag: ","")</f>
        <v/>
      </c>
      <c r="I49" s="693"/>
      <c r="J49" s="724" t="str">
        <f>IF(GlobBerMedDisc!C23&gt;1,GlobBerMedDisc!M23,"")</f>
        <v/>
      </c>
      <c r="K49" s="693" t="str">
        <f>IF(AND(GlobBerMedDisc!C23&gt;1,H48&lt;&gt;"STOP"),J48&amp;"/kg/dag ","")</f>
        <v/>
      </c>
      <c r="L49" s="693"/>
      <c r="M49" s="693" t="str">
        <f>IF(AND(GlobBerMedDisc!C23&gt;1,GlobBerMedDisc!O23&gt;1,GlobBerMedDisc!N23&gt;0),"Oplossing:","")</f>
        <v/>
      </c>
      <c r="N49" s="693" t="str">
        <f>IF(AND(GlobBerMedDisc!C23&gt;1,GlobBerMedDisc!O23&gt;1,GlobBerMedDisc!N23&gt;0),ROUND(GlobBerMedDisc!H23/GlobBerMedDisc!N23,2)&amp;" "&amp;GlobBerMedDisc!F23&amp;"/ml","")</f>
        <v/>
      </c>
      <c r="O49" s="693"/>
      <c r="P49" s="693"/>
      <c r="Q49" s="688"/>
      <c r="R49" s="688"/>
      <c r="S49" s="688"/>
      <c r="T49" s="688"/>
      <c r="U49" s="688"/>
      <c r="V49" s="688"/>
    </row>
    <row r="50" spans="1:22" ht="19.55" customHeight="1" x14ac:dyDescent="0.4">
      <c r="A50" s="725"/>
      <c r="B50" s="710">
        <v>23</v>
      </c>
      <c r="C50" s="727"/>
      <c r="D50" s="877">
        <f>GlobBerMedDisc!C24</f>
        <v>0</v>
      </c>
      <c r="E50" s="877"/>
      <c r="F50" s="877"/>
      <c r="G50" s="877"/>
      <c r="H50" s="712" t="str">
        <f>IF(INDEX(tblMedDiscTijdenValues,GlobBerMedDisc!I24,1)=0,"",INDEX(tblMedDiscTijdenValues,GlobBerMedDisc!I24,1))</f>
        <v/>
      </c>
      <c r="I50" s="713" t="str">
        <f>IF(GlobBerMedDisc!C24&gt;1,GlobBerMedDisc!H24,"")</f>
        <v/>
      </c>
      <c r="J50" s="714" t="str">
        <f>IF(GlobBerMedDisc!C24&gt;1,GlobBerMedDisc!F24,"")</f>
        <v/>
      </c>
      <c r="K50" s="715">
        <f>GlobBerMedDisc!L24</f>
        <v>0</v>
      </c>
      <c r="L50" s="716" t="str">
        <f>IF(AND(GlobBerMedDisc!C24&gt;1,GlobBerMedDisc!O24&gt;1),GlobBerMedDisc!N24,"")</f>
        <v/>
      </c>
      <c r="M50" s="716" t="str">
        <f>IF(AND(GlobBerMedDisc!C24&gt;1,L50&lt;&gt;0,GlobBerMedDisc!O24&gt;1),"ml","")</f>
        <v/>
      </c>
      <c r="N50" s="716"/>
      <c r="O50" s="716" t="str">
        <f>IF(AND(L50&lt;&gt;"",GlobBerMedDisc!Q24&gt;0),GlobBerMedDisc!Q24&amp;" min","")</f>
        <v/>
      </c>
      <c r="P50" s="716"/>
      <c r="Q50" s="688"/>
      <c r="R50" s="688"/>
      <c r="S50" s="688"/>
      <c r="T50" s="688"/>
      <c r="U50" s="688"/>
      <c r="V50" s="688"/>
    </row>
    <row r="51" spans="1:22" ht="19.55" customHeight="1" x14ac:dyDescent="0.35">
      <c r="A51" s="716"/>
      <c r="B51" s="710" t="s">
        <v>313</v>
      </c>
      <c r="C51" s="716"/>
      <c r="D51" s="717">
        <f>GlobBerOpm!C29</f>
        <v>0</v>
      </c>
      <c r="E51" s="717"/>
      <c r="F51" s="717"/>
      <c r="G51" s="717"/>
      <c r="H51" s="718" t="str">
        <f>IF(GlobBerMedDisc!C24&gt;1,"Dosering/kg/dag: ","")</f>
        <v/>
      </c>
      <c r="I51" s="716"/>
      <c r="J51" s="717" t="str">
        <f>IF(GlobBerMedDisc!C24&gt;1,GlobBerMedDisc!M24,"")</f>
        <v/>
      </c>
      <c r="K51" s="716" t="str">
        <f>IF(AND(GlobBerMedDisc!C24&gt;1,H50&lt;&gt;"STOP"),J50&amp;"/kg/dag ","")</f>
        <v/>
      </c>
      <c r="L51" s="716"/>
      <c r="M51" s="716" t="str">
        <f>IF(AND(GlobBerMedDisc!C24&gt;1,GlobBerMedDisc!O24&gt;1,GlobBerMedDisc!N24&gt;0),"Oplossing:","")</f>
        <v/>
      </c>
      <c r="N51" s="716" t="str">
        <f>IF(AND(GlobBerMedDisc!C24&gt;1,GlobBerMedDisc!O24&gt;1,GlobBerMedDisc!N24&gt;0),ROUND(GlobBerMedDisc!H24/GlobBerMedDisc!N24,2)&amp;" "&amp;GlobBerMedDisc!F24&amp;"/ml","")</f>
        <v/>
      </c>
      <c r="O51" s="716"/>
      <c r="P51" s="716"/>
      <c r="Q51" s="688"/>
      <c r="R51" s="688"/>
      <c r="S51" s="688"/>
      <c r="T51" s="688"/>
      <c r="U51" s="688"/>
      <c r="V51" s="688"/>
    </row>
    <row r="52" spans="1:22" ht="19.55" customHeight="1" x14ac:dyDescent="0.4">
      <c r="A52" s="719"/>
      <c r="B52" s="690">
        <v>24</v>
      </c>
      <c r="C52" s="726"/>
      <c r="D52" s="878">
        <f>GlobBerMedDisc!C25</f>
        <v>0</v>
      </c>
      <c r="E52" s="878"/>
      <c r="F52" s="878"/>
      <c r="G52" s="878"/>
      <c r="H52" s="692" t="str">
        <f>IF(INDEX(tblMedDiscTijdenValues,GlobBerMedDisc!I25,1)=0,"",INDEX(tblMedDiscTijdenValues,GlobBerMedDisc!I25,1))</f>
        <v/>
      </c>
      <c r="I52" s="721" t="str">
        <f>IF(GlobBerMedDisc!C25&gt;1,GlobBerMedDisc!H25,"")</f>
        <v/>
      </c>
      <c r="J52" s="722" t="str">
        <f>IF(GlobBerMedDisc!C25&gt;1,GlobBerMedDisc!F25,"")</f>
        <v/>
      </c>
      <c r="K52" s="723">
        <f>GlobBerMedDisc!L25</f>
        <v>0</v>
      </c>
      <c r="L52" s="693" t="str">
        <f>IF(AND(GlobBerMedDisc!C25&gt;1,GlobBerMedDisc!O25&gt;1),GlobBerMedDisc!N25,"")</f>
        <v/>
      </c>
      <c r="M52" s="693" t="str">
        <f>IF(AND(GlobBerMedDisc!C25&gt;1,L52&lt;&gt;0,GlobBerMedDisc!O25&gt;1),"ml","")</f>
        <v/>
      </c>
      <c r="N52" s="693"/>
      <c r="O52" s="693" t="str">
        <f>IF(AND(L52&lt;&gt;"",GlobBerMedDisc!Q25&gt;0),GlobBerMedDisc!Q25&amp;" min","")</f>
        <v/>
      </c>
      <c r="P52" s="693"/>
      <c r="Q52" s="688"/>
      <c r="R52" s="688"/>
      <c r="S52" s="688"/>
      <c r="T52" s="688"/>
      <c r="U52" s="688"/>
      <c r="V52" s="688"/>
    </row>
    <row r="53" spans="1:22" ht="19.55" customHeight="1" x14ac:dyDescent="0.35">
      <c r="A53" s="693"/>
      <c r="B53" s="690" t="s">
        <v>313</v>
      </c>
      <c r="C53" s="693"/>
      <c r="D53" s="724">
        <f>GlobBerOpm!C30</f>
        <v>0</v>
      </c>
      <c r="E53" s="724"/>
      <c r="F53" s="724"/>
      <c r="G53" s="724"/>
      <c r="H53" s="691" t="str">
        <f>IF(GlobBerMedDisc!C25&gt;1,"Dosering/kg/dag: ","")</f>
        <v/>
      </c>
      <c r="I53" s="693"/>
      <c r="J53" s="724" t="str">
        <f>IF(GlobBerMedDisc!C25&gt;1,GlobBerMedDisc!M25,"")</f>
        <v/>
      </c>
      <c r="K53" s="693" t="str">
        <f>IF(AND(GlobBerMedDisc!C25&gt;1,H52&lt;&gt;"STOP"),J52&amp;"/kg/dag ","")</f>
        <v/>
      </c>
      <c r="L53" s="693"/>
      <c r="M53" s="693" t="str">
        <f>IF(AND(GlobBerMedDisc!C25&gt;1,GlobBerMedDisc!O25&gt;1,GlobBerMedDisc!N25&gt;0),"Oplossing:","")</f>
        <v/>
      </c>
      <c r="N53" s="693" t="str">
        <f>IF(AND(GlobBerMedDisc!C25&gt;1,GlobBerMedDisc!O25&gt;1,GlobBerMedDisc!N25&gt;0),ROUND(GlobBerMedDisc!H25/GlobBerMedDisc!N25,2)&amp;" "&amp;GlobBerMedDisc!F25&amp;"/ml","")</f>
        <v/>
      </c>
      <c r="O53" s="693"/>
      <c r="P53" s="693"/>
      <c r="Q53" s="688"/>
      <c r="R53" s="688"/>
      <c r="S53" s="688"/>
      <c r="T53" s="688"/>
      <c r="U53" s="688"/>
      <c r="V53" s="688"/>
    </row>
    <row r="54" spans="1:22" ht="19.55" customHeight="1" x14ac:dyDescent="0.4">
      <c r="A54" s="725"/>
      <c r="B54" s="710">
        <v>25</v>
      </c>
      <c r="C54" s="727"/>
      <c r="D54" s="877">
        <f>GlobBerMedDisc!C26</f>
        <v>0</v>
      </c>
      <c r="E54" s="877"/>
      <c r="F54" s="877"/>
      <c r="G54" s="877"/>
      <c r="H54" s="712" t="str">
        <f>IF(INDEX(tblMedDiscTijdenValues,GlobBerMedDisc!I26,1)=0,"",INDEX(tblMedDiscTijdenValues,GlobBerMedDisc!I26,1))</f>
        <v/>
      </c>
      <c r="I54" s="713" t="str">
        <f>IF(GlobBerMedDisc!C26&gt;1,GlobBerMedDisc!H26,"")</f>
        <v/>
      </c>
      <c r="J54" s="714" t="str">
        <f>IF(GlobBerMedDisc!C26&gt;1,GlobBerMedDisc!F26,"")</f>
        <v/>
      </c>
      <c r="K54" s="715">
        <f>GlobBerMedDisc!L26</f>
        <v>0</v>
      </c>
      <c r="L54" s="716" t="str">
        <f>IF(AND(GlobBerMedDisc!C26&gt;1,GlobBerMedDisc!O26&gt;1),GlobBerMedDisc!N26,"")</f>
        <v/>
      </c>
      <c r="M54" s="716" t="str">
        <f>IF(AND(GlobBerMedDisc!C26&gt;1,L54&lt;&gt;0,GlobBerMedDisc!O26&gt;1),"ml","")</f>
        <v/>
      </c>
      <c r="N54" s="716"/>
      <c r="O54" s="716" t="str">
        <f>IF(AND(L54&lt;&gt;"",GlobBerMedDisc!Q26&gt;0),GlobBerMedDisc!Q26&amp;" min","")</f>
        <v/>
      </c>
      <c r="P54" s="716"/>
      <c r="Q54" s="688"/>
      <c r="R54" s="688"/>
      <c r="S54" s="688"/>
      <c r="T54" s="688"/>
      <c r="U54" s="688"/>
      <c r="V54" s="688"/>
    </row>
    <row r="55" spans="1:22" ht="19.55" customHeight="1" x14ac:dyDescent="0.35">
      <c r="A55" s="716"/>
      <c r="B55" s="710" t="s">
        <v>313</v>
      </c>
      <c r="C55" s="716"/>
      <c r="D55" s="717">
        <f>GlobBerOpm!C31</f>
        <v>0</v>
      </c>
      <c r="E55" s="717"/>
      <c r="F55" s="717"/>
      <c r="G55" s="717"/>
      <c r="H55" s="718" t="str">
        <f>IF(GlobBerMedDisc!C26&gt;1,"Dosering/kg/dag: ","")</f>
        <v/>
      </c>
      <c r="I55" s="716"/>
      <c r="J55" s="717" t="str">
        <f>IF(GlobBerMedDisc!C26&gt;1,GlobBerMedDisc!M26,"")</f>
        <v/>
      </c>
      <c r="K55" s="716" t="str">
        <f>IF(AND(GlobBerMedDisc!C26&gt;1,H54&lt;&gt;"STOP"),J54&amp;"/kg/dag ","")</f>
        <v/>
      </c>
      <c r="L55" s="716"/>
      <c r="M55" s="716" t="str">
        <f>IF(AND(GlobBerMedDisc!C26&gt;1,GlobBerMedDisc!O26&gt;1,GlobBerMedDisc!N26&gt;0),"Oplossing:","")</f>
        <v/>
      </c>
      <c r="N55" s="716" t="str">
        <f>IF(AND(GlobBerMedDisc!C26&gt;1,GlobBerMedDisc!O26&gt;1,GlobBerMedDisc!N26&gt;0),ROUND(GlobBerMedDisc!H26/GlobBerMedDisc!N26,2)&amp;" "&amp;GlobBerMedDisc!F26&amp;"/ml","")</f>
        <v/>
      </c>
      <c r="O55" s="716"/>
      <c r="P55" s="716"/>
      <c r="Q55" s="688"/>
      <c r="R55" s="688"/>
      <c r="S55" s="688"/>
      <c r="T55" s="688"/>
      <c r="U55" s="688"/>
      <c r="V55" s="688"/>
    </row>
    <row r="56" spans="1:22" ht="19.55" customHeight="1" x14ac:dyDescent="0.4">
      <c r="A56" s="719"/>
      <c r="B56" s="690">
        <v>26</v>
      </c>
      <c r="C56" s="726"/>
      <c r="D56" s="878">
        <f>GlobBerMedDisc!C27</f>
        <v>0</v>
      </c>
      <c r="E56" s="878"/>
      <c r="F56" s="878"/>
      <c r="G56" s="878"/>
      <c r="H56" s="692" t="str">
        <f>IF(INDEX(tblMedDiscTijdenValues,GlobBerMedDisc!I27,1)=0,"",INDEX(tblMedDiscTijdenValues,GlobBerMedDisc!I27,1))</f>
        <v/>
      </c>
      <c r="I56" s="721" t="str">
        <f>IF(GlobBerMedDisc!C27&gt;1,GlobBerMedDisc!H27,"")</f>
        <v/>
      </c>
      <c r="J56" s="722" t="str">
        <f>IF(GlobBerMedDisc!C27&gt;1,GlobBerMedDisc!F27,"")</f>
        <v/>
      </c>
      <c r="K56" s="723">
        <f>GlobBerMedDisc!L27</f>
        <v>0</v>
      </c>
      <c r="L56" s="693" t="str">
        <f>IF(AND(GlobBerMedDisc!C27&gt;1,GlobBerMedDisc!O27&gt;1),GlobBerMedDisc!N27,"")</f>
        <v/>
      </c>
      <c r="M56" s="693" t="str">
        <f>IF(AND(GlobBerMedDisc!C27&gt;1,L56&lt;&gt;0,GlobBerMedDisc!O27&gt;1),"ml","")</f>
        <v/>
      </c>
      <c r="N56" s="693"/>
      <c r="O56" s="693" t="str">
        <f>IF(AND(L56&lt;&gt;"",GlobBerMedDisc!Q27&gt;0),GlobBerMedDisc!Q27&amp;" min","")</f>
        <v/>
      </c>
      <c r="P56" s="693"/>
      <c r="Q56" s="688"/>
      <c r="R56" s="688"/>
      <c r="S56" s="688"/>
      <c r="T56" s="688"/>
      <c r="U56" s="688"/>
      <c r="V56" s="688"/>
    </row>
    <row r="57" spans="1:22" ht="19.55" customHeight="1" x14ac:dyDescent="0.35">
      <c r="A57" s="693"/>
      <c r="B57" s="690" t="s">
        <v>313</v>
      </c>
      <c r="C57" s="693"/>
      <c r="D57" s="724">
        <f>GlobBerOpm!C32</f>
        <v>0</v>
      </c>
      <c r="E57" s="724"/>
      <c r="F57" s="724"/>
      <c r="G57" s="724"/>
      <c r="H57" s="691" t="str">
        <f>IF(GlobBerMedDisc!C27&gt;1,"Dosering/kg/dag: ","")</f>
        <v/>
      </c>
      <c r="I57" s="693"/>
      <c r="J57" s="724" t="str">
        <f>IF(GlobBerMedDisc!C27&gt;1,GlobBerMedDisc!M27,"")</f>
        <v/>
      </c>
      <c r="K57" s="693" t="str">
        <f>IF(AND(GlobBerMedDisc!C27&gt;1,H56&lt;&gt;"STOP"),J56&amp;"/kg/dag ","")</f>
        <v/>
      </c>
      <c r="L57" s="693"/>
      <c r="M57" s="693" t="str">
        <f>IF(AND(GlobBerMedDisc!C27&gt;1,GlobBerMedDisc!O27&gt;1,GlobBerMedDisc!N27&gt;0),"Oplossing:","")</f>
        <v/>
      </c>
      <c r="N57" s="693" t="str">
        <f>IF(AND(GlobBerMedDisc!C27&gt;1,GlobBerMedDisc!O27&gt;1,GlobBerMedDisc!N27&gt;0),ROUND(GlobBerMedDisc!H27/GlobBerMedDisc!N27,2)&amp;" "&amp;GlobBerMedDisc!F27&amp;"/ml","")</f>
        <v/>
      </c>
      <c r="O57" s="693"/>
      <c r="P57" s="693"/>
      <c r="Q57" s="688"/>
      <c r="R57" s="688"/>
      <c r="S57" s="688"/>
      <c r="T57" s="688"/>
      <c r="U57" s="688"/>
      <c r="V57" s="688"/>
    </row>
    <row r="58" spans="1:22" ht="19.55" customHeight="1" x14ac:dyDescent="0.4">
      <c r="A58" s="725"/>
      <c r="B58" s="710">
        <v>27</v>
      </c>
      <c r="C58" s="727"/>
      <c r="D58" s="877">
        <f>GlobBerMedDisc!C28</f>
        <v>0</v>
      </c>
      <c r="E58" s="877"/>
      <c r="F58" s="877"/>
      <c r="G58" s="877"/>
      <c r="H58" s="712" t="str">
        <f>IF(INDEX(tblMedDiscTijdenValues,GlobBerMedDisc!I28,1)=0,"",INDEX(tblMedDiscTijdenValues,GlobBerMedDisc!I28,1))</f>
        <v/>
      </c>
      <c r="I58" s="713" t="str">
        <f>IF(GlobBerMedDisc!C28&gt;1,GlobBerMedDisc!H28,"")</f>
        <v/>
      </c>
      <c r="J58" s="714" t="str">
        <f>IF(GlobBerMedDisc!C28&gt;1,GlobBerMedDisc!F28,"")</f>
        <v/>
      </c>
      <c r="K58" s="715">
        <f>GlobBerMedDisc!L28</f>
        <v>0</v>
      </c>
      <c r="L58" s="716" t="str">
        <f>IF(AND(GlobBerMedDisc!C28&gt;1,GlobBerMedDisc!O28&gt;1),GlobBerMedDisc!N28,"")</f>
        <v/>
      </c>
      <c r="M58" s="716" t="str">
        <f>IF(AND(GlobBerMedDisc!C28&gt;1,L58&lt;&gt;0,GlobBerMedDisc!O28&gt;1),"ml","")</f>
        <v/>
      </c>
      <c r="N58" s="716"/>
      <c r="O58" s="716" t="str">
        <f>IF(AND(L58&lt;&gt;"",GlobBerMedDisc!Q28&gt;0),GlobBerMedDisc!Q28&amp;" min","")</f>
        <v/>
      </c>
      <c r="P58" s="716"/>
      <c r="Q58" s="688"/>
      <c r="R58" s="688"/>
      <c r="S58" s="688"/>
      <c r="T58" s="688"/>
      <c r="U58" s="688"/>
      <c r="V58" s="688"/>
    </row>
    <row r="59" spans="1:22" ht="19.55" customHeight="1" x14ac:dyDescent="0.35">
      <c r="A59" s="716"/>
      <c r="B59" s="710" t="s">
        <v>313</v>
      </c>
      <c r="C59" s="716"/>
      <c r="D59" s="717">
        <f>GlobBerOpm!C33</f>
        <v>0</v>
      </c>
      <c r="E59" s="717"/>
      <c r="F59" s="717"/>
      <c r="G59" s="717"/>
      <c r="H59" s="718" t="str">
        <f>IF(GlobBerMedDisc!C28&gt;1,"Dosering/kg/dag: ","")</f>
        <v/>
      </c>
      <c r="I59" s="716"/>
      <c r="J59" s="717" t="str">
        <f>IF(GlobBerMedDisc!C28&gt;1,GlobBerMedDisc!M28,"")</f>
        <v/>
      </c>
      <c r="K59" s="716" t="str">
        <f>IF(AND(GlobBerMedDisc!C28&gt;1,H58&lt;&gt;"STOP"),J58&amp;"/kg/dag ","")</f>
        <v/>
      </c>
      <c r="L59" s="716"/>
      <c r="M59" s="716" t="str">
        <f>IF(AND(GlobBerMedDisc!C28&gt;1,GlobBerMedDisc!O28&gt;1,GlobBerMedDisc!N28&gt;0),"Oplossing:","")</f>
        <v/>
      </c>
      <c r="N59" s="716" t="str">
        <f>IF(AND(GlobBerMedDisc!C28&gt;1,GlobBerMedDisc!O28&gt;1,GlobBerMedDisc!N28&gt;0),ROUND(GlobBerMedDisc!H28/GlobBerMedDisc!N28,2)&amp;" "&amp;GlobBerMedDisc!F28&amp;"/ml","")</f>
        <v/>
      </c>
      <c r="O59" s="716"/>
      <c r="P59" s="716"/>
      <c r="Q59" s="688"/>
      <c r="R59" s="688"/>
      <c r="S59" s="688"/>
      <c r="T59" s="688"/>
      <c r="U59" s="688"/>
      <c r="V59" s="688"/>
    </row>
    <row r="60" spans="1:22" ht="19.55" customHeight="1" x14ac:dyDescent="0.4">
      <c r="A60" s="719"/>
      <c r="B60" s="690">
        <v>28</v>
      </c>
      <c r="C60" s="726"/>
      <c r="D60" s="878">
        <f>GlobBerMedDisc!C29</f>
        <v>0</v>
      </c>
      <c r="E60" s="878"/>
      <c r="F60" s="878"/>
      <c r="G60" s="878"/>
      <c r="H60" s="692" t="str">
        <f>IF(INDEX(tblMedDiscTijdenValues,GlobBerMedDisc!I29,1)=0,"",INDEX(tblMedDiscTijdenValues,GlobBerMedDisc!I29,1))</f>
        <v/>
      </c>
      <c r="I60" s="721" t="str">
        <f>IF(GlobBerMedDisc!C29&gt;1,GlobBerMedDisc!H29,"")</f>
        <v/>
      </c>
      <c r="J60" s="722" t="str">
        <f>IF(GlobBerMedDisc!C29&gt;1,GlobBerMedDisc!F29,"")</f>
        <v/>
      </c>
      <c r="K60" s="723">
        <f>GlobBerMedDisc!L29</f>
        <v>0</v>
      </c>
      <c r="L60" s="693" t="str">
        <f>IF(AND(GlobBerMedDisc!C29&gt;1,GlobBerMedDisc!O29&gt;1),GlobBerMedDisc!N29,"")</f>
        <v/>
      </c>
      <c r="M60" s="693" t="str">
        <f>IF(AND(GlobBerMedDisc!C29&gt;1,L60&lt;&gt;0,GlobBerMedDisc!O29&gt;1),"ml","")</f>
        <v/>
      </c>
      <c r="N60" s="693"/>
      <c r="O60" s="693" t="str">
        <f>IF(AND(L60&lt;&gt;"",GlobBerMedDisc!Q29&gt;0),GlobBerMedDisc!Q29&amp;" min","")</f>
        <v/>
      </c>
      <c r="P60" s="693"/>
      <c r="Q60" s="688"/>
      <c r="R60" s="688"/>
      <c r="S60" s="688"/>
      <c r="T60" s="688"/>
      <c r="U60" s="688"/>
      <c r="V60" s="688"/>
    </row>
    <row r="61" spans="1:22" ht="19.55" customHeight="1" x14ac:dyDescent="0.35">
      <c r="A61" s="693"/>
      <c r="B61" s="690" t="s">
        <v>313</v>
      </c>
      <c r="C61" s="693"/>
      <c r="D61" s="724">
        <f>GlobBerOpm!C34</f>
        <v>0</v>
      </c>
      <c r="E61" s="724"/>
      <c r="F61" s="724"/>
      <c r="G61" s="724"/>
      <c r="H61" s="691" t="str">
        <f>IF(GlobBerMedDisc!C29&gt;1,"Dosering/kg/dag: ","")</f>
        <v/>
      </c>
      <c r="I61" s="693"/>
      <c r="J61" s="724" t="str">
        <f>IF(GlobBerMedDisc!C29&gt;1,GlobBerMedDisc!M29,"")</f>
        <v/>
      </c>
      <c r="K61" s="693" t="str">
        <f>IF(AND(GlobBerMedDisc!C29&gt;1,H60&lt;&gt;"STOP"),J60&amp;"/kg/dag ","")</f>
        <v/>
      </c>
      <c r="L61" s="693"/>
      <c r="M61" s="693" t="str">
        <f>IF(AND(GlobBerMedDisc!C29&gt;1,GlobBerMedDisc!O29&gt;1,GlobBerMedDisc!N29&gt;0),"Oplossing:","")</f>
        <v/>
      </c>
      <c r="N61" s="693" t="str">
        <f>IF(AND(GlobBerMedDisc!C29&gt;1,GlobBerMedDisc!O29&gt;1,GlobBerMedDisc!N29&gt;0),ROUND(GlobBerMedDisc!H29/GlobBerMedDisc!N29,2)&amp;" "&amp;GlobBerMedDisc!F29&amp;"/ml","")</f>
        <v/>
      </c>
      <c r="O61" s="693"/>
      <c r="P61" s="693"/>
      <c r="Q61" s="688"/>
      <c r="R61" s="688"/>
      <c r="S61" s="688"/>
      <c r="T61" s="688"/>
      <c r="U61" s="688"/>
      <c r="V61" s="688"/>
    </row>
    <row r="62" spans="1:22" ht="19.55" customHeight="1" x14ac:dyDescent="0.4">
      <c r="A62" s="725"/>
      <c r="B62" s="710">
        <v>29</v>
      </c>
      <c r="C62" s="727"/>
      <c r="D62" s="877">
        <f>GlobBerMedDisc!C30</f>
        <v>0</v>
      </c>
      <c r="E62" s="877"/>
      <c r="F62" s="877"/>
      <c r="G62" s="877"/>
      <c r="H62" s="712" t="str">
        <f>IF(INDEX(tblMedDiscTijdenValues,GlobBerMedDisc!I30,1)=0,"",INDEX(tblMedDiscTijdenValues,GlobBerMedDisc!I30,1))</f>
        <v/>
      </c>
      <c r="I62" s="713" t="str">
        <f>IF(GlobBerMedDisc!C30&gt;1,GlobBerMedDisc!H30,"")</f>
        <v/>
      </c>
      <c r="J62" s="714" t="str">
        <f>IF(GlobBerMedDisc!C30&gt;1,GlobBerMedDisc!F30,"")</f>
        <v/>
      </c>
      <c r="K62" s="715">
        <f>GlobBerMedDisc!L30</f>
        <v>0</v>
      </c>
      <c r="L62" s="716" t="str">
        <f>IF(AND(GlobBerMedDisc!C30&gt;1,GlobBerMedDisc!O30&gt;1),GlobBerMedDisc!N30,"")</f>
        <v/>
      </c>
      <c r="M62" s="716" t="str">
        <f>IF(AND(GlobBerMedDisc!C30&gt;1,L62&lt;&gt;0,GlobBerMedDisc!O30&gt;1),"ml","")</f>
        <v/>
      </c>
      <c r="N62" s="716"/>
      <c r="O62" s="716" t="str">
        <f>IF(AND(L62&lt;&gt;"",GlobBerMedDisc!Q30&gt;0),GlobBerMedDisc!Q30&amp;" min","")</f>
        <v/>
      </c>
      <c r="P62" s="716"/>
      <c r="Q62" s="688"/>
      <c r="R62" s="688"/>
      <c r="S62" s="688"/>
      <c r="T62" s="688"/>
      <c r="U62" s="688"/>
      <c r="V62" s="688"/>
    </row>
    <row r="63" spans="1:22" ht="19.55" customHeight="1" x14ac:dyDescent="0.35">
      <c r="A63" s="716"/>
      <c r="B63" s="710" t="s">
        <v>313</v>
      </c>
      <c r="C63" s="716"/>
      <c r="D63" s="717">
        <f>GlobBerOpm!C35</f>
        <v>0</v>
      </c>
      <c r="E63" s="717"/>
      <c r="F63" s="717"/>
      <c r="G63" s="717"/>
      <c r="H63" s="718" t="str">
        <f>IF(GlobBerMedDisc!C30&gt;1,"Dosering/kg/dag: ","")</f>
        <v/>
      </c>
      <c r="I63" s="716"/>
      <c r="J63" s="717" t="str">
        <f>IF(GlobBerMedDisc!C30&gt;1,GlobBerMedDisc!M30,"")</f>
        <v/>
      </c>
      <c r="K63" s="716" t="str">
        <f>IF(AND(GlobBerMedDisc!C30&gt;1,H62&lt;&gt;"STOP"),J62&amp;"/kg/dag ","")</f>
        <v/>
      </c>
      <c r="L63" s="716"/>
      <c r="M63" s="716" t="str">
        <f>IF(AND(GlobBerMedDisc!C30&gt;1,GlobBerMedDisc!O30&gt;1,GlobBerMedDisc!N30&gt;0),"Oplossing:","")</f>
        <v/>
      </c>
      <c r="N63" s="716" t="str">
        <f>IF(AND(GlobBerMedDisc!C30&gt;1,GlobBerMedDisc!O30&gt;1,GlobBerMedDisc!N30&gt;0),ROUND(GlobBerMedDisc!H30/GlobBerMedDisc!N30,2)&amp;" "&amp;GlobBerMedDisc!F30&amp;"/ml","")</f>
        <v/>
      </c>
      <c r="O63" s="716"/>
      <c r="P63" s="716"/>
      <c r="Q63" s="688"/>
      <c r="R63" s="688"/>
      <c r="S63" s="688"/>
      <c r="T63" s="688"/>
      <c r="U63" s="688"/>
      <c r="V63" s="688"/>
    </row>
    <row r="64" spans="1:22" ht="19.55" customHeight="1" x14ac:dyDescent="0.4">
      <c r="A64" s="719"/>
      <c r="B64" s="690">
        <v>30</v>
      </c>
      <c r="C64" s="726"/>
      <c r="D64" s="878">
        <f>GlobBerMedDisc!C31</f>
        <v>0</v>
      </c>
      <c r="E64" s="878"/>
      <c r="F64" s="878"/>
      <c r="G64" s="878"/>
      <c r="H64" s="692" t="str">
        <f>IF(INDEX(tblMedDiscTijdenValues,GlobBerMedDisc!I31,1)=0,"",INDEX(tblMedDiscTijdenValues,GlobBerMedDisc!I31,1))</f>
        <v/>
      </c>
      <c r="I64" s="721" t="str">
        <f>IF(GlobBerMedDisc!C31&gt;1,GlobBerMedDisc!H31,"")</f>
        <v/>
      </c>
      <c r="J64" s="722" t="str">
        <f>IF(GlobBerMedDisc!C31&gt;1,GlobBerMedDisc!F31,"")</f>
        <v/>
      </c>
      <c r="K64" s="723">
        <f>GlobBerMedDisc!L31</f>
        <v>0</v>
      </c>
      <c r="L64" s="693" t="str">
        <f>IF(AND(GlobBerMedDisc!C31&gt;1,GlobBerMedDisc!O31&gt;1),GlobBerMedDisc!N31,"")</f>
        <v/>
      </c>
      <c r="M64" s="693" t="str">
        <f>IF(AND(GlobBerMedDisc!C31&gt;1,L64&lt;&gt;0,GlobBerMedDisc!O31&gt;1),"ml","")</f>
        <v/>
      </c>
      <c r="N64" s="693"/>
      <c r="O64" s="693" t="str">
        <f>IF(AND(L64&lt;&gt;"",GlobBerMedDisc!Q31&gt;0),GlobBerMedDisc!Q31&amp;" min","")</f>
        <v/>
      </c>
      <c r="P64" s="693"/>
      <c r="Q64" s="688"/>
      <c r="R64" s="688"/>
      <c r="S64" s="688"/>
      <c r="T64" s="688"/>
      <c r="U64" s="688"/>
      <c r="V64" s="688"/>
    </row>
    <row r="65" spans="1:22" ht="19.55" customHeight="1" x14ac:dyDescent="0.35">
      <c r="A65" s="693"/>
      <c r="B65" s="690" t="s">
        <v>313</v>
      </c>
      <c r="C65" s="693"/>
      <c r="D65" s="724">
        <f>GlobBerOpm!C36</f>
        <v>0</v>
      </c>
      <c r="E65" s="724"/>
      <c r="F65" s="724"/>
      <c r="G65" s="724"/>
      <c r="H65" s="691" t="str">
        <f>IF(GlobBerMedDisc!C31&gt;1,"Dosering/kg/dag: ","")</f>
        <v/>
      </c>
      <c r="I65" s="693"/>
      <c r="J65" s="724" t="str">
        <f>IF(GlobBerMedDisc!C31&gt;1,GlobBerMedDisc!M31,"")</f>
        <v/>
      </c>
      <c r="K65" s="693" t="str">
        <f>IF(AND(GlobBerMedDisc!C31&gt;1,H64&lt;&gt;"STOP"),J64&amp;"/kg/dag ","")</f>
        <v/>
      </c>
      <c r="L65" s="693"/>
      <c r="M65" s="693" t="str">
        <f>IF(AND(GlobBerMedDisc!C31&gt;1,GlobBerMedDisc!O31&gt;1,GlobBerMedDisc!N31&gt;0),"Oplossing:","")</f>
        <v/>
      </c>
      <c r="N65" s="693" t="str">
        <f>IF(AND(GlobBerMedDisc!C31&gt;1,GlobBerMedDisc!O31&gt;1,GlobBerMedDisc!N31&gt;0),ROUND(GlobBerMedDisc!H31/GlobBerMedDisc!N31,2)&amp;" "&amp;GlobBerMedDisc!F31&amp;"/ml","")</f>
        <v/>
      </c>
      <c r="O65" s="693"/>
      <c r="P65" s="693"/>
      <c r="Q65" s="688"/>
      <c r="R65" s="688"/>
      <c r="S65" s="688"/>
      <c r="T65" s="688"/>
      <c r="U65" s="688"/>
      <c r="V65" s="688"/>
    </row>
    <row r="66" spans="1:22" x14ac:dyDescent="0.35">
      <c r="A66" s="728"/>
      <c r="B66" s="728"/>
      <c r="C66" s="728"/>
      <c r="D66" s="728"/>
      <c r="E66" s="728"/>
      <c r="F66" s="728"/>
      <c r="G66" s="728"/>
      <c r="H66" s="728"/>
      <c r="I66" s="728"/>
      <c r="J66" s="728"/>
      <c r="K66" s="728"/>
      <c r="L66" s="728"/>
      <c r="M66" s="728"/>
      <c r="N66" s="728"/>
      <c r="O66" s="728"/>
      <c r="P66" s="728"/>
    </row>
    <row r="67" spans="1:22" x14ac:dyDescent="0.35">
      <c r="A67" s="728"/>
      <c r="B67" s="728"/>
      <c r="C67" s="728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</row>
  </sheetData>
  <sheetProtection algorithmName="SHA-512" hashValue="BrIiYk5V6ApfPUPgQT93cHiBNMUx/XwBujPCKYtk284ampa6XEaISFq1NA3wtkxyKMGN9ILllIP7fVOGW7B2vQ==" saltValue="9NBX8C93L0GoqlfZxoWKsw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9100" r:id="rId5" name="CheckBox30">
          <controlPr defaultSize="0" autoLine="0" r:id="rId6">
            <anchor moveWithCells="1">
              <from>
                <xdr:col>1</xdr:col>
                <xdr:colOff>186710</xdr:colOff>
                <xdr:row>63</xdr:row>
                <xdr:rowOff>23937</xdr:rowOff>
              </from>
              <to>
                <xdr:col>2</xdr:col>
                <xdr:colOff>421294</xdr:colOff>
                <xdr:row>64</xdr:row>
                <xdr:rowOff>52662</xdr:rowOff>
              </to>
            </anchor>
          </controlPr>
        </control>
      </mc:Choice>
      <mc:Fallback>
        <control shapeId="19100" r:id="rId5" name="CheckBox30"/>
      </mc:Fallback>
    </mc:AlternateContent>
    <mc:AlternateContent xmlns:mc="http://schemas.openxmlformats.org/markup-compatibility/2006">
      <mc:Choice Requires="x14">
        <control shapeId="19099" r:id="rId7" name="CheckBox29">
          <controlPr defaultSize="0" autoLine="0" r:id="rId8">
            <anchor moveWithCells="1">
              <from>
                <xdr:col>1</xdr:col>
                <xdr:colOff>186710</xdr:colOff>
                <xdr:row>61</xdr:row>
                <xdr:rowOff>23937</xdr:rowOff>
              </from>
              <to>
                <xdr:col>2</xdr:col>
                <xdr:colOff>421294</xdr:colOff>
                <xdr:row>62</xdr:row>
                <xdr:rowOff>52662</xdr:rowOff>
              </to>
            </anchor>
          </controlPr>
        </control>
      </mc:Choice>
      <mc:Fallback>
        <control shapeId="19099" r:id="rId7" name="CheckBox29"/>
      </mc:Fallback>
    </mc:AlternateContent>
    <mc:AlternateContent xmlns:mc="http://schemas.openxmlformats.org/markup-compatibility/2006">
      <mc:Choice Requires="x14">
        <control shapeId="19098" r:id="rId9" name="CheckBox28">
          <controlPr defaultSize="0" autoLine="0" r:id="rId10">
            <anchor moveWithCells="1">
              <from>
                <xdr:col>1</xdr:col>
                <xdr:colOff>186710</xdr:colOff>
                <xdr:row>59</xdr:row>
                <xdr:rowOff>23937</xdr:rowOff>
              </from>
              <to>
                <xdr:col>2</xdr:col>
                <xdr:colOff>421294</xdr:colOff>
                <xdr:row>60</xdr:row>
                <xdr:rowOff>52662</xdr:rowOff>
              </to>
            </anchor>
          </controlPr>
        </control>
      </mc:Choice>
      <mc:Fallback>
        <control shapeId="19098" r:id="rId9" name="CheckBox28"/>
      </mc:Fallback>
    </mc:AlternateContent>
    <mc:AlternateContent xmlns:mc="http://schemas.openxmlformats.org/markup-compatibility/2006">
      <mc:Choice Requires="x14">
        <control shapeId="19097" r:id="rId11" name="CheckBox27">
          <controlPr defaultSize="0" autoLine="0" r:id="rId12">
            <anchor moveWithCells="1">
              <from>
                <xdr:col>1</xdr:col>
                <xdr:colOff>186710</xdr:colOff>
                <xdr:row>57</xdr:row>
                <xdr:rowOff>23937</xdr:rowOff>
              </from>
              <to>
                <xdr:col>2</xdr:col>
                <xdr:colOff>421294</xdr:colOff>
                <xdr:row>58</xdr:row>
                <xdr:rowOff>52662</xdr:rowOff>
              </to>
            </anchor>
          </controlPr>
        </control>
      </mc:Choice>
      <mc:Fallback>
        <control shapeId="19097" r:id="rId11" name="CheckBox27"/>
      </mc:Fallback>
    </mc:AlternateContent>
    <mc:AlternateContent xmlns:mc="http://schemas.openxmlformats.org/markup-compatibility/2006">
      <mc:Choice Requires="x14">
        <control shapeId="19096" r:id="rId13" name="CheckBox26">
          <controlPr defaultSize="0" autoLine="0" r:id="rId14">
            <anchor moveWithCells="1">
              <from>
                <xdr:col>1</xdr:col>
                <xdr:colOff>186710</xdr:colOff>
                <xdr:row>55</xdr:row>
                <xdr:rowOff>23937</xdr:rowOff>
              </from>
              <to>
                <xdr:col>2</xdr:col>
                <xdr:colOff>421294</xdr:colOff>
                <xdr:row>56</xdr:row>
                <xdr:rowOff>52662</xdr:rowOff>
              </to>
            </anchor>
          </controlPr>
        </control>
      </mc:Choice>
      <mc:Fallback>
        <control shapeId="19096" r:id="rId13" name="CheckBox26"/>
      </mc:Fallback>
    </mc:AlternateContent>
    <mc:AlternateContent xmlns:mc="http://schemas.openxmlformats.org/markup-compatibility/2006">
      <mc:Choice Requires="x14">
        <control shapeId="19095" r:id="rId15" name="CheckBox25">
          <controlPr defaultSize="0" autoLine="0" r:id="rId16">
            <anchor moveWithCells="1">
              <from>
                <xdr:col>1</xdr:col>
                <xdr:colOff>186710</xdr:colOff>
                <xdr:row>53</xdr:row>
                <xdr:rowOff>23937</xdr:rowOff>
              </from>
              <to>
                <xdr:col>2</xdr:col>
                <xdr:colOff>421294</xdr:colOff>
                <xdr:row>54</xdr:row>
                <xdr:rowOff>52662</xdr:rowOff>
              </to>
            </anchor>
          </controlPr>
        </control>
      </mc:Choice>
      <mc:Fallback>
        <control shapeId="19095" r:id="rId15" name="CheckBox25"/>
      </mc:Fallback>
    </mc:AlternateContent>
    <mc:AlternateContent xmlns:mc="http://schemas.openxmlformats.org/markup-compatibility/2006">
      <mc:Choice Requires="x14">
        <control shapeId="19094" r:id="rId17" name="CheckBox24">
          <controlPr defaultSize="0" autoLine="0" r:id="rId18">
            <anchor moveWithCells="1">
              <from>
                <xdr:col>1</xdr:col>
                <xdr:colOff>186710</xdr:colOff>
                <xdr:row>51</xdr:row>
                <xdr:rowOff>23937</xdr:rowOff>
              </from>
              <to>
                <xdr:col>2</xdr:col>
                <xdr:colOff>421294</xdr:colOff>
                <xdr:row>52</xdr:row>
                <xdr:rowOff>52662</xdr:rowOff>
              </to>
            </anchor>
          </controlPr>
        </control>
      </mc:Choice>
      <mc:Fallback>
        <control shapeId="19094" r:id="rId17" name="CheckBox24"/>
      </mc:Fallback>
    </mc:AlternateContent>
    <mc:AlternateContent xmlns:mc="http://schemas.openxmlformats.org/markup-compatibility/2006">
      <mc:Choice Requires="x14">
        <control shapeId="19093" r:id="rId19" name="CheckBox23">
          <controlPr defaultSize="0" autoLine="0" r:id="rId20">
            <anchor moveWithCells="1">
              <from>
                <xdr:col>1</xdr:col>
                <xdr:colOff>186710</xdr:colOff>
                <xdr:row>49</xdr:row>
                <xdr:rowOff>23937</xdr:rowOff>
              </from>
              <to>
                <xdr:col>2</xdr:col>
                <xdr:colOff>421294</xdr:colOff>
                <xdr:row>50</xdr:row>
                <xdr:rowOff>52662</xdr:rowOff>
              </to>
            </anchor>
          </controlPr>
        </control>
      </mc:Choice>
      <mc:Fallback>
        <control shapeId="19093" r:id="rId19" name="CheckBox23"/>
      </mc:Fallback>
    </mc:AlternateContent>
    <mc:AlternateContent xmlns:mc="http://schemas.openxmlformats.org/markup-compatibility/2006">
      <mc:Choice Requires="x14">
        <control shapeId="19092" r:id="rId21" name="CheckBox22">
          <controlPr defaultSize="0" autoLine="0" r:id="rId22">
            <anchor moveWithCells="1">
              <from>
                <xdr:col>1</xdr:col>
                <xdr:colOff>186710</xdr:colOff>
                <xdr:row>47</xdr:row>
                <xdr:rowOff>23937</xdr:rowOff>
              </from>
              <to>
                <xdr:col>2</xdr:col>
                <xdr:colOff>421294</xdr:colOff>
                <xdr:row>48</xdr:row>
                <xdr:rowOff>52662</xdr:rowOff>
              </to>
            </anchor>
          </controlPr>
        </control>
      </mc:Choice>
      <mc:Fallback>
        <control shapeId="19092" r:id="rId21" name="CheckBox22"/>
      </mc:Fallback>
    </mc:AlternateContent>
    <mc:AlternateContent xmlns:mc="http://schemas.openxmlformats.org/markup-compatibility/2006">
      <mc:Choice Requires="x14">
        <control shapeId="19091" r:id="rId23" name="CheckBox21">
          <controlPr defaultSize="0" autoLine="0" r:id="rId24">
            <anchor moveWithCells="1">
              <from>
                <xdr:col>1</xdr:col>
                <xdr:colOff>186710</xdr:colOff>
                <xdr:row>45</xdr:row>
                <xdr:rowOff>23937</xdr:rowOff>
              </from>
              <to>
                <xdr:col>2</xdr:col>
                <xdr:colOff>421294</xdr:colOff>
                <xdr:row>46</xdr:row>
                <xdr:rowOff>52662</xdr:rowOff>
              </to>
            </anchor>
          </controlPr>
        </control>
      </mc:Choice>
      <mc:Fallback>
        <control shapeId="19091" r:id="rId23" name="CheckBox21"/>
      </mc:Fallback>
    </mc:AlternateContent>
    <mc:AlternateContent xmlns:mc="http://schemas.openxmlformats.org/markup-compatibility/2006">
      <mc:Choice Requires="x14">
        <control shapeId="19090" r:id="rId25" name="CheckBox20">
          <controlPr defaultSize="0" autoLine="0" r:id="rId26">
            <anchor moveWithCells="1">
              <from>
                <xdr:col>1</xdr:col>
                <xdr:colOff>186710</xdr:colOff>
                <xdr:row>43</xdr:row>
                <xdr:rowOff>23937</xdr:rowOff>
              </from>
              <to>
                <xdr:col>2</xdr:col>
                <xdr:colOff>421294</xdr:colOff>
                <xdr:row>44</xdr:row>
                <xdr:rowOff>52662</xdr:rowOff>
              </to>
            </anchor>
          </controlPr>
        </control>
      </mc:Choice>
      <mc:Fallback>
        <control shapeId="19090" r:id="rId25" name="CheckBox20"/>
      </mc:Fallback>
    </mc:AlternateContent>
    <mc:AlternateContent xmlns:mc="http://schemas.openxmlformats.org/markup-compatibility/2006">
      <mc:Choice Requires="x14">
        <control shapeId="19089" r:id="rId27" name="CheckBox19">
          <controlPr defaultSize="0" autoLine="0" r:id="rId28">
            <anchor moveWithCells="1">
              <from>
                <xdr:col>1</xdr:col>
                <xdr:colOff>186710</xdr:colOff>
                <xdr:row>41</xdr:row>
                <xdr:rowOff>23937</xdr:rowOff>
              </from>
              <to>
                <xdr:col>2</xdr:col>
                <xdr:colOff>421294</xdr:colOff>
                <xdr:row>42</xdr:row>
                <xdr:rowOff>52662</xdr:rowOff>
              </to>
            </anchor>
          </controlPr>
        </control>
      </mc:Choice>
      <mc:Fallback>
        <control shapeId="19089" r:id="rId27" name="CheckBox19"/>
      </mc:Fallback>
    </mc:AlternateContent>
    <mc:AlternateContent xmlns:mc="http://schemas.openxmlformats.org/markup-compatibility/2006">
      <mc:Choice Requires="x14">
        <control shapeId="19088" r:id="rId29" name="CheckBox18">
          <controlPr defaultSize="0" autoLine="0" r:id="rId30">
            <anchor moveWithCells="1">
              <from>
                <xdr:col>1</xdr:col>
                <xdr:colOff>186710</xdr:colOff>
                <xdr:row>39</xdr:row>
                <xdr:rowOff>23937</xdr:rowOff>
              </from>
              <to>
                <xdr:col>2</xdr:col>
                <xdr:colOff>421294</xdr:colOff>
                <xdr:row>40</xdr:row>
                <xdr:rowOff>52662</xdr:rowOff>
              </to>
            </anchor>
          </controlPr>
        </control>
      </mc:Choice>
      <mc:Fallback>
        <control shapeId="19088" r:id="rId29" name="CheckBox18"/>
      </mc:Fallback>
    </mc:AlternateContent>
    <mc:AlternateContent xmlns:mc="http://schemas.openxmlformats.org/markup-compatibility/2006">
      <mc:Choice Requires="x14">
        <control shapeId="19087" r:id="rId31" name="CheckBox17">
          <controlPr defaultSize="0" autoLine="0" r:id="rId32">
            <anchor moveWithCells="1">
              <from>
                <xdr:col>1</xdr:col>
                <xdr:colOff>186710</xdr:colOff>
                <xdr:row>37</xdr:row>
                <xdr:rowOff>23937</xdr:rowOff>
              </from>
              <to>
                <xdr:col>2</xdr:col>
                <xdr:colOff>421294</xdr:colOff>
                <xdr:row>38</xdr:row>
                <xdr:rowOff>52662</xdr:rowOff>
              </to>
            </anchor>
          </controlPr>
        </control>
      </mc:Choice>
      <mc:Fallback>
        <control shapeId="19087" r:id="rId31" name="CheckBox17"/>
      </mc:Fallback>
    </mc:AlternateContent>
    <mc:AlternateContent xmlns:mc="http://schemas.openxmlformats.org/markup-compatibility/2006">
      <mc:Choice Requires="x14">
        <control shapeId="19086" r:id="rId33" name="CheckBox16">
          <controlPr defaultSize="0" autoLine="0" r:id="rId34">
            <anchor moveWithCells="1">
              <from>
                <xdr:col>1</xdr:col>
                <xdr:colOff>186710</xdr:colOff>
                <xdr:row>35</xdr:row>
                <xdr:rowOff>23937</xdr:rowOff>
              </from>
              <to>
                <xdr:col>2</xdr:col>
                <xdr:colOff>421294</xdr:colOff>
                <xdr:row>36</xdr:row>
                <xdr:rowOff>52662</xdr:rowOff>
              </to>
            </anchor>
          </controlPr>
        </control>
      </mc:Choice>
      <mc:Fallback>
        <control shapeId="19086" r:id="rId33" name="CheckBox16"/>
      </mc:Fallback>
    </mc:AlternateContent>
    <mc:AlternateContent xmlns:mc="http://schemas.openxmlformats.org/markup-compatibility/2006">
      <mc:Choice Requires="x14">
        <control shapeId="19085" r:id="rId35" name="CheckBox15">
          <controlPr defaultSize="0" autoLine="0" r:id="rId36">
            <anchor moveWithCells="1">
              <from>
                <xdr:col>1</xdr:col>
                <xdr:colOff>186710</xdr:colOff>
                <xdr:row>33</xdr:row>
                <xdr:rowOff>23937</xdr:rowOff>
              </from>
              <to>
                <xdr:col>2</xdr:col>
                <xdr:colOff>421294</xdr:colOff>
                <xdr:row>34</xdr:row>
                <xdr:rowOff>52662</xdr:rowOff>
              </to>
            </anchor>
          </controlPr>
        </control>
      </mc:Choice>
      <mc:Fallback>
        <control shapeId="19085" r:id="rId35" name="CheckBox15"/>
      </mc:Fallback>
    </mc:AlternateContent>
    <mc:AlternateContent xmlns:mc="http://schemas.openxmlformats.org/markup-compatibility/2006">
      <mc:Choice Requires="x14">
        <control shapeId="19084" r:id="rId37" name="CheckBox14">
          <controlPr defaultSize="0" autoLine="0" r:id="rId38">
            <anchor moveWithCells="1">
              <from>
                <xdr:col>1</xdr:col>
                <xdr:colOff>186710</xdr:colOff>
                <xdr:row>31</xdr:row>
                <xdr:rowOff>23937</xdr:rowOff>
              </from>
              <to>
                <xdr:col>2</xdr:col>
                <xdr:colOff>421294</xdr:colOff>
                <xdr:row>32</xdr:row>
                <xdr:rowOff>52662</xdr:rowOff>
              </to>
            </anchor>
          </controlPr>
        </control>
      </mc:Choice>
      <mc:Fallback>
        <control shapeId="19084" r:id="rId37" name="CheckBox14"/>
      </mc:Fallback>
    </mc:AlternateContent>
    <mc:AlternateContent xmlns:mc="http://schemas.openxmlformats.org/markup-compatibility/2006">
      <mc:Choice Requires="x14">
        <control shapeId="19083" r:id="rId39" name="CheckBox13">
          <controlPr defaultSize="0" autoLine="0" r:id="rId40">
            <anchor moveWithCells="1">
              <from>
                <xdr:col>1</xdr:col>
                <xdr:colOff>186710</xdr:colOff>
                <xdr:row>29</xdr:row>
                <xdr:rowOff>23937</xdr:rowOff>
              </from>
              <to>
                <xdr:col>2</xdr:col>
                <xdr:colOff>421294</xdr:colOff>
                <xdr:row>30</xdr:row>
                <xdr:rowOff>52662</xdr:rowOff>
              </to>
            </anchor>
          </controlPr>
        </control>
      </mc:Choice>
      <mc:Fallback>
        <control shapeId="19083" r:id="rId39" name="CheckBox13"/>
      </mc:Fallback>
    </mc:AlternateContent>
    <mc:AlternateContent xmlns:mc="http://schemas.openxmlformats.org/markup-compatibility/2006">
      <mc:Choice Requires="x14">
        <control shapeId="19082" r:id="rId41" name="CheckBox12">
          <controlPr defaultSize="0" autoLine="0" r:id="rId42">
            <anchor moveWithCells="1">
              <from>
                <xdr:col>1</xdr:col>
                <xdr:colOff>186710</xdr:colOff>
                <xdr:row>27</xdr:row>
                <xdr:rowOff>23937</xdr:rowOff>
              </from>
              <to>
                <xdr:col>2</xdr:col>
                <xdr:colOff>421294</xdr:colOff>
                <xdr:row>28</xdr:row>
                <xdr:rowOff>52662</xdr:rowOff>
              </to>
            </anchor>
          </controlPr>
        </control>
      </mc:Choice>
      <mc:Fallback>
        <control shapeId="19082" r:id="rId41" name="CheckBox12"/>
      </mc:Fallback>
    </mc:AlternateContent>
    <mc:AlternateContent xmlns:mc="http://schemas.openxmlformats.org/markup-compatibility/2006">
      <mc:Choice Requires="x14">
        <control shapeId="19081" r:id="rId43" name="CheckBox11">
          <controlPr defaultSize="0" autoLine="0" r:id="rId44">
            <anchor moveWithCells="1">
              <from>
                <xdr:col>1</xdr:col>
                <xdr:colOff>186710</xdr:colOff>
                <xdr:row>25</xdr:row>
                <xdr:rowOff>23937</xdr:rowOff>
              </from>
              <to>
                <xdr:col>2</xdr:col>
                <xdr:colOff>421294</xdr:colOff>
                <xdr:row>26</xdr:row>
                <xdr:rowOff>52662</xdr:rowOff>
              </to>
            </anchor>
          </controlPr>
        </control>
      </mc:Choice>
      <mc:Fallback>
        <control shapeId="19081" r:id="rId43" name="CheckBox11"/>
      </mc:Fallback>
    </mc:AlternateContent>
    <mc:AlternateContent xmlns:mc="http://schemas.openxmlformats.org/markup-compatibility/2006">
      <mc:Choice Requires="x14">
        <control shapeId="19080" r:id="rId45" name="CheckBox10">
          <controlPr defaultSize="0" autoLine="0" r:id="rId46">
            <anchor moveWithCells="1">
              <from>
                <xdr:col>1</xdr:col>
                <xdr:colOff>186710</xdr:colOff>
                <xdr:row>23</xdr:row>
                <xdr:rowOff>23937</xdr:rowOff>
              </from>
              <to>
                <xdr:col>2</xdr:col>
                <xdr:colOff>421294</xdr:colOff>
                <xdr:row>24</xdr:row>
                <xdr:rowOff>52662</xdr:rowOff>
              </to>
            </anchor>
          </controlPr>
        </control>
      </mc:Choice>
      <mc:Fallback>
        <control shapeId="19080" r:id="rId45" name="CheckBox10"/>
      </mc:Fallback>
    </mc:AlternateContent>
    <mc:AlternateContent xmlns:mc="http://schemas.openxmlformats.org/markup-compatibility/2006">
      <mc:Choice Requires="x14">
        <control shapeId="19079" r:id="rId47" name="CheckBox9">
          <controlPr defaultSize="0" autoLine="0" r:id="rId48">
            <anchor moveWithCells="1">
              <from>
                <xdr:col>1</xdr:col>
                <xdr:colOff>186710</xdr:colOff>
                <xdr:row>21</xdr:row>
                <xdr:rowOff>23937</xdr:rowOff>
              </from>
              <to>
                <xdr:col>2</xdr:col>
                <xdr:colOff>421294</xdr:colOff>
                <xdr:row>22</xdr:row>
                <xdr:rowOff>52662</xdr:rowOff>
              </to>
            </anchor>
          </controlPr>
        </control>
      </mc:Choice>
      <mc:Fallback>
        <control shapeId="19079" r:id="rId47" name="CheckBox9"/>
      </mc:Fallback>
    </mc:AlternateContent>
    <mc:AlternateContent xmlns:mc="http://schemas.openxmlformats.org/markup-compatibility/2006">
      <mc:Choice Requires="x14">
        <control shapeId="19078" r:id="rId49" name="CheckBox8">
          <controlPr defaultSize="0" autoLine="0" r:id="rId50">
            <anchor moveWithCells="1">
              <from>
                <xdr:col>1</xdr:col>
                <xdr:colOff>186710</xdr:colOff>
                <xdr:row>19</xdr:row>
                <xdr:rowOff>23937</xdr:rowOff>
              </from>
              <to>
                <xdr:col>2</xdr:col>
                <xdr:colOff>421294</xdr:colOff>
                <xdr:row>20</xdr:row>
                <xdr:rowOff>52662</xdr:rowOff>
              </to>
            </anchor>
          </controlPr>
        </control>
      </mc:Choice>
      <mc:Fallback>
        <control shapeId="19078" r:id="rId49" name="CheckBox8"/>
      </mc:Fallback>
    </mc:AlternateContent>
    <mc:AlternateContent xmlns:mc="http://schemas.openxmlformats.org/markup-compatibility/2006">
      <mc:Choice Requires="x14">
        <control shapeId="19077" r:id="rId51" name="CheckBox7">
          <controlPr defaultSize="0" autoLine="0" r:id="rId52">
            <anchor moveWithCells="1">
              <from>
                <xdr:col>1</xdr:col>
                <xdr:colOff>186710</xdr:colOff>
                <xdr:row>17</xdr:row>
                <xdr:rowOff>23937</xdr:rowOff>
              </from>
              <to>
                <xdr:col>2</xdr:col>
                <xdr:colOff>421294</xdr:colOff>
                <xdr:row>18</xdr:row>
                <xdr:rowOff>52662</xdr:rowOff>
              </to>
            </anchor>
          </controlPr>
        </control>
      </mc:Choice>
      <mc:Fallback>
        <control shapeId="19077" r:id="rId51" name="CheckBox7"/>
      </mc:Fallback>
    </mc:AlternateContent>
    <mc:AlternateContent xmlns:mc="http://schemas.openxmlformats.org/markup-compatibility/2006">
      <mc:Choice Requires="x14">
        <control shapeId="19076" r:id="rId53" name="CheckBox6">
          <controlPr defaultSize="0" autoLine="0" r:id="rId54">
            <anchor moveWithCells="1">
              <from>
                <xdr:col>1</xdr:col>
                <xdr:colOff>186710</xdr:colOff>
                <xdr:row>15</xdr:row>
                <xdr:rowOff>23937</xdr:rowOff>
              </from>
              <to>
                <xdr:col>2</xdr:col>
                <xdr:colOff>421294</xdr:colOff>
                <xdr:row>16</xdr:row>
                <xdr:rowOff>52662</xdr:rowOff>
              </to>
            </anchor>
          </controlPr>
        </control>
      </mc:Choice>
      <mc:Fallback>
        <control shapeId="19076" r:id="rId53" name="CheckBox6"/>
      </mc:Fallback>
    </mc:AlternateContent>
    <mc:AlternateContent xmlns:mc="http://schemas.openxmlformats.org/markup-compatibility/2006">
      <mc:Choice Requires="x14">
        <control shapeId="19075" r:id="rId55" name="CheckBox5">
          <controlPr defaultSize="0" autoLine="0" r:id="rId56">
            <anchor moveWithCells="1">
              <from>
                <xdr:col>1</xdr:col>
                <xdr:colOff>186710</xdr:colOff>
                <xdr:row>13</xdr:row>
                <xdr:rowOff>23937</xdr:rowOff>
              </from>
              <to>
                <xdr:col>2</xdr:col>
                <xdr:colOff>421294</xdr:colOff>
                <xdr:row>14</xdr:row>
                <xdr:rowOff>52662</xdr:rowOff>
              </to>
            </anchor>
          </controlPr>
        </control>
      </mc:Choice>
      <mc:Fallback>
        <control shapeId="19075" r:id="rId55" name="CheckBox5"/>
      </mc:Fallback>
    </mc:AlternateContent>
    <mc:AlternateContent xmlns:mc="http://schemas.openxmlformats.org/markup-compatibility/2006">
      <mc:Choice Requires="x14">
        <control shapeId="19074" r:id="rId57" name="CheckBox4">
          <controlPr defaultSize="0" autoLine="0" r:id="rId58">
            <anchor moveWithCells="1">
              <from>
                <xdr:col>1</xdr:col>
                <xdr:colOff>186710</xdr:colOff>
                <xdr:row>11</xdr:row>
                <xdr:rowOff>23937</xdr:rowOff>
              </from>
              <to>
                <xdr:col>2</xdr:col>
                <xdr:colOff>421294</xdr:colOff>
                <xdr:row>12</xdr:row>
                <xdr:rowOff>52662</xdr:rowOff>
              </to>
            </anchor>
          </controlPr>
        </control>
      </mc:Choice>
      <mc:Fallback>
        <control shapeId="19074" r:id="rId57" name="CheckBox4"/>
      </mc:Fallback>
    </mc:AlternateContent>
    <mc:AlternateContent xmlns:mc="http://schemas.openxmlformats.org/markup-compatibility/2006">
      <mc:Choice Requires="x14">
        <control shapeId="19073" r:id="rId59" name="CheckBox3">
          <controlPr defaultSize="0" autoLine="0" r:id="rId60">
            <anchor moveWithCells="1">
              <from>
                <xdr:col>1</xdr:col>
                <xdr:colOff>186710</xdr:colOff>
                <xdr:row>9</xdr:row>
                <xdr:rowOff>23937</xdr:rowOff>
              </from>
              <to>
                <xdr:col>2</xdr:col>
                <xdr:colOff>421294</xdr:colOff>
                <xdr:row>10</xdr:row>
                <xdr:rowOff>52662</xdr:rowOff>
              </to>
            </anchor>
          </controlPr>
        </control>
      </mc:Choice>
      <mc:Fallback>
        <control shapeId="19073" r:id="rId59" name="CheckBox3"/>
      </mc:Fallback>
    </mc:AlternateContent>
    <mc:AlternateContent xmlns:mc="http://schemas.openxmlformats.org/markup-compatibility/2006">
      <mc:Choice Requires="x14">
        <control shapeId="19072" r:id="rId61" name="CheckBox2">
          <controlPr defaultSize="0" autoLine="0" r:id="rId62">
            <anchor moveWithCells="1">
              <from>
                <xdr:col>1</xdr:col>
                <xdr:colOff>186710</xdr:colOff>
                <xdr:row>7</xdr:row>
                <xdr:rowOff>23937</xdr:rowOff>
              </from>
              <to>
                <xdr:col>2</xdr:col>
                <xdr:colOff>421294</xdr:colOff>
                <xdr:row>8</xdr:row>
                <xdr:rowOff>52662</xdr:rowOff>
              </to>
            </anchor>
          </controlPr>
        </control>
      </mc:Choice>
      <mc:Fallback>
        <control shapeId="19072" r:id="rId61" name="CheckBox2"/>
      </mc:Fallback>
    </mc:AlternateContent>
    <mc:AlternateContent xmlns:mc="http://schemas.openxmlformats.org/markup-compatibility/2006">
      <mc:Choice Requires="x14">
        <control shapeId="19068" r:id="rId63" name="CheckBox1">
          <controlPr defaultSize="0" autoLine="0" r:id="rId64">
            <anchor moveWithCells="1">
              <from>
                <xdr:col>1</xdr:col>
                <xdr:colOff>186710</xdr:colOff>
                <xdr:row>5</xdr:row>
                <xdr:rowOff>23937</xdr:rowOff>
              </from>
              <to>
                <xdr:col>2</xdr:col>
                <xdr:colOff>421294</xdr:colOff>
                <xdr:row>6</xdr:row>
                <xdr:rowOff>52662</xdr:rowOff>
              </to>
            </anchor>
          </controlPr>
        </control>
      </mc:Choice>
      <mc:Fallback>
        <control shapeId="19068" r:id="rId63" name="CheckBox1"/>
      </mc:Fallback>
    </mc:AlternateContent>
    <mc:AlternateContent xmlns:mc="http://schemas.openxmlformats.org/markup-compatibility/2006">
      <mc:Choice Requires="x14">
        <control shapeId="18502" r:id="rId65" name="Spinner 70">
          <controlPr defaultSize="0" autoPict="0">
            <anchor moveWithCells="1" sizeWithCells="1">
              <from>
                <xdr:col>7</xdr:col>
                <xdr:colOff>450019</xdr:colOff>
                <xdr:row>5</xdr:row>
                <xdr:rowOff>28725</xdr:rowOff>
              </from>
              <to>
                <xdr:col>7</xdr:col>
                <xdr:colOff>579280</xdr:colOff>
                <xdr:row>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6" r:id="rId66" name="Spinner 74">
          <controlPr defaultSize="0" autoPict="0">
            <anchor moveWithCells="1" sizeWithCells="1">
              <from>
                <xdr:col>9</xdr:col>
                <xdr:colOff>0</xdr:colOff>
                <xdr:row>5</xdr:row>
                <xdr:rowOff>9575</xdr:rowOff>
              </from>
              <to>
                <xdr:col>9</xdr:col>
                <xdr:colOff>134048</xdr:colOff>
                <xdr:row>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0" r:id="rId67" name="Drop Down 78">
          <controlPr defaultSize="0" autoLine="0" autoPict="0">
            <anchor moveWithCells="1">
              <from>
                <xdr:col>12</xdr:col>
                <xdr:colOff>502681</xdr:colOff>
                <xdr:row>5</xdr:row>
                <xdr:rowOff>28725</xdr:rowOff>
              </from>
              <to>
                <xdr:col>13</xdr:col>
                <xdr:colOff>531405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1" r:id="rId68" name="Spinner 79">
          <controlPr defaultSize="0" autoPict="0">
            <anchor moveWithCells="1" sizeWithCells="1">
              <from>
                <xdr:col>12</xdr:col>
                <xdr:colOff>335120</xdr:colOff>
                <xdr:row>5</xdr:row>
                <xdr:rowOff>38299</xdr:rowOff>
              </from>
              <to>
                <xdr:col>12</xdr:col>
                <xdr:colOff>464381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7" r:id="rId69" name="Spinner 125">
          <controlPr defaultSize="0" autoPict="0">
            <anchor moveWithCells="1" sizeWithCells="1">
              <from>
                <xdr:col>9</xdr:col>
                <xdr:colOff>0</xdr:colOff>
                <xdr:row>7</xdr:row>
                <xdr:rowOff>9575</xdr:rowOff>
              </from>
              <to>
                <xdr:col>9</xdr:col>
                <xdr:colOff>134048</xdr:colOff>
                <xdr:row>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9" r:id="rId70" name="Drop Down 127">
          <controlPr defaultSize="0" autoLine="0" autoPict="0">
            <anchor moveWithCells="1">
              <from>
                <xdr:col>12</xdr:col>
                <xdr:colOff>502681</xdr:colOff>
                <xdr:row>7</xdr:row>
                <xdr:rowOff>28725</xdr:rowOff>
              </from>
              <to>
                <xdr:col>13</xdr:col>
                <xdr:colOff>531405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0" r:id="rId71" name="Spinner 128">
          <controlPr defaultSize="0" autoPict="0">
            <anchor moveWithCells="1" sizeWithCells="1">
              <from>
                <xdr:col>12</xdr:col>
                <xdr:colOff>335120</xdr:colOff>
                <xdr:row>7</xdr:row>
                <xdr:rowOff>38299</xdr:rowOff>
              </from>
              <to>
                <xdr:col>12</xdr:col>
                <xdr:colOff>464381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2" r:id="rId72" name="Spinner 130">
          <controlPr defaultSize="0" autoPict="0">
            <anchor moveWithCells="1" sizeWithCells="1">
              <from>
                <xdr:col>7</xdr:col>
                <xdr:colOff>450019</xdr:colOff>
                <xdr:row>9</xdr:row>
                <xdr:rowOff>28725</xdr:rowOff>
              </from>
              <to>
                <xdr:col>7</xdr:col>
                <xdr:colOff>579280</xdr:colOff>
                <xdr:row>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4" r:id="rId73" name="Spinner 132">
          <controlPr defaultSize="0" autoPict="0">
            <anchor moveWithCells="1" sizeWithCells="1">
              <from>
                <xdr:col>9</xdr:col>
                <xdr:colOff>0</xdr:colOff>
                <xdr:row>9</xdr:row>
                <xdr:rowOff>9575</xdr:rowOff>
              </from>
              <to>
                <xdr:col>9</xdr:col>
                <xdr:colOff>134048</xdr:colOff>
                <xdr:row>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6" r:id="rId74" name="Drop Down 134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7" r:id="rId75" name="Spinner 135">
          <controlPr defaultSize="0" autoPict="0">
            <anchor moveWithCells="1" sizeWithCells="1">
              <from>
                <xdr:col>12</xdr:col>
                <xdr:colOff>335120</xdr:colOff>
                <xdr:row>9</xdr:row>
                <xdr:rowOff>38299</xdr:rowOff>
              </from>
              <to>
                <xdr:col>12</xdr:col>
                <xdr:colOff>464381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69" r:id="rId76" name="Spinner 137">
          <controlPr defaultSize="0" autoPict="0">
            <anchor moveWithCells="1" sizeWithCells="1">
              <from>
                <xdr:col>7</xdr:col>
                <xdr:colOff>450019</xdr:colOff>
                <xdr:row>11</xdr:row>
                <xdr:rowOff>28725</xdr:rowOff>
              </from>
              <to>
                <xdr:col>7</xdr:col>
                <xdr:colOff>579280</xdr:colOff>
                <xdr:row>11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1" r:id="rId77" name="Spinner 139">
          <controlPr defaultSize="0" autoPict="0">
            <anchor moveWithCells="1" sizeWithCells="1">
              <from>
                <xdr:col>9</xdr:col>
                <xdr:colOff>0</xdr:colOff>
                <xdr:row>11</xdr:row>
                <xdr:rowOff>9575</xdr:rowOff>
              </from>
              <to>
                <xdr:col>9</xdr:col>
                <xdr:colOff>134048</xdr:colOff>
                <xdr:row>11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3" r:id="rId78" name="Drop Down 141">
          <controlPr defaultSize="0" autoLine="0" autoPict="0">
            <anchor moveWithCells="1">
              <from>
                <xdr:col>12</xdr:col>
                <xdr:colOff>502681</xdr:colOff>
                <xdr:row>11</xdr:row>
                <xdr:rowOff>28725</xdr:rowOff>
              </from>
              <to>
                <xdr:col>13</xdr:col>
                <xdr:colOff>531405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4" r:id="rId79" name="Spinner 142">
          <controlPr defaultSize="0" autoPict="0">
            <anchor moveWithCells="1" sizeWithCells="1">
              <from>
                <xdr:col>12</xdr:col>
                <xdr:colOff>335120</xdr:colOff>
                <xdr:row>11</xdr:row>
                <xdr:rowOff>38299</xdr:rowOff>
              </from>
              <to>
                <xdr:col>12</xdr:col>
                <xdr:colOff>464381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6" r:id="rId80" name="Spinner 144">
          <controlPr defaultSize="0" autoPict="0">
            <anchor moveWithCells="1" sizeWithCells="1">
              <from>
                <xdr:col>7</xdr:col>
                <xdr:colOff>450019</xdr:colOff>
                <xdr:row>13</xdr:row>
                <xdr:rowOff>28725</xdr:rowOff>
              </from>
              <to>
                <xdr:col>7</xdr:col>
                <xdr:colOff>579280</xdr:colOff>
                <xdr:row>13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78" r:id="rId81" name="Spinner 146">
          <controlPr defaultSize="0" autoPict="0">
            <anchor moveWithCells="1" sizeWithCells="1">
              <from>
                <xdr:col>9</xdr:col>
                <xdr:colOff>0</xdr:colOff>
                <xdr:row>13</xdr:row>
                <xdr:rowOff>9575</xdr:rowOff>
              </from>
              <to>
                <xdr:col>9</xdr:col>
                <xdr:colOff>134048</xdr:colOff>
                <xdr:row>13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0" r:id="rId82" name="Drop Down 148">
          <controlPr defaultSize="0" autoLine="0" autoPict="0">
            <anchor moveWithCells="1">
              <from>
                <xdr:col>12</xdr:col>
                <xdr:colOff>502681</xdr:colOff>
                <xdr:row>13</xdr:row>
                <xdr:rowOff>28725</xdr:rowOff>
              </from>
              <to>
                <xdr:col>13</xdr:col>
                <xdr:colOff>531405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1" r:id="rId83" name="Spinner 149">
          <controlPr defaultSize="0" autoPict="0">
            <anchor moveWithCells="1" sizeWithCells="1">
              <from>
                <xdr:col>12</xdr:col>
                <xdr:colOff>335120</xdr:colOff>
                <xdr:row>13</xdr:row>
                <xdr:rowOff>38299</xdr:rowOff>
              </from>
              <to>
                <xdr:col>12</xdr:col>
                <xdr:colOff>464381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3" r:id="rId84" name="Spinner 151">
          <controlPr defaultSize="0" autoPict="0">
            <anchor moveWithCells="1" sizeWithCells="1">
              <from>
                <xdr:col>7</xdr:col>
                <xdr:colOff>450019</xdr:colOff>
                <xdr:row>15</xdr:row>
                <xdr:rowOff>28725</xdr:rowOff>
              </from>
              <to>
                <xdr:col>7</xdr:col>
                <xdr:colOff>579280</xdr:colOff>
                <xdr:row>15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5" r:id="rId85" name="Spinner 153">
          <controlPr defaultSize="0" autoPict="0">
            <anchor moveWithCells="1" sizeWithCells="1">
              <from>
                <xdr:col>9</xdr:col>
                <xdr:colOff>0</xdr:colOff>
                <xdr:row>15</xdr:row>
                <xdr:rowOff>9575</xdr:rowOff>
              </from>
              <to>
                <xdr:col>9</xdr:col>
                <xdr:colOff>134048</xdr:colOff>
                <xdr:row>15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7" r:id="rId86" name="Drop Down 155">
          <controlPr defaultSize="0" autoLine="0" autoPict="0">
            <anchor moveWithCells="1">
              <from>
                <xdr:col>12</xdr:col>
                <xdr:colOff>502681</xdr:colOff>
                <xdr:row>15</xdr:row>
                <xdr:rowOff>28725</xdr:rowOff>
              </from>
              <to>
                <xdr:col>13</xdr:col>
                <xdr:colOff>531405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8" r:id="rId87" name="Spinner 156">
          <controlPr defaultSize="0" autoPict="0">
            <anchor moveWithCells="1" sizeWithCells="1">
              <from>
                <xdr:col>12</xdr:col>
                <xdr:colOff>335120</xdr:colOff>
                <xdr:row>15</xdr:row>
                <xdr:rowOff>38299</xdr:rowOff>
              </from>
              <to>
                <xdr:col>12</xdr:col>
                <xdr:colOff>464381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0" r:id="rId88" name="Spinner 158">
          <controlPr defaultSize="0" autoPict="0">
            <anchor moveWithCells="1" sizeWithCells="1">
              <from>
                <xdr:col>7</xdr:col>
                <xdr:colOff>450019</xdr:colOff>
                <xdr:row>17</xdr:row>
                <xdr:rowOff>28725</xdr:rowOff>
              </from>
              <to>
                <xdr:col>7</xdr:col>
                <xdr:colOff>579280</xdr:colOff>
                <xdr:row>17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2" r:id="rId89" name="Spinner 160">
          <controlPr defaultSize="0" autoPict="0">
            <anchor moveWithCells="1" sizeWithCells="1">
              <from>
                <xdr:col>9</xdr:col>
                <xdr:colOff>0</xdr:colOff>
                <xdr:row>17</xdr:row>
                <xdr:rowOff>9575</xdr:rowOff>
              </from>
              <to>
                <xdr:col>9</xdr:col>
                <xdr:colOff>134048</xdr:colOff>
                <xdr:row>17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4" r:id="rId90" name="Drop Down 162">
          <controlPr defaultSize="0" autoLine="0" autoPict="0">
            <anchor moveWithCells="1">
              <from>
                <xdr:col>12</xdr:col>
                <xdr:colOff>502681</xdr:colOff>
                <xdr:row>17</xdr:row>
                <xdr:rowOff>28725</xdr:rowOff>
              </from>
              <to>
                <xdr:col>13</xdr:col>
                <xdr:colOff>531405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5" r:id="rId91" name="Spinner 163">
          <controlPr defaultSize="0" autoPict="0">
            <anchor moveWithCells="1" sizeWithCells="1">
              <from>
                <xdr:col>12</xdr:col>
                <xdr:colOff>335120</xdr:colOff>
                <xdr:row>17</xdr:row>
                <xdr:rowOff>38299</xdr:rowOff>
              </from>
              <to>
                <xdr:col>12</xdr:col>
                <xdr:colOff>464381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7" r:id="rId92" name="Spinner 165">
          <controlPr defaultSize="0" autoPict="0">
            <anchor moveWithCells="1" sizeWithCells="1">
              <from>
                <xdr:col>7</xdr:col>
                <xdr:colOff>450019</xdr:colOff>
                <xdr:row>19</xdr:row>
                <xdr:rowOff>28725</xdr:rowOff>
              </from>
              <to>
                <xdr:col>7</xdr:col>
                <xdr:colOff>579280</xdr:colOff>
                <xdr:row>19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99" r:id="rId93" name="Spinner 167">
          <controlPr defaultSize="0" autoPict="0">
            <anchor moveWithCells="1" sizeWithCells="1">
              <from>
                <xdr:col>9</xdr:col>
                <xdr:colOff>0</xdr:colOff>
                <xdr:row>19</xdr:row>
                <xdr:rowOff>9575</xdr:rowOff>
              </from>
              <to>
                <xdr:col>9</xdr:col>
                <xdr:colOff>134048</xdr:colOff>
                <xdr:row>19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1" r:id="rId94" name="Drop Down 169">
          <controlPr defaultSize="0" autoLine="0" autoPict="0">
            <anchor moveWithCells="1">
              <from>
                <xdr:col>12</xdr:col>
                <xdr:colOff>502681</xdr:colOff>
                <xdr:row>19</xdr:row>
                <xdr:rowOff>28725</xdr:rowOff>
              </from>
              <to>
                <xdr:col>13</xdr:col>
                <xdr:colOff>531405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2" r:id="rId95" name="Spinner 170">
          <controlPr defaultSize="0" autoPict="0">
            <anchor moveWithCells="1" sizeWithCells="1">
              <from>
                <xdr:col>12</xdr:col>
                <xdr:colOff>335120</xdr:colOff>
                <xdr:row>19</xdr:row>
                <xdr:rowOff>38299</xdr:rowOff>
              </from>
              <to>
                <xdr:col>12</xdr:col>
                <xdr:colOff>464381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4" r:id="rId96" name="Spinner 172">
          <controlPr defaultSize="0" autoPict="0">
            <anchor moveWithCells="1" sizeWithCells="1">
              <from>
                <xdr:col>7</xdr:col>
                <xdr:colOff>450019</xdr:colOff>
                <xdr:row>21</xdr:row>
                <xdr:rowOff>28725</xdr:rowOff>
              </from>
              <to>
                <xdr:col>7</xdr:col>
                <xdr:colOff>579280</xdr:colOff>
                <xdr:row>21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6" r:id="rId97" name="Spinner 174">
          <controlPr defaultSize="0" autoPict="0">
            <anchor moveWithCells="1" sizeWithCells="1">
              <from>
                <xdr:col>9</xdr:col>
                <xdr:colOff>0</xdr:colOff>
                <xdr:row>21</xdr:row>
                <xdr:rowOff>9575</xdr:rowOff>
              </from>
              <to>
                <xdr:col>9</xdr:col>
                <xdr:colOff>134048</xdr:colOff>
                <xdr:row>21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8" r:id="rId98" name="Drop Down 176">
          <controlPr defaultSize="0" autoLine="0" autoPict="0">
            <anchor moveWithCells="1">
              <from>
                <xdr:col>12</xdr:col>
                <xdr:colOff>502681</xdr:colOff>
                <xdr:row>21</xdr:row>
                <xdr:rowOff>28725</xdr:rowOff>
              </from>
              <to>
                <xdr:col>13</xdr:col>
                <xdr:colOff>531405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09" r:id="rId99" name="Spinner 177">
          <controlPr defaultSize="0" autoPict="0">
            <anchor moveWithCells="1" sizeWithCells="1">
              <from>
                <xdr:col>12</xdr:col>
                <xdr:colOff>335120</xdr:colOff>
                <xdr:row>21</xdr:row>
                <xdr:rowOff>38299</xdr:rowOff>
              </from>
              <to>
                <xdr:col>12</xdr:col>
                <xdr:colOff>464381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1" r:id="rId100" name="Spinner 179">
          <controlPr defaultSize="0" autoPict="0">
            <anchor moveWithCells="1" sizeWithCells="1">
              <from>
                <xdr:col>7</xdr:col>
                <xdr:colOff>450019</xdr:colOff>
                <xdr:row>23</xdr:row>
                <xdr:rowOff>28725</xdr:rowOff>
              </from>
              <to>
                <xdr:col>7</xdr:col>
                <xdr:colOff>579280</xdr:colOff>
                <xdr:row>23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3" r:id="rId101" name="Spinner 181">
          <controlPr defaultSize="0" autoPict="0">
            <anchor moveWithCells="1" sizeWithCells="1">
              <from>
                <xdr:col>9</xdr:col>
                <xdr:colOff>0</xdr:colOff>
                <xdr:row>23</xdr:row>
                <xdr:rowOff>9575</xdr:rowOff>
              </from>
              <to>
                <xdr:col>9</xdr:col>
                <xdr:colOff>134048</xdr:colOff>
                <xdr:row>23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5" r:id="rId102" name="Drop Down 183">
          <controlPr defaultSize="0" autoLine="0" autoPict="0">
            <anchor moveWithCells="1">
              <from>
                <xdr:col>12</xdr:col>
                <xdr:colOff>502681</xdr:colOff>
                <xdr:row>23</xdr:row>
                <xdr:rowOff>28725</xdr:rowOff>
              </from>
              <to>
                <xdr:col>13</xdr:col>
                <xdr:colOff>531405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16" r:id="rId103" name="Spinner 184">
          <controlPr defaultSize="0" autoPict="0">
            <anchor moveWithCells="1" sizeWithCells="1">
              <from>
                <xdr:col>12</xdr:col>
                <xdr:colOff>335120</xdr:colOff>
                <xdr:row>23</xdr:row>
                <xdr:rowOff>38299</xdr:rowOff>
              </from>
              <to>
                <xdr:col>12</xdr:col>
                <xdr:colOff>464381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5" r:id="rId104" name="Spinner 263">
          <controlPr defaultSize="0" autoPict="0">
            <anchor moveWithCells="1" sizeWithCells="1">
              <from>
                <xdr:col>7</xdr:col>
                <xdr:colOff>450019</xdr:colOff>
                <xdr:row>25</xdr:row>
                <xdr:rowOff>28725</xdr:rowOff>
              </from>
              <to>
                <xdr:col>7</xdr:col>
                <xdr:colOff>579280</xdr:colOff>
                <xdr:row>25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7" r:id="rId105" name="Spinner 265">
          <controlPr defaultSize="0" autoPict="0">
            <anchor moveWithCells="1" sizeWithCells="1">
              <from>
                <xdr:col>9</xdr:col>
                <xdr:colOff>0</xdr:colOff>
                <xdr:row>25</xdr:row>
                <xdr:rowOff>9575</xdr:rowOff>
              </from>
              <to>
                <xdr:col>9</xdr:col>
                <xdr:colOff>134048</xdr:colOff>
                <xdr:row>25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9" r:id="rId106" name="Drop Down 267">
          <controlPr defaultSize="0" autoLine="0" autoPict="0">
            <anchor moveWithCells="1">
              <from>
                <xdr:col>12</xdr:col>
                <xdr:colOff>502681</xdr:colOff>
                <xdr:row>25</xdr:row>
                <xdr:rowOff>28725</xdr:rowOff>
              </from>
              <to>
                <xdr:col>13</xdr:col>
                <xdr:colOff>531405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0" r:id="rId107" name="Spinner 268">
          <controlPr defaultSize="0" autoPict="0">
            <anchor moveWithCells="1" sizeWithCells="1">
              <from>
                <xdr:col>12</xdr:col>
                <xdr:colOff>335120</xdr:colOff>
                <xdr:row>25</xdr:row>
                <xdr:rowOff>38299</xdr:rowOff>
              </from>
              <to>
                <xdr:col>12</xdr:col>
                <xdr:colOff>464381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2" r:id="rId108" name="Spinner 270">
          <controlPr defaultSize="0" autoPict="0">
            <anchor moveWithCells="1" sizeWithCells="1">
              <from>
                <xdr:col>7</xdr:col>
                <xdr:colOff>450019</xdr:colOff>
                <xdr:row>27</xdr:row>
                <xdr:rowOff>28725</xdr:rowOff>
              </from>
              <to>
                <xdr:col>7</xdr:col>
                <xdr:colOff>579280</xdr:colOff>
                <xdr:row>27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4" r:id="rId109" name="Spinner 272">
          <controlPr defaultSize="0" autoPict="0">
            <anchor moveWithCells="1" sizeWithCells="1">
              <from>
                <xdr:col>9</xdr:col>
                <xdr:colOff>0</xdr:colOff>
                <xdr:row>27</xdr:row>
                <xdr:rowOff>9575</xdr:rowOff>
              </from>
              <to>
                <xdr:col>9</xdr:col>
                <xdr:colOff>134048</xdr:colOff>
                <xdr:row>27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6" r:id="rId110" name="Drop Down 274">
          <controlPr defaultSize="0" autoLine="0" autoPict="0">
            <anchor moveWithCells="1">
              <from>
                <xdr:col>12</xdr:col>
                <xdr:colOff>502681</xdr:colOff>
                <xdr:row>27</xdr:row>
                <xdr:rowOff>28725</xdr:rowOff>
              </from>
              <to>
                <xdr:col>13</xdr:col>
                <xdr:colOff>531405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7" r:id="rId111" name="Spinner 275">
          <controlPr defaultSize="0" autoPict="0">
            <anchor moveWithCells="1" sizeWithCells="1">
              <from>
                <xdr:col>12</xdr:col>
                <xdr:colOff>335120</xdr:colOff>
                <xdr:row>27</xdr:row>
                <xdr:rowOff>38299</xdr:rowOff>
              </from>
              <to>
                <xdr:col>12</xdr:col>
                <xdr:colOff>464381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9" r:id="rId112" name="Spinner 277">
          <controlPr defaultSize="0" autoPict="0">
            <anchor moveWithCells="1" sizeWithCells="1">
              <from>
                <xdr:col>7</xdr:col>
                <xdr:colOff>450019</xdr:colOff>
                <xdr:row>29</xdr:row>
                <xdr:rowOff>28725</xdr:rowOff>
              </from>
              <to>
                <xdr:col>7</xdr:col>
                <xdr:colOff>579280</xdr:colOff>
                <xdr:row>29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1" r:id="rId113" name="Spinner 279">
          <controlPr defaultSize="0" autoPict="0">
            <anchor moveWithCells="1" sizeWithCells="1">
              <from>
                <xdr:col>9</xdr:col>
                <xdr:colOff>0</xdr:colOff>
                <xdr:row>29</xdr:row>
                <xdr:rowOff>9575</xdr:rowOff>
              </from>
              <to>
                <xdr:col>9</xdr:col>
                <xdr:colOff>134048</xdr:colOff>
                <xdr:row>29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3" r:id="rId114" name="Drop Down 281">
          <controlPr defaultSize="0" autoLine="0" autoPict="0">
            <anchor moveWithCells="1">
              <from>
                <xdr:col>12</xdr:col>
                <xdr:colOff>502681</xdr:colOff>
                <xdr:row>29</xdr:row>
                <xdr:rowOff>28725</xdr:rowOff>
              </from>
              <to>
                <xdr:col>13</xdr:col>
                <xdr:colOff>531405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4" r:id="rId115" name="Spinner 282">
          <controlPr defaultSize="0" autoPict="0">
            <anchor moveWithCells="1" sizeWithCells="1">
              <from>
                <xdr:col>12</xdr:col>
                <xdr:colOff>335120</xdr:colOff>
                <xdr:row>29</xdr:row>
                <xdr:rowOff>38299</xdr:rowOff>
              </from>
              <to>
                <xdr:col>12</xdr:col>
                <xdr:colOff>464381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6" r:id="rId116" name="Spinner 284">
          <controlPr defaultSize="0" autoPict="0">
            <anchor moveWithCells="1" sizeWithCells="1">
              <from>
                <xdr:col>7</xdr:col>
                <xdr:colOff>450019</xdr:colOff>
                <xdr:row>31</xdr:row>
                <xdr:rowOff>28725</xdr:rowOff>
              </from>
              <to>
                <xdr:col>7</xdr:col>
                <xdr:colOff>579280</xdr:colOff>
                <xdr:row>31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8" r:id="rId117" name="Spinner 286">
          <controlPr defaultSize="0" autoPict="0">
            <anchor moveWithCells="1" sizeWithCells="1">
              <from>
                <xdr:col>9</xdr:col>
                <xdr:colOff>0</xdr:colOff>
                <xdr:row>31</xdr:row>
                <xdr:rowOff>9575</xdr:rowOff>
              </from>
              <to>
                <xdr:col>9</xdr:col>
                <xdr:colOff>134048</xdr:colOff>
                <xdr:row>31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0" r:id="rId118" name="Drop Down 288">
          <controlPr defaultSize="0" autoLine="0" autoPict="0">
            <anchor moveWithCells="1">
              <from>
                <xdr:col>12</xdr:col>
                <xdr:colOff>502681</xdr:colOff>
                <xdr:row>31</xdr:row>
                <xdr:rowOff>28725</xdr:rowOff>
              </from>
              <to>
                <xdr:col>13</xdr:col>
                <xdr:colOff>531405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1" r:id="rId119" name="Spinner 289">
          <controlPr defaultSize="0" autoPict="0">
            <anchor moveWithCells="1" sizeWithCells="1">
              <from>
                <xdr:col>12</xdr:col>
                <xdr:colOff>335120</xdr:colOff>
                <xdr:row>31</xdr:row>
                <xdr:rowOff>38299</xdr:rowOff>
              </from>
              <to>
                <xdr:col>12</xdr:col>
                <xdr:colOff>464381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3" r:id="rId120" name="Spinner 291">
          <controlPr defaultSize="0" autoPict="0">
            <anchor moveWithCells="1" sizeWithCells="1">
              <from>
                <xdr:col>7</xdr:col>
                <xdr:colOff>450019</xdr:colOff>
                <xdr:row>33</xdr:row>
                <xdr:rowOff>28725</xdr:rowOff>
              </from>
              <to>
                <xdr:col>7</xdr:col>
                <xdr:colOff>579280</xdr:colOff>
                <xdr:row>33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5" r:id="rId121" name="Spinner 293">
          <controlPr defaultSize="0" autoPict="0">
            <anchor moveWithCells="1" sizeWithCells="1">
              <from>
                <xdr:col>9</xdr:col>
                <xdr:colOff>0</xdr:colOff>
                <xdr:row>33</xdr:row>
                <xdr:rowOff>9575</xdr:rowOff>
              </from>
              <to>
                <xdr:col>9</xdr:col>
                <xdr:colOff>134048</xdr:colOff>
                <xdr:row>33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7" r:id="rId122" name="Drop Down 295">
          <controlPr defaultSize="0" autoLine="0" autoPict="0">
            <anchor moveWithCells="1">
              <from>
                <xdr:col>12</xdr:col>
                <xdr:colOff>502681</xdr:colOff>
                <xdr:row>33</xdr:row>
                <xdr:rowOff>28725</xdr:rowOff>
              </from>
              <to>
                <xdr:col>13</xdr:col>
                <xdr:colOff>531405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8" r:id="rId123" name="Spinner 296">
          <controlPr defaultSize="0" autoPict="0">
            <anchor moveWithCells="1" sizeWithCells="1">
              <from>
                <xdr:col>12</xdr:col>
                <xdr:colOff>335120</xdr:colOff>
                <xdr:row>33</xdr:row>
                <xdr:rowOff>38299</xdr:rowOff>
              </from>
              <to>
                <xdr:col>12</xdr:col>
                <xdr:colOff>464381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0" r:id="rId124" name="Spinner 298">
          <controlPr defaultSize="0" autoPict="0">
            <anchor moveWithCells="1" sizeWithCells="1">
              <from>
                <xdr:col>7</xdr:col>
                <xdr:colOff>450019</xdr:colOff>
                <xdr:row>35</xdr:row>
                <xdr:rowOff>28725</xdr:rowOff>
              </from>
              <to>
                <xdr:col>7</xdr:col>
                <xdr:colOff>579280</xdr:colOff>
                <xdr:row>35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2" r:id="rId125" name="Spinner 300">
          <controlPr defaultSize="0" autoPict="0">
            <anchor moveWithCells="1" sizeWithCells="1">
              <from>
                <xdr:col>9</xdr:col>
                <xdr:colOff>0</xdr:colOff>
                <xdr:row>35</xdr:row>
                <xdr:rowOff>9575</xdr:rowOff>
              </from>
              <to>
                <xdr:col>9</xdr:col>
                <xdr:colOff>134048</xdr:colOff>
                <xdr:row>35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4" r:id="rId126" name="Drop Down 302">
          <controlPr defaultSize="0" autoLine="0" autoPict="0">
            <anchor moveWithCells="1">
              <from>
                <xdr:col>12</xdr:col>
                <xdr:colOff>502681</xdr:colOff>
                <xdr:row>35</xdr:row>
                <xdr:rowOff>28725</xdr:rowOff>
              </from>
              <to>
                <xdr:col>13</xdr:col>
                <xdr:colOff>531405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5" r:id="rId127" name="Spinner 303">
          <controlPr defaultSize="0" autoPict="0">
            <anchor moveWithCells="1" sizeWithCells="1">
              <from>
                <xdr:col>12</xdr:col>
                <xdr:colOff>335120</xdr:colOff>
                <xdr:row>35</xdr:row>
                <xdr:rowOff>38299</xdr:rowOff>
              </from>
              <to>
                <xdr:col>12</xdr:col>
                <xdr:colOff>464381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7" r:id="rId128" name="Spinner 305">
          <controlPr defaultSize="0" autoPict="0">
            <anchor moveWithCells="1" sizeWithCells="1">
              <from>
                <xdr:col>7</xdr:col>
                <xdr:colOff>450019</xdr:colOff>
                <xdr:row>37</xdr:row>
                <xdr:rowOff>28725</xdr:rowOff>
              </from>
              <to>
                <xdr:col>7</xdr:col>
                <xdr:colOff>579280</xdr:colOff>
                <xdr:row>37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9" r:id="rId129" name="Spinner 307">
          <controlPr defaultSize="0" autoPict="0">
            <anchor moveWithCells="1" sizeWithCells="1">
              <from>
                <xdr:col>9</xdr:col>
                <xdr:colOff>0</xdr:colOff>
                <xdr:row>37</xdr:row>
                <xdr:rowOff>9575</xdr:rowOff>
              </from>
              <to>
                <xdr:col>9</xdr:col>
                <xdr:colOff>134048</xdr:colOff>
                <xdr:row>37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1" r:id="rId130" name="Drop Down 309">
          <controlPr defaultSize="0" autoLine="0" autoPict="0">
            <anchor moveWithCells="1">
              <from>
                <xdr:col>12</xdr:col>
                <xdr:colOff>502681</xdr:colOff>
                <xdr:row>37</xdr:row>
                <xdr:rowOff>28725</xdr:rowOff>
              </from>
              <to>
                <xdr:col>13</xdr:col>
                <xdr:colOff>531405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2" r:id="rId131" name="Spinner 310">
          <controlPr defaultSize="0" autoPict="0">
            <anchor moveWithCells="1" sizeWithCells="1">
              <from>
                <xdr:col>12</xdr:col>
                <xdr:colOff>335120</xdr:colOff>
                <xdr:row>37</xdr:row>
                <xdr:rowOff>38299</xdr:rowOff>
              </from>
              <to>
                <xdr:col>12</xdr:col>
                <xdr:colOff>464381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4" r:id="rId132" name="Spinner 312">
          <controlPr defaultSize="0" autoPict="0">
            <anchor moveWithCells="1" sizeWithCells="1">
              <from>
                <xdr:col>7</xdr:col>
                <xdr:colOff>450019</xdr:colOff>
                <xdr:row>39</xdr:row>
                <xdr:rowOff>28725</xdr:rowOff>
              </from>
              <to>
                <xdr:col>7</xdr:col>
                <xdr:colOff>579280</xdr:colOff>
                <xdr:row>39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6" r:id="rId133" name="Spinner 314">
          <controlPr defaultSize="0" autoPict="0">
            <anchor moveWithCells="1" sizeWithCells="1">
              <from>
                <xdr:col>9</xdr:col>
                <xdr:colOff>0</xdr:colOff>
                <xdr:row>39</xdr:row>
                <xdr:rowOff>9575</xdr:rowOff>
              </from>
              <to>
                <xdr:col>9</xdr:col>
                <xdr:colOff>134048</xdr:colOff>
                <xdr:row>39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8" r:id="rId134" name="Drop Down 316">
          <controlPr defaultSize="0" autoLine="0" autoPict="0">
            <anchor moveWithCells="1">
              <from>
                <xdr:col>12</xdr:col>
                <xdr:colOff>502681</xdr:colOff>
                <xdr:row>39</xdr:row>
                <xdr:rowOff>28725</xdr:rowOff>
              </from>
              <to>
                <xdr:col>13</xdr:col>
                <xdr:colOff>531405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9" r:id="rId135" name="Spinner 317">
          <controlPr defaultSize="0" autoPict="0">
            <anchor moveWithCells="1" sizeWithCells="1">
              <from>
                <xdr:col>12</xdr:col>
                <xdr:colOff>335120</xdr:colOff>
                <xdr:row>39</xdr:row>
                <xdr:rowOff>38299</xdr:rowOff>
              </from>
              <to>
                <xdr:col>12</xdr:col>
                <xdr:colOff>464381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1" r:id="rId136" name="Spinner 319">
          <controlPr defaultSize="0" autoPict="0">
            <anchor moveWithCells="1" sizeWithCells="1">
              <from>
                <xdr:col>7</xdr:col>
                <xdr:colOff>450019</xdr:colOff>
                <xdr:row>41</xdr:row>
                <xdr:rowOff>28725</xdr:rowOff>
              </from>
              <to>
                <xdr:col>7</xdr:col>
                <xdr:colOff>579280</xdr:colOff>
                <xdr:row>41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3" r:id="rId137" name="Spinner 321">
          <controlPr defaultSize="0" autoPict="0">
            <anchor moveWithCells="1" sizeWithCells="1">
              <from>
                <xdr:col>9</xdr:col>
                <xdr:colOff>0</xdr:colOff>
                <xdr:row>41</xdr:row>
                <xdr:rowOff>9575</xdr:rowOff>
              </from>
              <to>
                <xdr:col>9</xdr:col>
                <xdr:colOff>134048</xdr:colOff>
                <xdr:row>41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5" r:id="rId138" name="Drop Down 323">
          <controlPr defaultSize="0" autoLine="0" autoPict="0">
            <anchor moveWithCells="1">
              <from>
                <xdr:col>12</xdr:col>
                <xdr:colOff>502681</xdr:colOff>
                <xdr:row>41</xdr:row>
                <xdr:rowOff>28725</xdr:rowOff>
              </from>
              <to>
                <xdr:col>13</xdr:col>
                <xdr:colOff>531405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6" r:id="rId139" name="Spinner 324">
          <controlPr defaultSize="0" autoPict="0">
            <anchor moveWithCells="1" sizeWithCells="1">
              <from>
                <xdr:col>12</xdr:col>
                <xdr:colOff>335120</xdr:colOff>
                <xdr:row>41</xdr:row>
                <xdr:rowOff>38299</xdr:rowOff>
              </from>
              <to>
                <xdr:col>12</xdr:col>
                <xdr:colOff>464381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8" r:id="rId140" name="Spinner 326">
          <controlPr defaultSize="0" autoPict="0">
            <anchor moveWithCells="1" sizeWithCells="1">
              <from>
                <xdr:col>7</xdr:col>
                <xdr:colOff>450019</xdr:colOff>
                <xdr:row>43</xdr:row>
                <xdr:rowOff>28725</xdr:rowOff>
              </from>
              <to>
                <xdr:col>7</xdr:col>
                <xdr:colOff>579280</xdr:colOff>
                <xdr:row>43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0" r:id="rId141" name="Spinner 328">
          <controlPr defaultSize="0" autoPict="0">
            <anchor moveWithCells="1" sizeWithCells="1">
              <from>
                <xdr:col>9</xdr:col>
                <xdr:colOff>0</xdr:colOff>
                <xdr:row>43</xdr:row>
                <xdr:rowOff>9575</xdr:rowOff>
              </from>
              <to>
                <xdr:col>9</xdr:col>
                <xdr:colOff>134048</xdr:colOff>
                <xdr:row>43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2" r:id="rId142" name="Drop Down 330">
          <controlPr defaultSize="0" autoLine="0" autoPict="0">
            <anchor moveWithCells="1">
              <from>
                <xdr:col>12</xdr:col>
                <xdr:colOff>502681</xdr:colOff>
                <xdr:row>43</xdr:row>
                <xdr:rowOff>28725</xdr:rowOff>
              </from>
              <to>
                <xdr:col>13</xdr:col>
                <xdr:colOff>531405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3" r:id="rId143" name="Spinner 331">
          <controlPr defaultSize="0" autoPict="0">
            <anchor moveWithCells="1" sizeWithCells="1">
              <from>
                <xdr:col>12</xdr:col>
                <xdr:colOff>335120</xdr:colOff>
                <xdr:row>43</xdr:row>
                <xdr:rowOff>38299</xdr:rowOff>
              </from>
              <to>
                <xdr:col>12</xdr:col>
                <xdr:colOff>464381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6" r:id="rId144" name="Spinner 364">
          <controlPr defaultSize="0" autoPict="0">
            <anchor moveWithCells="1" sizeWithCells="1">
              <from>
                <xdr:col>7</xdr:col>
                <xdr:colOff>450019</xdr:colOff>
                <xdr:row>7</xdr:row>
                <xdr:rowOff>28725</xdr:rowOff>
              </from>
              <to>
                <xdr:col>7</xdr:col>
                <xdr:colOff>579280</xdr:colOff>
                <xdr:row>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97" r:id="rId145" name="Spinner 365">
          <controlPr defaultSize="0" autoPict="0">
            <anchor moveWithCells="1" sizeWithCells="1">
              <from>
                <xdr:col>15</xdr:col>
                <xdr:colOff>47874</xdr:colOff>
                <xdr:row>5</xdr:row>
                <xdr:rowOff>38299</xdr:rowOff>
              </from>
              <to>
                <xdr:col>15</xdr:col>
                <xdr:colOff>181923</xdr:colOff>
                <xdr:row>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6" r:id="rId146" name="Spinner 374">
          <controlPr defaultSize="0" autoPict="0">
            <anchor moveWithCells="1" sizeWithCells="1">
              <from>
                <xdr:col>15</xdr:col>
                <xdr:colOff>47874</xdr:colOff>
                <xdr:row>7</xdr:row>
                <xdr:rowOff>38299</xdr:rowOff>
              </from>
              <to>
                <xdr:col>15</xdr:col>
                <xdr:colOff>181923</xdr:colOff>
                <xdr:row>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7" r:id="rId147" name="Spinner 375">
          <controlPr defaultSize="0" autoPict="0">
            <anchor moveWithCells="1" sizeWithCells="1">
              <from>
                <xdr:col>15</xdr:col>
                <xdr:colOff>47874</xdr:colOff>
                <xdr:row>9</xdr:row>
                <xdr:rowOff>38299</xdr:rowOff>
              </from>
              <to>
                <xdr:col>15</xdr:col>
                <xdr:colOff>181923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8" r:id="rId148" name="Spinner 376">
          <controlPr defaultSize="0" autoPict="0">
            <anchor moveWithCells="1" sizeWithCells="1">
              <from>
                <xdr:col>15</xdr:col>
                <xdr:colOff>47874</xdr:colOff>
                <xdr:row>11</xdr:row>
                <xdr:rowOff>38299</xdr:rowOff>
              </from>
              <to>
                <xdr:col>15</xdr:col>
                <xdr:colOff>181923</xdr:colOff>
                <xdr:row>11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09" r:id="rId149" name="Spinner 377">
          <controlPr defaultSize="0" autoPict="0">
            <anchor moveWithCells="1" sizeWithCells="1">
              <from>
                <xdr:col>15</xdr:col>
                <xdr:colOff>47874</xdr:colOff>
                <xdr:row>13</xdr:row>
                <xdr:rowOff>38299</xdr:rowOff>
              </from>
              <to>
                <xdr:col>15</xdr:col>
                <xdr:colOff>181923</xdr:colOff>
                <xdr:row>13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0" r:id="rId150" name="Spinner 378">
          <controlPr defaultSize="0" autoPict="0">
            <anchor moveWithCells="1" sizeWithCells="1">
              <from>
                <xdr:col>15</xdr:col>
                <xdr:colOff>47874</xdr:colOff>
                <xdr:row>15</xdr:row>
                <xdr:rowOff>38299</xdr:rowOff>
              </from>
              <to>
                <xdr:col>15</xdr:col>
                <xdr:colOff>181923</xdr:colOff>
                <xdr:row>15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1" r:id="rId151" name="Spinner 379">
          <controlPr defaultSize="0" autoPict="0">
            <anchor moveWithCells="1" sizeWithCells="1">
              <from>
                <xdr:col>15</xdr:col>
                <xdr:colOff>47874</xdr:colOff>
                <xdr:row>17</xdr:row>
                <xdr:rowOff>38299</xdr:rowOff>
              </from>
              <to>
                <xdr:col>15</xdr:col>
                <xdr:colOff>181923</xdr:colOff>
                <xdr:row>17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2" r:id="rId152" name="Spinner 380">
          <controlPr defaultSize="0" autoPict="0">
            <anchor moveWithCells="1" sizeWithCells="1">
              <from>
                <xdr:col>15</xdr:col>
                <xdr:colOff>47874</xdr:colOff>
                <xdr:row>19</xdr:row>
                <xdr:rowOff>38299</xdr:rowOff>
              </from>
              <to>
                <xdr:col>15</xdr:col>
                <xdr:colOff>181923</xdr:colOff>
                <xdr:row>19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3" r:id="rId153" name="Spinner 381">
          <controlPr defaultSize="0" autoPict="0">
            <anchor moveWithCells="1" sizeWithCells="1">
              <from>
                <xdr:col>15</xdr:col>
                <xdr:colOff>47874</xdr:colOff>
                <xdr:row>21</xdr:row>
                <xdr:rowOff>38299</xdr:rowOff>
              </from>
              <to>
                <xdr:col>15</xdr:col>
                <xdr:colOff>181923</xdr:colOff>
                <xdr:row>21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4" r:id="rId154" name="Spinner 382">
          <controlPr defaultSize="0" autoPict="0">
            <anchor moveWithCells="1" sizeWithCells="1">
              <from>
                <xdr:col>15</xdr:col>
                <xdr:colOff>47874</xdr:colOff>
                <xdr:row>23</xdr:row>
                <xdr:rowOff>38299</xdr:rowOff>
              </from>
              <to>
                <xdr:col>15</xdr:col>
                <xdr:colOff>181923</xdr:colOff>
                <xdr:row>23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5" r:id="rId155" name="Spinner 383">
          <controlPr defaultSize="0" autoPict="0">
            <anchor moveWithCells="1" sizeWithCells="1">
              <from>
                <xdr:col>15</xdr:col>
                <xdr:colOff>47874</xdr:colOff>
                <xdr:row>25</xdr:row>
                <xdr:rowOff>38299</xdr:rowOff>
              </from>
              <to>
                <xdr:col>15</xdr:col>
                <xdr:colOff>181923</xdr:colOff>
                <xdr:row>25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6" r:id="rId156" name="Spinner 384">
          <controlPr defaultSize="0" autoPict="0">
            <anchor moveWithCells="1" sizeWithCells="1">
              <from>
                <xdr:col>15</xdr:col>
                <xdr:colOff>47874</xdr:colOff>
                <xdr:row>27</xdr:row>
                <xdr:rowOff>38299</xdr:rowOff>
              </from>
              <to>
                <xdr:col>15</xdr:col>
                <xdr:colOff>181923</xdr:colOff>
                <xdr:row>27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7" r:id="rId157" name="Spinner 385">
          <controlPr defaultSize="0" autoPict="0">
            <anchor moveWithCells="1" sizeWithCells="1">
              <from>
                <xdr:col>15</xdr:col>
                <xdr:colOff>47874</xdr:colOff>
                <xdr:row>29</xdr:row>
                <xdr:rowOff>38299</xdr:rowOff>
              </from>
              <to>
                <xdr:col>15</xdr:col>
                <xdr:colOff>181923</xdr:colOff>
                <xdr:row>29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8" r:id="rId158" name="Spinner 386">
          <controlPr defaultSize="0" autoPict="0">
            <anchor moveWithCells="1" sizeWithCells="1">
              <from>
                <xdr:col>15</xdr:col>
                <xdr:colOff>47874</xdr:colOff>
                <xdr:row>31</xdr:row>
                <xdr:rowOff>38299</xdr:rowOff>
              </from>
              <to>
                <xdr:col>15</xdr:col>
                <xdr:colOff>181923</xdr:colOff>
                <xdr:row>31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19" r:id="rId159" name="Spinner 387">
          <controlPr defaultSize="0" autoPict="0">
            <anchor moveWithCells="1" sizeWithCells="1">
              <from>
                <xdr:col>15</xdr:col>
                <xdr:colOff>47874</xdr:colOff>
                <xdr:row>33</xdr:row>
                <xdr:rowOff>38299</xdr:rowOff>
              </from>
              <to>
                <xdr:col>15</xdr:col>
                <xdr:colOff>181923</xdr:colOff>
                <xdr:row>33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0" r:id="rId160" name="Spinner 388">
          <controlPr defaultSize="0" autoPict="0">
            <anchor moveWithCells="1" sizeWithCells="1">
              <from>
                <xdr:col>15</xdr:col>
                <xdr:colOff>47874</xdr:colOff>
                <xdr:row>35</xdr:row>
                <xdr:rowOff>38299</xdr:rowOff>
              </from>
              <to>
                <xdr:col>15</xdr:col>
                <xdr:colOff>181923</xdr:colOff>
                <xdr:row>35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1" r:id="rId161" name="Spinner 389">
          <controlPr defaultSize="0" autoPict="0">
            <anchor moveWithCells="1" sizeWithCells="1">
              <from>
                <xdr:col>15</xdr:col>
                <xdr:colOff>47874</xdr:colOff>
                <xdr:row>37</xdr:row>
                <xdr:rowOff>38299</xdr:rowOff>
              </from>
              <to>
                <xdr:col>15</xdr:col>
                <xdr:colOff>181923</xdr:colOff>
                <xdr:row>37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2" r:id="rId162" name="Spinner 390">
          <controlPr defaultSize="0" autoPict="0">
            <anchor moveWithCells="1" sizeWithCells="1">
              <from>
                <xdr:col>15</xdr:col>
                <xdr:colOff>47874</xdr:colOff>
                <xdr:row>39</xdr:row>
                <xdr:rowOff>38299</xdr:rowOff>
              </from>
              <to>
                <xdr:col>15</xdr:col>
                <xdr:colOff>181923</xdr:colOff>
                <xdr:row>39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3" r:id="rId163" name="Spinner 391">
          <controlPr defaultSize="0" autoPict="0">
            <anchor moveWithCells="1" sizeWithCells="1">
              <from>
                <xdr:col>15</xdr:col>
                <xdr:colOff>47874</xdr:colOff>
                <xdr:row>41</xdr:row>
                <xdr:rowOff>38299</xdr:rowOff>
              </from>
              <to>
                <xdr:col>15</xdr:col>
                <xdr:colOff>181923</xdr:colOff>
                <xdr:row>41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24" r:id="rId164" name="Spinner 392">
          <controlPr defaultSize="0" autoPict="0">
            <anchor moveWithCells="1" sizeWithCells="1">
              <from>
                <xdr:col>15</xdr:col>
                <xdr:colOff>47874</xdr:colOff>
                <xdr:row>43</xdr:row>
                <xdr:rowOff>38299</xdr:rowOff>
              </from>
              <to>
                <xdr:col>15</xdr:col>
                <xdr:colOff>181923</xdr:colOff>
                <xdr:row>43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63" r:id="rId165" name="Drop Down 431">
          <controlPr defaultSize="0" autoLine="0" autoPict="0">
            <anchor moveWithCells="1">
              <from>
                <xdr:col>12</xdr:col>
                <xdr:colOff>502681</xdr:colOff>
                <xdr:row>9</xdr:row>
                <xdr:rowOff>28725</xdr:rowOff>
              </from>
              <to>
                <xdr:col>13</xdr:col>
                <xdr:colOff>531405</xdr:colOff>
                <xdr:row>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84" r:id="rId166" name="Spinner 452">
          <controlPr defaultSize="0" autoPict="0">
            <anchor moveWithCells="1" sizeWithCells="1">
              <from>
                <xdr:col>14</xdr:col>
                <xdr:colOff>354270</xdr:colOff>
                <xdr:row>2</xdr:row>
                <xdr:rowOff>28725</xdr:rowOff>
              </from>
              <to>
                <xdr:col>14</xdr:col>
                <xdr:colOff>512255</xdr:colOff>
                <xdr:row>2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167" name="Drop Down 45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2" r:id="rId168" name="Drop Down 46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897" r:id="rId169" name="Drop Down 46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2" r:id="rId170" name="Drop Down 47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07" r:id="rId171" name="Drop Down 47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2" r:id="rId172" name="Drop Down 48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17" r:id="rId173" name="Drop Down 48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2" r:id="rId174" name="Drop Down 49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27" r:id="rId175" name="Drop Down 495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2" r:id="rId176" name="Drop Down 500">
          <controlPr defaultSize="0" autoLine="0" autoPict="0">
            <anchor moveWithCells="1">
              <from>
                <xdr:col>12</xdr:col>
                <xdr:colOff>502681</xdr:colOff>
                <xdr:row>45</xdr:row>
                <xdr:rowOff>0</xdr:rowOff>
              </from>
              <to>
                <xdr:col>13</xdr:col>
                <xdr:colOff>531405</xdr:colOff>
                <xdr:row>45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5" r:id="rId177" name="Spinner 503">
          <controlPr defaultSize="0" autoPict="0">
            <anchor moveWithCells="1" sizeWithCells="1">
              <from>
                <xdr:col>7</xdr:col>
                <xdr:colOff>450019</xdr:colOff>
                <xdr:row>45</xdr:row>
                <xdr:rowOff>28725</xdr:rowOff>
              </from>
              <to>
                <xdr:col>7</xdr:col>
                <xdr:colOff>579280</xdr:colOff>
                <xdr:row>45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6" r:id="rId178" name="Spinner 504">
          <controlPr defaultSize="0" autoPict="0">
            <anchor moveWithCells="1" sizeWithCells="1">
              <from>
                <xdr:col>9</xdr:col>
                <xdr:colOff>0</xdr:colOff>
                <xdr:row>45</xdr:row>
                <xdr:rowOff>9575</xdr:rowOff>
              </from>
              <to>
                <xdr:col>9</xdr:col>
                <xdr:colOff>134048</xdr:colOff>
                <xdr:row>45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8" r:id="rId179" name="Spinner 506">
          <controlPr defaultSize="0" autoPict="0">
            <anchor moveWithCells="1" sizeWithCells="1">
              <from>
                <xdr:col>12</xdr:col>
                <xdr:colOff>335120</xdr:colOff>
                <xdr:row>45</xdr:row>
                <xdr:rowOff>38299</xdr:rowOff>
              </from>
              <to>
                <xdr:col>12</xdr:col>
                <xdr:colOff>464381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39" r:id="rId180" name="Spinner 507">
          <controlPr defaultSize="0" autoPict="0">
            <anchor moveWithCells="1" sizeWithCells="1">
              <from>
                <xdr:col>15</xdr:col>
                <xdr:colOff>47874</xdr:colOff>
                <xdr:row>45</xdr:row>
                <xdr:rowOff>38299</xdr:rowOff>
              </from>
              <to>
                <xdr:col>15</xdr:col>
                <xdr:colOff>181923</xdr:colOff>
                <xdr:row>45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0" r:id="rId181" name="Drop Down 508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1" r:id="rId182" name="Drop Down 509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2" r:id="rId183" name="Drop Down 510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3" r:id="rId184" name="Drop Down 511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4" r:id="rId185" name="Drop Down 512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5" r:id="rId186" name="Drop Down 513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6" r:id="rId187" name="Drop Down 514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7" r:id="rId188" name="Drop Down 515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8" r:id="rId189" name="Drop Down 516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49" r:id="rId190" name="Drop Down 517">
          <controlPr defaultSize="0" autoLine="0" autoPict="0">
            <anchor moveWithCells="1">
              <from>
                <xdr:col>12</xdr:col>
                <xdr:colOff>502681</xdr:colOff>
                <xdr:row>47</xdr:row>
                <xdr:rowOff>0</xdr:rowOff>
              </from>
              <to>
                <xdr:col>13</xdr:col>
                <xdr:colOff>531405</xdr:colOff>
                <xdr:row>47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0" r:id="rId191" name="Spinner 518">
          <controlPr defaultSize="0" autoPict="0">
            <anchor moveWithCells="1" sizeWithCells="1">
              <from>
                <xdr:col>7</xdr:col>
                <xdr:colOff>450019</xdr:colOff>
                <xdr:row>47</xdr:row>
                <xdr:rowOff>28725</xdr:rowOff>
              </from>
              <to>
                <xdr:col>7</xdr:col>
                <xdr:colOff>579280</xdr:colOff>
                <xdr:row>47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1" r:id="rId192" name="Spinner 519">
          <controlPr defaultSize="0" autoPict="0">
            <anchor moveWithCells="1" sizeWithCells="1">
              <from>
                <xdr:col>9</xdr:col>
                <xdr:colOff>0</xdr:colOff>
                <xdr:row>47</xdr:row>
                <xdr:rowOff>9575</xdr:rowOff>
              </from>
              <to>
                <xdr:col>9</xdr:col>
                <xdr:colOff>134048</xdr:colOff>
                <xdr:row>47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3" r:id="rId193" name="Spinner 521">
          <controlPr defaultSize="0" autoPict="0">
            <anchor moveWithCells="1" sizeWithCells="1">
              <from>
                <xdr:col>12</xdr:col>
                <xdr:colOff>335120</xdr:colOff>
                <xdr:row>47</xdr:row>
                <xdr:rowOff>38299</xdr:rowOff>
              </from>
              <to>
                <xdr:col>12</xdr:col>
                <xdr:colOff>464381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4" r:id="rId194" name="Spinner 522">
          <controlPr defaultSize="0" autoPict="0">
            <anchor moveWithCells="1" sizeWithCells="1">
              <from>
                <xdr:col>15</xdr:col>
                <xdr:colOff>47874</xdr:colOff>
                <xdr:row>47</xdr:row>
                <xdr:rowOff>38299</xdr:rowOff>
              </from>
              <to>
                <xdr:col>15</xdr:col>
                <xdr:colOff>181923</xdr:colOff>
                <xdr:row>47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5" r:id="rId195" name="Drop Down 523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6" r:id="rId196" name="Drop Down 524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7" r:id="rId197" name="Drop Down 525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8" r:id="rId198" name="Drop Down 526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59" r:id="rId199" name="Drop Down 527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0" r:id="rId200" name="Drop Down 528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1" r:id="rId201" name="Drop Down 529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2" r:id="rId202" name="Drop Down 530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3" r:id="rId203" name="Drop Down 531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4" r:id="rId204" name="Drop Down 532">
          <controlPr defaultSize="0" autoLine="0" autoPict="0">
            <anchor moveWithCells="1">
              <from>
                <xdr:col>12</xdr:col>
                <xdr:colOff>502681</xdr:colOff>
                <xdr:row>49</xdr:row>
                <xdr:rowOff>0</xdr:rowOff>
              </from>
              <to>
                <xdr:col>13</xdr:col>
                <xdr:colOff>531405</xdr:colOff>
                <xdr:row>49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5" r:id="rId205" name="Spinner 533">
          <controlPr defaultSize="0" autoPict="0">
            <anchor moveWithCells="1" sizeWithCells="1">
              <from>
                <xdr:col>7</xdr:col>
                <xdr:colOff>450019</xdr:colOff>
                <xdr:row>49</xdr:row>
                <xdr:rowOff>28725</xdr:rowOff>
              </from>
              <to>
                <xdr:col>7</xdr:col>
                <xdr:colOff>579280</xdr:colOff>
                <xdr:row>49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6" r:id="rId206" name="Spinner 534">
          <controlPr defaultSize="0" autoPict="0">
            <anchor moveWithCells="1" sizeWithCells="1">
              <from>
                <xdr:col>9</xdr:col>
                <xdr:colOff>0</xdr:colOff>
                <xdr:row>49</xdr:row>
                <xdr:rowOff>9575</xdr:rowOff>
              </from>
              <to>
                <xdr:col>9</xdr:col>
                <xdr:colOff>134048</xdr:colOff>
                <xdr:row>49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7" r:id="rId207" name="Spinner 535">
          <controlPr defaultSize="0" autoPict="0">
            <anchor moveWithCells="1" sizeWithCells="1">
              <from>
                <xdr:col>12</xdr:col>
                <xdr:colOff>335120</xdr:colOff>
                <xdr:row>49</xdr:row>
                <xdr:rowOff>38299</xdr:rowOff>
              </from>
              <to>
                <xdr:col>12</xdr:col>
                <xdr:colOff>464381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8" r:id="rId208" name="Spinner 536">
          <controlPr defaultSize="0" autoPict="0">
            <anchor moveWithCells="1" sizeWithCells="1">
              <from>
                <xdr:col>15</xdr:col>
                <xdr:colOff>47874</xdr:colOff>
                <xdr:row>49</xdr:row>
                <xdr:rowOff>38299</xdr:rowOff>
              </from>
              <to>
                <xdr:col>15</xdr:col>
                <xdr:colOff>181923</xdr:colOff>
                <xdr:row>49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69" r:id="rId209" name="Drop Down 537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0" r:id="rId210" name="Drop Down 538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1" r:id="rId211" name="Drop Down 539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2" r:id="rId212" name="Drop Down 540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3" r:id="rId213" name="Drop Down 541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4" r:id="rId214" name="Drop Down 542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5" r:id="rId215" name="Drop Down 543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6" r:id="rId216" name="Drop Down 544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7" r:id="rId217" name="Drop Down 545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8" r:id="rId218" name="Drop Down 546">
          <controlPr defaultSize="0" autoLine="0" autoPict="0">
            <anchor moveWithCells="1">
              <from>
                <xdr:col>12</xdr:col>
                <xdr:colOff>502681</xdr:colOff>
                <xdr:row>51</xdr:row>
                <xdr:rowOff>0</xdr:rowOff>
              </from>
              <to>
                <xdr:col>13</xdr:col>
                <xdr:colOff>531405</xdr:colOff>
                <xdr:row>51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79" r:id="rId219" name="Spinner 547">
          <controlPr defaultSize="0" autoPict="0">
            <anchor moveWithCells="1" sizeWithCells="1">
              <from>
                <xdr:col>7</xdr:col>
                <xdr:colOff>450019</xdr:colOff>
                <xdr:row>51</xdr:row>
                <xdr:rowOff>28725</xdr:rowOff>
              </from>
              <to>
                <xdr:col>7</xdr:col>
                <xdr:colOff>579280</xdr:colOff>
                <xdr:row>51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0" r:id="rId220" name="Spinner 548">
          <controlPr defaultSize="0" autoPict="0">
            <anchor moveWithCells="1" sizeWithCells="1">
              <from>
                <xdr:col>9</xdr:col>
                <xdr:colOff>0</xdr:colOff>
                <xdr:row>51</xdr:row>
                <xdr:rowOff>9575</xdr:rowOff>
              </from>
              <to>
                <xdr:col>9</xdr:col>
                <xdr:colOff>134048</xdr:colOff>
                <xdr:row>51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1" r:id="rId221" name="Spinner 549">
          <controlPr defaultSize="0" autoPict="0">
            <anchor moveWithCells="1" sizeWithCells="1">
              <from>
                <xdr:col>12</xdr:col>
                <xdr:colOff>335120</xdr:colOff>
                <xdr:row>51</xdr:row>
                <xdr:rowOff>38299</xdr:rowOff>
              </from>
              <to>
                <xdr:col>12</xdr:col>
                <xdr:colOff>464381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2" r:id="rId222" name="Spinner 550">
          <controlPr defaultSize="0" autoPict="0">
            <anchor moveWithCells="1" sizeWithCells="1">
              <from>
                <xdr:col>15</xdr:col>
                <xdr:colOff>47874</xdr:colOff>
                <xdr:row>51</xdr:row>
                <xdr:rowOff>38299</xdr:rowOff>
              </from>
              <to>
                <xdr:col>15</xdr:col>
                <xdr:colOff>181923</xdr:colOff>
                <xdr:row>51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3" r:id="rId223" name="Drop Down 551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4" r:id="rId224" name="Drop Down 552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5" r:id="rId225" name="Drop Down 553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6" r:id="rId226" name="Drop Down 554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7" r:id="rId227" name="Drop Down 555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8" r:id="rId228" name="Drop Down 556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89" r:id="rId229" name="Drop Down 557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0" r:id="rId230" name="Drop Down 558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1" r:id="rId231" name="Drop Down 559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2" r:id="rId232" name="Drop Down 560">
          <controlPr defaultSize="0" autoLine="0" autoPict="0">
            <anchor moveWithCells="1">
              <from>
                <xdr:col>12</xdr:col>
                <xdr:colOff>502681</xdr:colOff>
                <xdr:row>53</xdr:row>
                <xdr:rowOff>0</xdr:rowOff>
              </from>
              <to>
                <xdr:col>13</xdr:col>
                <xdr:colOff>531405</xdr:colOff>
                <xdr:row>53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3" r:id="rId233" name="Spinner 561">
          <controlPr defaultSize="0" autoPict="0">
            <anchor moveWithCells="1" sizeWithCells="1">
              <from>
                <xdr:col>7</xdr:col>
                <xdr:colOff>450019</xdr:colOff>
                <xdr:row>53</xdr:row>
                <xdr:rowOff>28725</xdr:rowOff>
              </from>
              <to>
                <xdr:col>7</xdr:col>
                <xdr:colOff>579280</xdr:colOff>
                <xdr:row>53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4" r:id="rId234" name="Spinner 562">
          <controlPr defaultSize="0" autoPict="0">
            <anchor moveWithCells="1" sizeWithCells="1">
              <from>
                <xdr:col>9</xdr:col>
                <xdr:colOff>0</xdr:colOff>
                <xdr:row>53</xdr:row>
                <xdr:rowOff>9575</xdr:rowOff>
              </from>
              <to>
                <xdr:col>9</xdr:col>
                <xdr:colOff>134048</xdr:colOff>
                <xdr:row>53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5" r:id="rId235" name="Spinner 563">
          <controlPr defaultSize="0" autoPict="0">
            <anchor moveWithCells="1" sizeWithCells="1">
              <from>
                <xdr:col>12</xdr:col>
                <xdr:colOff>335120</xdr:colOff>
                <xdr:row>53</xdr:row>
                <xdr:rowOff>38299</xdr:rowOff>
              </from>
              <to>
                <xdr:col>12</xdr:col>
                <xdr:colOff>464381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6" r:id="rId236" name="Spinner 564">
          <controlPr defaultSize="0" autoPict="0">
            <anchor moveWithCells="1" sizeWithCells="1">
              <from>
                <xdr:col>15</xdr:col>
                <xdr:colOff>47874</xdr:colOff>
                <xdr:row>53</xdr:row>
                <xdr:rowOff>38299</xdr:rowOff>
              </from>
              <to>
                <xdr:col>15</xdr:col>
                <xdr:colOff>181923</xdr:colOff>
                <xdr:row>53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7" r:id="rId237" name="Drop Down 565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8" r:id="rId238" name="Drop Down 566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999" r:id="rId239" name="Drop Down 567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0" r:id="rId240" name="Drop Down 568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1" r:id="rId241" name="Drop Down 569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2" r:id="rId242" name="Drop Down 570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3" r:id="rId243" name="Drop Down 571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4" r:id="rId244" name="Drop Down 572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5" r:id="rId245" name="Drop Down 573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6" r:id="rId246" name="Drop Down 574">
          <controlPr defaultSize="0" autoLine="0" autoPict="0">
            <anchor moveWithCells="1">
              <from>
                <xdr:col>12</xdr:col>
                <xdr:colOff>502681</xdr:colOff>
                <xdr:row>55</xdr:row>
                <xdr:rowOff>0</xdr:rowOff>
              </from>
              <to>
                <xdr:col>13</xdr:col>
                <xdr:colOff>531405</xdr:colOff>
                <xdr:row>55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7" r:id="rId247" name="Spinner 575">
          <controlPr defaultSize="0" autoPict="0">
            <anchor moveWithCells="1" sizeWithCells="1">
              <from>
                <xdr:col>7</xdr:col>
                <xdr:colOff>450019</xdr:colOff>
                <xdr:row>55</xdr:row>
                <xdr:rowOff>28725</xdr:rowOff>
              </from>
              <to>
                <xdr:col>7</xdr:col>
                <xdr:colOff>579280</xdr:colOff>
                <xdr:row>55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8" r:id="rId248" name="Spinner 576">
          <controlPr defaultSize="0" autoPict="0">
            <anchor moveWithCells="1" sizeWithCells="1">
              <from>
                <xdr:col>9</xdr:col>
                <xdr:colOff>0</xdr:colOff>
                <xdr:row>55</xdr:row>
                <xdr:rowOff>9575</xdr:rowOff>
              </from>
              <to>
                <xdr:col>9</xdr:col>
                <xdr:colOff>134048</xdr:colOff>
                <xdr:row>55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09" r:id="rId249" name="Spinner 577">
          <controlPr defaultSize="0" autoPict="0">
            <anchor moveWithCells="1" sizeWithCells="1">
              <from>
                <xdr:col>12</xdr:col>
                <xdr:colOff>335120</xdr:colOff>
                <xdr:row>55</xdr:row>
                <xdr:rowOff>38299</xdr:rowOff>
              </from>
              <to>
                <xdr:col>12</xdr:col>
                <xdr:colOff>464381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0" r:id="rId250" name="Spinner 578">
          <controlPr defaultSize="0" autoPict="0">
            <anchor moveWithCells="1" sizeWithCells="1">
              <from>
                <xdr:col>15</xdr:col>
                <xdr:colOff>47874</xdr:colOff>
                <xdr:row>55</xdr:row>
                <xdr:rowOff>38299</xdr:rowOff>
              </from>
              <to>
                <xdr:col>15</xdr:col>
                <xdr:colOff>181923</xdr:colOff>
                <xdr:row>55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1" r:id="rId251" name="Drop Down 579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2" r:id="rId252" name="Drop Down 580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3" r:id="rId253" name="Drop Down 581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4" r:id="rId254" name="Drop Down 582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5" r:id="rId255" name="Drop Down 583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6" r:id="rId256" name="Drop Down 584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7" r:id="rId257" name="Drop Down 585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8" r:id="rId258" name="Drop Down 586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19" r:id="rId259" name="Drop Down 587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0" r:id="rId260" name="Drop Down 588">
          <controlPr defaultSize="0" autoLine="0" autoPict="0">
            <anchor moveWithCells="1">
              <from>
                <xdr:col>12</xdr:col>
                <xdr:colOff>502681</xdr:colOff>
                <xdr:row>57</xdr:row>
                <xdr:rowOff>0</xdr:rowOff>
              </from>
              <to>
                <xdr:col>13</xdr:col>
                <xdr:colOff>531405</xdr:colOff>
                <xdr:row>57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1" r:id="rId261" name="Spinner 589">
          <controlPr defaultSize="0" autoPict="0">
            <anchor moveWithCells="1" sizeWithCells="1">
              <from>
                <xdr:col>7</xdr:col>
                <xdr:colOff>450019</xdr:colOff>
                <xdr:row>57</xdr:row>
                <xdr:rowOff>28725</xdr:rowOff>
              </from>
              <to>
                <xdr:col>7</xdr:col>
                <xdr:colOff>579280</xdr:colOff>
                <xdr:row>57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2" r:id="rId262" name="Spinner 590">
          <controlPr defaultSize="0" autoPict="0">
            <anchor moveWithCells="1" sizeWithCells="1">
              <from>
                <xdr:col>9</xdr:col>
                <xdr:colOff>0</xdr:colOff>
                <xdr:row>57</xdr:row>
                <xdr:rowOff>9575</xdr:rowOff>
              </from>
              <to>
                <xdr:col>9</xdr:col>
                <xdr:colOff>134048</xdr:colOff>
                <xdr:row>57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3" r:id="rId263" name="Spinner 591">
          <controlPr defaultSize="0" autoPict="0">
            <anchor moveWithCells="1" sizeWithCells="1">
              <from>
                <xdr:col>12</xdr:col>
                <xdr:colOff>335120</xdr:colOff>
                <xdr:row>57</xdr:row>
                <xdr:rowOff>38299</xdr:rowOff>
              </from>
              <to>
                <xdr:col>12</xdr:col>
                <xdr:colOff>464381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4" r:id="rId264" name="Spinner 592">
          <controlPr defaultSize="0" autoPict="0">
            <anchor moveWithCells="1" sizeWithCells="1">
              <from>
                <xdr:col>15</xdr:col>
                <xdr:colOff>47874</xdr:colOff>
                <xdr:row>57</xdr:row>
                <xdr:rowOff>38299</xdr:rowOff>
              </from>
              <to>
                <xdr:col>15</xdr:col>
                <xdr:colOff>181923</xdr:colOff>
                <xdr:row>57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5" r:id="rId265" name="Drop Down 593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6" r:id="rId266" name="Drop Down 594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7" r:id="rId267" name="Drop Down 595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8" r:id="rId268" name="Drop Down 596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29" r:id="rId269" name="Drop Down 597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0" r:id="rId270" name="Drop Down 598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1" r:id="rId271" name="Drop Down 599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2" r:id="rId272" name="Drop Down 600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3" r:id="rId273" name="Drop Down 601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4" r:id="rId274" name="Drop Down 602">
          <controlPr defaultSize="0" autoLine="0" autoPict="0">
            <anchor moveWithCells="1">
              <from>
                <xdr:col>12</xdr:col>
                <xdr:colOff>502681</xdr:colOff>
                <xdr:row>59</xdr:row>
                <xdr:rowOff>0</xdr:rowOff>
              </from>
              <to>
                <xdr:col>13</xdr:col>
                <xdr:colOff>531405</xdr:colOff>
                <xdr:row>59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5" r:id="rId275" name="Spinner 603">
          <controlPr defaultSize="0" autoPict="0">
            <anchor moveWithCells="1" sizeWithCells="1">
              <from>
                <xdr:col>7</xdr:col>
                <xdr:colOff>450019</xdr:colOff>
                <xdr:row>59</xdr:row>
                <xdr:rowOff>28725</xdr:rowOff>
              </from>
              <to>
                <xdr:col>7</xdr:col>
                <xdr:colOff>579280</xdr:colOff>
                <xdr:row>59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6" r:id="rId276" name="Spinner 604">
          <controlPr defaultSize="0" autoPict="0">
            <anchor moveWithCells="1" sizeWithCells="1">
              <from>
                <xdr:col>9</xdr:col>
                <xdr:colOff>0</xdr:colOff>
                <xdr:row>59</xdr:row>
                <xdr:rowOff>9575</xdr:rowOff>
              </from>
              <to>
                <xdr:col>9</xdr:col>
                <xdr:colOff>134048</xdr:colOff>
                <xdr:row>59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7" r:id="rId277" name="Spinner 605">
          <controlPr defaultSize="0" autoPict="0">
            <anchor moveWithCells="1" sizeWithCells="1">
              <from>
                <xdr:col>12</xdr:col>
                <xdr:colOff>335120</xdr:colOff>
                <xdr:row>59</xdr:row>
                <xdr:rowOff>38299</xdr:rowOff>
              </from>
              <to>
                <xdr:col>12</xdr:col>
                <xdr:colOff>464381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8" r:id="rId278" name="Spinner 606">
          <controlPr defaultSize="0" autoPict="0">
            <anchor moveWithCells="1" sizeWithCells="1">
              <from>
                <xdr:col>15</xdr:col>
                <xdr:colOff>47874</xdr:colOff>
                <xdr:row>59</xdr:row>
                <xdr:rowOff>38299</xdr:rowOff>
              </from>
              <to>
                <xdr:col>15</xdr:col>
                <xdr:colOff>181923</xdr:colOff>
                <xdr:row>59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39" r:id="rId279" name="Drop Down 607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0" r:id="rId280" name="Drop Down 608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1" r:id="rId281" name="Drop Down 609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2" r:id="rId282" name="Drop Down 610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3" r:id="rId283" name="Drop Down 611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4" r:id="rId284" name="Drop Down 612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5" r:id="rId285" name="Drop Down 613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" r:id="rId286" name="Drop Down 614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" r:id="rId287" name="Drop Down 615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" r:id="rId288" name="Drop Down 616">
          <controlPr defaultSize="0" autoLine="0" autoPict="0">
            <anchor moveWithCells="1">
              <from>
                <xdr:col>12</xdr:col>
                <xdr:colOff>502681</xdr:colOff>
                <xdr:row>61</xdr:row>
                <xdr:rowOff>0</xdr:rowOff>
              </from>
              <to>
                <xdr:col>13</xdr:col>
                <xdr:colOff>531405</xdr:colOff>
                <xdr:row>61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" r:id="rId289" name="Spinner 617">
          <controlPr defaultSize="0" autoPict="0">
            <anchor moveWithCells="1" sizeWithCells="1">
              <from>
                <xdr:col>7</xdr:col>
                <xdr:colOff>450019</xdr:colOff>
                <xdr:row>61</xdr:row>
                <xdr:rowOff>28725</xdr:rowOff>
              </from>
              <to>
                <xdr:col>7</xdr:col>
                <xdr:colOff>579280</xdr:colOff>
                <xdr:row>61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" r:id="rId290" name="Spinner 618">
          <controlPr defaultSize="0" autoPict="0">
            <anchor moveWithCells="1" sizeWithCells="1">
              <from>
                <xdr:col>9</xdr:col>
                <xdr:colOff>0</xdr:colOff>
                <xdr:row>61</xdr:row>
                <xdr:rowOff>9575</xdr:rowOff>
              </from>
              <to>
                <xdr:col>9</xdr:col>
                <xdr:colOff>134048</xdr:colOff>
                <xdr:row>61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1" r:id="rId291" name="Spinner 619">
          <controlPr defaultSize="0" autoPict="0">
            <anchor moveWithCells="1" sizeWithCells="1">
              <from>
                <xdr:col>12</xdr:col>
                <xdr:colOff>335120</xdr:colOff>
                <xdr:row>61</xdr:row>
                <xdr:rowOff>38299</xdr:rowOff>
              </from>
              <to>
                <xdr:col>12</xdr:col>
                <xdr:colOff>464381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2" r:id="rId292" name="Spinner 620">
          <controlPr defaultSize="0" autoPict="0">
            <anchor moveWithCells="1" sizeWithCells="1">
              <from>
                <xdr:col>15</xdr:col>
                <xdr:colOff>47874</xdr:colOff>
                <xdr:row>61</xdr:row>
                <xdr:rowOff>38299</xdr:rowOff>
              </from>
              <to>
                <xdr:col>15</xdr:col>
                <xdr:colOff>181923</xdr:colOff>
                <xdr:row>61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3" r:id="rId293" name="Drop Down 621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4" r:id="rId294" name="Drop Down 622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5" r:id="rId295" name="Drop Down 623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6" r:id="rId296" name="Drop Down 624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7" r:id="rId297" name="Drop Down 625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8" r:id="rId298" name="Drop Down 626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9" r:id="rId299" name="Drop Down 627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0" r:id="rId300" name="Drop Down 628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1" r:id="rId301" name="Drop Down 629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2" r:id="rId302" name="Drop Down 630">
          <controlPr defaultSize="0" autoLine="0" autoPict="0">
            <anchor moveWithCells="1">
              <from>
                <xdr:col>12</xdr:col>
                <xdr:colOff>502681</xdr:colOff>
                <xdr:row>63</xdr:row>
                <xdr:rowOff>0</xdr:rowOff>
              </from>
              <to>
                <xdr:col>13</xdr:col>
                <xdr:colOff>531405</xdr:colOff>
                <xdr:row>63</xdr:row>
                <xdr:rowOff>201072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3" r:id="rId303" name="Spinner 631">
          <controlPr defaultSize="0" autoPict="0">
            <anchor moveWithCells="1" sizeWithCells="1">
              <from>
                <xdr:col>7</xdr:col>
                <xdr:colOff>450019</xdr:colOff>
                <xdr:row>63</xdr:row>
                <xdr:rowOff>28725</xdr:rowOff>
              </from>
              <to>
                <xdr:col>7</xdr:col>
                <xdr:colOff>579280</xdr:colOff>
                <xdr:row>63</xdr:row>
                <xdr:rowOff>220222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4" r:id="rId304" name="Spinner 632">
          <controlPr defaultSize="0" autoPict="0">
            <anchor moveWithCells="1" sizeWithCells="1">
              <from>
                <xdr:col>9</xdr:col>
                <xdr:colOff>0</xdr:colOff>
                <xdr:row>63</xdr:row>
                <xdr:rowOff>9575</xdr:rowOff>
              </from>
              <to>
                <xdr:col>9</xdr:col>
                <xdr:colOff>134048</xdr:colOff>
                <xdr:row>63</xdr:row>
                <xdr:rowOff>239372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5" r:id="rId305" name="Spinner 633">
          <controlPr defaultSize="0" autoPict="0">
            <anchor moveWithCells="1" sizeWithCells="1">
              <from>
                <xdr:col>12</xdr:col>
                <xdr:colOff>335120</xdr:colOff>
                <xdr:row>63</xdr:row>
                <xdr:rowOff>38299</xdr:rowOff>
              </from>
              <to>
                <xdr:col>12</xdr:col>
                <xdr:colOff>464381</xdr:colOff>
                <xdr:row>63</xdr:row>
                <xdr:rowOff>229797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66" r:id="rId306" name="Spinner 634">
          <controlPr defaultSize="0" autoPict="0">
            <anchor moveWithCells="1" sizeWithCells="1">
              <from>
                <xdr:col>15</xdr:col>
                <xdr:colOff>47874</xdr:colOff>
                <xdr:row>63</xdr:row>
                <xdr:rowOff>38299</xdr:rowOff>
              </from>
              <to>
                <xdr:col>15</xdr:col>
                <xdr:colOff>181923</xdr:colOff>
                <xdr:row>63</xdr:row>
                <xdr:rowOff>229797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435"/>
      <c r="B1" s="384" t="s">
        <v>1196</v>
      </c>
      <c r="C1" t="s">
        <v>353</v>
      </c>
      <c r="D1" s="197" t="s">
        <v>487</v>
      </c>
      <c r="E1" t="s">
        <v>174</v>
      </c>
      <c r="F1" t="s">
        <v>175</v>
      </c>
      <c r="G1" t="s">
        <v>156</v>
      </c>
      <c r="H1" t="s">
        <v>354</v>
      </c>
      <c r="I1" t="s">
        <v>399</v>
      </c>
      <c r="J1" t="s">
        <v>226</v>
      </c>
      <c r="K1" t="s">
        <v>157</v>
      </c>
      <c r="L1" t="s">
        <v>158</v>
      </c>
      <c r="M1" t="s">
        <v>103</v>
      </c>
      <c r="N1" t="s">
        <v>392</v>
      </c>
      <c r="O1" t="s">
        <v>393</v>
      </c>
      <c r="P1" t="s">
        <v>394</v>
      </c>
      <c r="Q1" t="s">
        <v>400</v>
      </c>
      <c r="R1" t="s">
        <v>246</v>
      </c>
      <c r="S1" t="s">
        <v>396</v>
      </c>
      <c r="T1" t="s">
        <v>397</v>
      </c>
      <c r="U1" s="384" t="s">
        <v>1195</v>
      </c>
      <c r="V1" t="s">
        <v>381</v>
      </c>
      <c r="W1" t="s">
        <v>471</v>
      </c>
      <c r="X1" t="s">
        <v>354</v>
      </c>
      <c r="Y1" t="s">
        <v>472</v>
      </c>
      <c r="Z1" t="s">
        <v>165</v>
      </c>
      <c r="AA1" t="s">
        <v>400</v>
      </c>
      <c r="AB1" t="s">
        <v>473</v>
      </c>
      <c r="AC1" t="s">
        <v>454</v>
      </c>
      <c r="AF1" s="384" t="s">
        <v>1197</v>
      </c>
      <c r="AG1" s="384" t="s">
        <v>222</v>
      </c>
      <c r="AH1" s="384" t="s">
        <v>1198</v>
      </c>
      <c r="AI1" s="384" t="s">
        <v>1199</v>
      </c>
    </row>
    <row r="2" spans="1:35" x14ac:dyDescent="0.35">
      <c r="A2">
        <v>1</v>
      </c>
      <c r="E2" s="17"/>
      <c r="H2">
        <f t="shared" ref="H2:H21" si="0">E2*G2</f>
        <v>0</v>
      </c>
      <c r="I2">
        <v>1</v>
      </c>
      <c r="J2" s="383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17"/>
      <c r="H3">
        <f t="shared" si="0"/>
        <v>0</v>
      </c>
      <c r="I3">
        <v>1</v>
      </c>
      <c r="J3" s="383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83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83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17"/>
      <c r="H4">
        <f t="shared" si="0"/>
        <v>0</v>
      </c>
      <c r="I4">
        <v>1</v>
      </c>
      <c r="J4" s="383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83" t="str">
        <f t="shared" si="7"/>
        <v/>
      </c>
      <c r="X4" t="str">
        <f t="shared" si="8"/>
        <v/>
      </c>
      <c r="Y4" t="str">
        <f t="shared" si="12"/>
        <v/>
      </c>
      <c r="Z4" s="383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17"/>
      <c r="H5">
        <f t="shared" si="0"/>
        <v>0</v>
      </c>
      <c r="I5">
        <v>1</v>
      </c>
      <c r="J5" s="383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83" t="str">
        <f t="shared" si="7"/>
        <v/>
      </c>
      <c r="X5" t="str">
        <f t="shared" si="8"/>
        <v/>
      </c>
      <c r="Y5" t="str">
        <f t="shared" si="12"/>
        <v/>
      </c>
      <c r="Z5" s="383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435">
        <v>5</v>
      </c>
      <c r="E6" s="17"/>
      <c r="H6">
        <f t="shared" si="0"/>
        <v>0</v>
      </c>
      <c r="I6">
        <v>1</v>
      </c>
      <c r="J6" s="383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83" t="str">
        <f t="shared" si="7"/>
        <v/>
      </c>
      <c r="X6" t="str">
        <f t="shared" si="8"/>
        <v/>
      </c>
      <c r="Y6" t="str">
        <f t="shared" si="12"/>
        <v/>
      </c>
      <c r="Z6" s="383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17"/>
      <c r="H7">
        <f t="shared" si="0"/>
        <v>0</v>
      </c>
      <c r="I7">
        <v>1</v>
      </c>
      <c r="J7" s="383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83" t="str">
        <f t="shared" si="7"/>
        <v/>
      </c>
      <c r="X7" t="str">
        <f t="shared" si="8"/>
        <v/>
      </c>
      <c r="Y7" t="str">
        <f t="shared" si="12"/>
        <v/>
      </c>
      <c r="Z7" s="383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17"/>
      <c r="H8">
        <f t="shared" si="0"/>
        <v>0</v>
      </c>
      <c r="I8">
        <v>1</v>
      </c>
      <c r="J8" s="383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83" t="str">
        <f t="shared" si="7"/>
        <v/>
      </c>
      <c r="X8" t="str">
        <f t="shared" si="8"/>
        <v/>
      </c>
      <c r="Y8" t="str">
        <f t="shared" si="12"/>
        <v/>
      </c>
      <c r="Z8" s="383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17"/>
      <c r="H9">
        <f t="shared" si="0"/>
        <v>0</v>
      </c>
      <c r="I9">
        <v>1</v>
      </c>
      <c r="J9" s="383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83" t="str">
        <f t="shared" si="7"/>
        <v/>
      </c>
      <c r="X9" t="str">
        <f t="shared" si="8"/>
        <v/>
      </c>
      <c r="Y9" t="str">
        <f t="shared" si="12"/>
        <v/>
      </c>
      <c r="Z9" s="383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17"/>
      <c r="H10">
        <f t="shared" si="0"/>
        <v>0</v>
      </c>
      <c r="I10">
        <v>1</v>
      </c>
      <c r="J10" s="383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83" t="str">
        <f t="shared" si="7"/>
        <v/>
      </c>
      <c r="X10" t="str">
        <f t="shared" si="8"/>
        <v/>
      </c>
      <c r="Y10" t="str">
        <f t="shared" si="12"/>
        <v/>
      </c>
      <c r="Z10" s="383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17"/>
      <c r="H11">
        <f t="shared" si="0"/>
        <v>0</v>
      </c>
      <c r="I11">
        <v>1</v>
      </c>
      <c r="J11" s="383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83" t="str">
        <f t="shared" si="7"/>
        <v/>
      </c>
      <c r="X11" t="str">
        <f t="shared" si="8"/>
        <v/>
      </c>
      <c r="Y11" t="str">
        <f t="shared" si="12"/>
        <v/>
      </c>
      <c r="Z11" s="383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17"/>
      <c r="H12">
        <f t="shared" si="0"/>
        <v>0</v>
      </c>
      <c r="I12">
        <v>1</v>
      </c>
      <c r="J12" s="383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83" t="str">
        <f t="shared" si="7"/>
        <v/>
      </c>
      <c r="X12" t="str">
        <f t="shared" si="8"/>
        <v/>
      </c>
      <c r="Y12" t="str">
        <f t="shared" si="12"/>
        <v/>
      </c>
      <c r="Z12" s="383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17"/>
      <c r="H13">
        <f t="shared" si="0"/>
        <v>0</v>
      </c>
      <c r="I13">
        <v>1</v>
      </c>
      <c r="J13" s="383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83" t="str">
        <f t="shared" si="7"/>
        <v/>
      </c>
      <c r="X13" t="str">
        <f t="shared" si="8"/>
        <v/>
      </c>
      <c r="Y13" t="str">
        <f t="shared" si="12"/>
        <v/>
      </c>
      <c r="Z13" s="383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17"/>
      <c r="H14">
        <f t="shared" si="0"/>
        <v>0</v>
      </c>
      <c r="I14">
        <v>1</v>
      </c>
      <c r="J14" s="383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83" t="str">
        <f t="shared" si="7"/>
        <v/>
      </c>
      <c r="X14" t="str">
        <f t="shared" si="8"/>
        <v/>
      </c>
      <c r="Y14" t="str">
        <f t="shared" si="12"/>
        <v/>
      </c>
      <c r="Z14" s="383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17"/>
      <c r="H15">
        <f t="shared" si="0"/>
        <v>0</v>
      </c>
      <c r="I15">
        <v>1</v>
      </c>
      <c r="J15" s="383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83" t="str">
        <f t="shared" si="7"/>
        <v/>
      </c>
      <c r="X15" t="str">
        <f t="shared" si="8"/>
        <v/>
      </c>
      <c r="Y15" t="str">
        <f t="shared" si="12"/>
        <v/>
      </c>
      <c r="Z15" s="383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17"/>
      <c r="H16">
        <f t="shared" si="0"/>
        <v>0</v>
      </c>
      <c r="I16">
        <v>1</v>
      </c>
      <c r="J16" s="383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83" t="str">
        <f t="shared" si="7"/>
        <v/>
      </c>
      <c r="X16" t="str">
        <f t="shared" si="8"/>
        <v/>
      </c>
      <c r="Y16" t="str">
        <f t="shared" si="12"/>
        <v/>
      </c>
      <c r="Z16" s="383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17"/>
      <c r="H17">
        <f t="shared" si="0"/>
        <v>0</v>
      </c>
      <c r="I17">
        <v>1</v>
      </c>
      <c r="J17" s="383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83" t="str">
        <f t="shared" si="7"/>
        <v/>
      </c>
      <c r="X17" t="str">
        <f t="shared" si="8"/>
        <v/>
      </c>
      <c r="Y17" t="str">
        <f t="shared" si="12"/>
        <v/>
      </c>
      <c r="Z17" s="383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17"/>
      <c r="H18">
        <f t="shared" si="0"/>
        <v>0</v>
      </c>
      <c r="I18">
        <v>1</v>
      </c>
      <c r="J18" s="383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83" t="str">
        <f t="shared" si="7"/>
        <v/>
      </c>
      <c r="X18" t="str">
        <f t="shared" si="8"/>
        <v/>
      </c>
      <c r="Y18" t="str">
        <f t="shared" si="12"/>
        <v/>
      </c>
      <c r="Z18" s="383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17"/>
      <c r="H19">
        <f t="shared" si="0"/>
        <v>0</v>
      </c>
      <c r="I19">
        <v>1</v>
      </c>
      <c r="J19" s="383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83" t="str">
        <f t="shared" si="7"/>
        <v/>
      </c>
      <c r="X19" t="str">
        <f t="shared" si="8"/>
        <v/>
      </c>
      <c r="Y19" t="str">
        <f t="shared" si="12"/>
        <v/>
      </c>
      <c r="Z19" s="383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17"/>
      <c r="H20">
        <f t="shared" si="0"/>
        <v>0</v>
      </c>
      <c r="I20">
        <v>1</v>
      </c>
      <c r="J20" s="383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83" t="str">
        <f t="shared" si="7"/>
        <v/>
      </c>
      <c r="X20" t="str">
        <f t="shared" si="8"/>
        <v/>
      </c>
      <c r="Y20" t="str">
        <f t="shared" si="12"/>
        <v/>
      </c>
      <c r="Z20" s="383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17"/>
      <c r="H21">
        <f t="shared" si="0"/>
        <v>0</v>
      </c>
      <c r="I21">
        <v>1</v>
      </c>
      <c r="J21" s="383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83" t="str">
        <f t="shared" si="7"/>
        <v/>
      </c>
      <c r="X21" t="str">
        <f t="shared" si="8"/>
        <v/>
      </c>
      <c r="Y21" t="str">
        <f t="shared" si="12"/>
        <v/>
      </c>
      <c r="Z21" s="383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383">
        <v>21</v>
      </c>
      <c r="B22" s="383"/>
      <c r="C22" s="383"/>
      <c r="D22" s="383"/>
      <c r="E22" s="385"/>
      <c r="F22" s="383"/>
      <c r="G22" s="383"/>
      <c r="H22" s="383">
        <f t="shared" ref="H22:H31" si="16">E22*G22</f>
        <v>0</v>
      </c>
      <c r="I22" s="383">
        <v>1</v>
      </c>
      <c r="J22" s="383">
        <f t="shared" si="1"/>
        <v>0</v>
      </c>
      <c r="K22" s="383">
        <f t="shared" ref="K22:K31" si="17">J22*H22</f>
        <v>0</v>
      </c>
      <c r="L22" s="383"/>
      <c r="M22" s="383">
        <f t="shared" si="3"/>
        <v>0</v>
      </c>
      <c r="N22" s="383"/>
      <c r="O22" s="383"/>
      <c r="P22" s="383">
        <f t="shared" ref="P22:P31" si="18">IF(O22&gt;1,N22*J22,0)</f>
        <v>0</v>
      </c>
      <c r="Q22" s="383"/>
      <c r="R22" s="383">
        <f t="shared" ref="R22:R31" si="19">IF(O22=2,P22*0.155,0)</f>
        <v>0</v>
      </c>
      <c r="S22" s="383">
        <f t="shared" ref="S22:S31" si="20">IF(O22=3,P22*0.05,0)</f>
        <v>0</v>
      </c>
      <c r="T22" s="383">
        <f t="shared" ref="T22:T31" si="21">IF(O22=4,P22*0.1,0)</f>
        <v>0</v>
      </c>
      <c r="U22" s="383"/>
      <c r="V22" s="383" t="str">
        <f t="shared" ref="V22:V31" si="22">IF(U22=0,"",IF(U22=-1,C22,D22))</f>
        <v/>
      </c>
      <c r="W22" s="383" t="str">
        <f t="shared" ref="W22:W31" si="23">IF(IF(U22=0,"",INDEX(tblMedDiscTijden,I22,2))=0,"",IF(U22=0,"",INDEX(tblMedDiscTijden,I22,2)))</f>
        <v/>
      </c>
      <c r="X22" s="383" t="str">
        <f t="shared" si="8"/>
        <v/>
      </c>
      <c r="Y22" s="383" t="str">
        <f t="shared" ref="Y22:Y31" si="24">IF(U22=0,"",TRIM(L22))</f>
        <v/>
      </c>
      <c r="Z22" s="383" t="str">
        <f>IF(P22=0,"","opl: "&amp;N22&amp;" mL "&amp;INDEX(tblMedDiscOplVl,O22,1)&amp;" "&amp;IF(Q22=0,"","("&amp;ROUND(GlobBerMedDisc!H22/GlobBerMedDisc!N22,2)&amp;" "&amp;GlobBerMedDisc!F22&amp;"/ml)"))</f>
        <v/>
      </c>
      <c r="AA22" s="383" t="str">
        <f t="shared" ref="AA22:AA31" si="25">IF(OR(Q22=0,Z22=""),"","in "&amp;Q22&amp;" min")</f>
        <v/>
      </c>
      <c r="AB22" s="383" t="e">
        <f>IF(GlobBerOpm!#REF!=0,"",GlobBerOpm!#REF!)</f>
        <v>#REF!</v>
      </c>
      <c r="AC22" s="383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383">
        <f t="shared" ref="AD22:AD31" si="27">IF(AE22&gt;=10,0,IF(AE22&gt;=1,1,IF(AE22&gt;=0,2,IF(AE22&gt;=0.1,3,IF(AE22&gt;=0.01,4,5)))))</f>
        <v>2</v>
      </c>
      <c r="AE22" s="383">
        <f t="shared" si="9"/>
        <v>0</v>
      </c>
    </row>
    <row r="23" spans="1:31" x14ac:dyDescent="0.35">
      <c r="A23" s="383">
        <v>22</v>
      </c>
      <c r="B23" s="383"/>
      <c r="C23" s="383"/>
      <c r="D23" s="383"/>
      <c r="E23" s="385"/>
      <c r="F23" s="383"/>
      <c r="G23" s="383"/>
      <c r="H23" s="383">
        <f t="shared" si="16"/>
        <v>0</v>
      </c>
      <c r="I23" s="383">
        <v>1</v>
      </c>
      <c r="J23" s="383">
        <f t="shared" si="1"/>
        <v>0</v>
      </c>
      <c r="K23" s="383">
        <f t="shared" si="17"/>
        <v>0</v>
      </c>
      <c r="L23" s="383"/>
      <c r="M23" s="383">
        <f t="shared" si="3"/>
        <v>0</v>
      </c>
      <c r="N23" s="383"/>
      <c r="O23" s="383"/>
      <c r="P23" s="383">
        <f t="shared" si="18"/>
        <v>0</v>
      </c>
      <c r="Q23" s="383"/>
      <c r="R23" s="383">
        <f t="shared" si="19"/>
        <v>0</v>
      </c>
      <c r="S23" s="383">
        <f t="shared" si="20"/>
        <v>0</v>
      </c>
      <c r="T23" s="383">
        <f t="shared" si="21"/>
        <v>0</v>
      </c>
      <c r="U23" s="383"/>
      <c r="V23" s="383" t="str">
        <f t="shared" si="22"/>
        <v/>
      </c>
      <c r="W23" s="383" t="str">
        <f t="shared" si="23"/>
        <v/>
      </c>
      <c r="X23" s="383" t="str">
        <f t="shared" si="8"/>
        <v/>
      </c>
      <c r="Y23" s="383" t="str">
        <f t="shared" si="24"/>
        <v/>
      </c>
      <c r="Z23" s="383" t="str">
        <f>IF(P23=0,"","opl: "&amp;N23&amp;" mL "&amp;INDEX(tblMedDiscOplVl,O23,1)&amp;" "&amp;IF(Q23=0,"","("&amp;ROUND(GlobBerMedDisc!H23/GlobBerMedDisc!N23,2)&amp;" "&amp;GlobBerMedDisc!F23&amp;"/ml)"))</f>
        <v/>
      </c>
      <c r="AA23" s="383" t="str">
        <f t="shared" si="25"/>
        <v/>
      </c>
      <c r="AB23" s="383" t="str">
        <f>IF(GlobBerOpm!C27=0,"",GlobBerOpm!C27)</f>
        <v/>
      </c>
      <c r="AC23" s="383" t="str">
        <f t="shared" si="26"/>
        <v/>
      </c>
      <c r="AD23" s="383">
        <f t="shared" si="27"/>
        <v>2</v>
      </c>
      <c r="AE23" s="383">
        <f t="shared" si="9"/>
        <v>0</v>
      </c>
    </row>
    <row r="24" spans="1:31" x14ac:dyDescent="0.35">
      <c r="A24" s="383">
        <v>23</v>
      </c>
      <c r="B24" s="383"/>
      <c r="C24" s="383"/>
      <c r="D24" s="383"/>
      <c r="E24" s="385"/>
      <c r="F24" s="383"/>
      <c r="G24" s="383"/>
      <c r="H24" s="383">
        <f t="shared" si="16"/>
        <v>0</v>
      </c>
      <c r="I24" s="383">
        <v>1</v>
      </c>
      <c r="J24" s="383">
        <f t="shared" si="1"/>
        <v>0</v>
      </c>
      <c r="K24" s="383">
        <f t="shared" si="17"/>
        <v>0</v>
      </c>
      <c r="L24" s="383"/>
      <c r="M24" s="383">
        <f t="shared" si="3"/>
        <v>0</v>
      </c>
      <c r="N24" s="383"/>
      <c r="O24" s="383"/>
      <c r="P24" s="383">
        <f t="shared" si="18"/>
        <v>0</v>
      </c>
      <c r="Q24" s="383"/>
      <c r="R24" s="383">
        <f t="shared" si="19"/>
        <v>0</v>
      </c>
      <c r="S24" s="383">
        <f t="shared" si="20"/>
        <v>0</v>
      </c>
      <c r="T24" s="383">
        <f t="shared" si="21"/>
        <v>0</v>
      </c>
      <c r="U24" s="383"/>
      <c r="V24" s="383" t="str">
        <f t="shared" si="22"/>
        <v/>
      </c>
      <c r="W24" s="383" t="str">
        <f t="shared" si="23"/>
        <v/>
      </c>
      <c r="X24" s="383" t="str">
        <f t="shared" si="8"/>
        <v/>
      </c>
      <c r="Y24" s="383" t="str">
        <f t="shared" si="24"/>
        <v/>
      </c>
      <c r="Z24" s="383" t="str">
        <f>IF(P24=0,"","opl: "&amp;N24&amp;" mL "&amp;INDEX(tblMedDiscOplVl,O24,1)&amp;" "&amp;IF(Q24=0,"","("&amp;ROUND(GlobBerMedDisc!H24/GlobBerMedDisc!N24,2)&amp;" "&amp;GlobBerMedDisc!F24&amp;"/ml)"))</f>
        <v/>
      </c>
      <c r="AA24" s="383" t="str">
        <f t="shared" si="25"/>
        <v/>
      </c>
      <c r="AB24" s="383" t="str">
        <f>IF(GlobBerOpm!C28=0,"",GlobBerOpm!C28)</f>
        <v/>
      </c>
      <c r="AC24" s="383" t="str">
        <f t="shared" si="26"/>
        <v/>
      </c>
      <c r="AD24" s="383">
        <f t="shared" si="27"/>
        <v>2</v>
      </c>
      <c r="AE24" s="383">
        <f t="shared" si="9"/>
        <v>0</v>
      </c>
    </row>
    <row r="25" spans="1:31" x14ac:dyDescent="0.35">
      <c r="A25" s="383">
        <v>24</v>
      </c>
      <c r="B25" s="383"/>
      <c r="C25" s="383"/>
      <c r="D25" s="383"/>
      <c r="E25" s="385"/>
      <c r="F25" s="383"/>
      <c r="G25" s="383"/>
      <c r="H25" s="383">
        <f t="shared" si="16"/>
        <v>0</v>
      </c>
      <c r="I25" s="383">
        <v>1</v>
      </c>
      <c r="J25" s="383">
        <f t="shared" si="1"/>
        <v>0</v>
      </c>
      <c r="K25" s="383">
        <f t="shared" si="17"/>
        <v>0</v>
      </c>
      <c r="L25" s="383"/>
      <c r="M25" s="383">
        <f t="shared" si="3"/>
        <v>0</v>
      </c>
      <c r="N25" s="383"/>
      <c r="O25" s="383"/>
      <c r="P25" s="383">
        <f t="shared" si="18"/>
        <v>0</v>
      </c>
      <c r="Q25" s="383"/>
      <c r="R25" s="383">
        <f t="shared" si="19"/>
        <v>0</v>
      </c>
      <c r="S25" s="383">
        <f t="shared" si="20"/>
        <v>0</v>
      </c>
      <c r="T25" s="383">
        <f t="shared" si="21"/>
        <v>0</v>
      </c>
      <c r="U25" s="383"/>
      <c r="V25" s="383" t="str">
        <f t="shared" si="22"/>
        <v/>
      </c>
      <c r="W25" s="383" t="str">
        <f t="shared" si="23"/>
        <v/>
      </c>
      <c r="X25" s="383" t="str">
        <f t="shared" si="8"/>
        <v/>
      </c>
      <c r="Y25" s="383" t="str">
        <f t="shared" si="24"/>
        <v/>
      </c>
      <c r="Z25" s="383" t="str">
        <f>IF(P25=0,"","opl: "&amp;N25&amp;" mL "&amp;INDEX(tblMedDiscOplVl,O25,1)&amp;" "&amp;IF(Q25=0,"","("&amp;ROUND(GlobBerMedDisc!H25/GlobBerMedDisc!N25,2)&amp;" "&amp;GlobBerMedDisc!F25&amp;"/ml)"))</f>
        <v/>
      </c>
      <c r="AA25" s="383" t="str">
        <f t="shared" si="25"/>
        <v/>
      </c>
      <c r="AB25" s="383" t="str">
        <f>IF(GlobBerOpm!C29=0,"",GlobBerOpm!C29)</f>
        <v/>
      </c>
      <c r="AC25" s="383" t="str">
        <f t="shared" si="26"/>
        <v/>
      </c>
      <c r="AD25" s="383">
        <f t="shared" si="27"/>
        <v>2</v>
      </c>
      <c r="AE25" s="383">
        <f t="shared" si="9"/>
        <v>0</v>
      </c>
    </row>
    <row r="26" spans="1:31" x14ac:dyDescent="0.35">
      <c r="A26" s="383">
        <v>25</v>
      </c>
      <c r="B26" s="383"/>
      <c r="C26" s="383"/>
      <c r="D26" s="383"/>
      <c r="E26" s="385"/>
      <c r="F26" s="383"/>
      <c r="G26" s="383"/>
      <c r="H26" s="383">
        <f t="shared" si="16"/>
        <v>0</v>
      </c>
      <c r="I26" s="383">
        <v>1</v>
      </c>
      <c r="J26" s="383">
        <f t="shared" si="1"/>
        <v>0</v>
      </c>
      <c r="K26" s="383">
        <f t="shared" si="17"/>
        <v>0</v>
      </c>
      <c r="L26" s="383"/>
      <c r="M26" s="383">
        <f t="shared" si="3"/>
        <v>0</v>
      </c>
      <c r="N26" s="383"/>
      <c r="O26" s="383"/>
      <c r="P26" s="383">
        <f t="shared" si="18"/>
        <v>0</v>
      </c>
      <c r="Q26" s="383"/>
      <c r="R26" s="383">
        <f t="shared" si="19"/>
        <v>0</v>
      </c>
      <c r="S26" s="383">
        <f t="shared" si="20"/>
        <v>0</v>
      </c>
      <c r="T26" s="383">
        <f t="shared" si="21"/>
        <v>0</v>
      </c>
      <c r="U26" s="383"/>
      <c r="V26" s="383" t="str">
        <f t="shared" si="22"/>
        <v/>
      </c>
      <c r="W26" s="383" t="str">
        <f t="shared" si="23"/>
        <v/>
      </c>
      <c r="X26" s="383" t="str">
        <f t="shared" si="8"/>
        <v/>
      </c>
      <c r="Y26" s="383" t="str">
        <f t="shared" si="24"/>
        <v/>
      </c>
      <c r="Z26" s="383" t="str">
        <f>IF(P26=0,"","opl: "&amp;N26&amp;" mL "&amp;INDEX(tblMedDiscOplVl,O26,1)&amp;" "&amp;IF(Q26=0,"","("&amp;ROUND(GlobBerMedDisc!H26/GlobBerMedDisc!N26,2)&amp;" "&amp;GlobBerMedDisc!F26&amp;"/ml)"))</f>
        <v/>
      </c>
      <c r="AA26" s="383" t="str">
        <f t="shared" si="25"/>
        <v/>
      </c>
      <c r="AB26" s="383" t="str">
        <f>IF(GlobBerOpm!C30=0,"",GlobBerOpm!C30)</f>
        <v/>
      </c>
      <c r="AC26" s="383" t="str">
        <f t="shared" si="26"/>
        <v/>
      </c>
      <c r="AD26" s="383">
        <f t="shared" si="27"/>
        <v>2</v>
      </c>
      <c r="AE26" s="383">
        <f t="shared" si="9"/>
        <v>0</v>
      </c>
    </row>
    <row r="27" spans="1:31" x14ac:dyDescent="0.35">
      <c r="A27" s="383">
        <v>26</v>
      </c>
      <c r="B27" s="383"/>
      <c r="C27" s="383"/>
      <c r="D27" s="383"/>
      <c r="E27" s="385"/>
      <c r="F27" s="383"/>
      <c r="G27" s="383"/>
      <c r="H27" s="383">
        <f t="shared" si="16"/>
        <v>0</v>
      </c>
      <c r="I27" s="383">
        <v>1</v>
      </c>
      <c r="J27" s="383">
        <f t="shared" si="1"/>
        <v>0</v>
      </c>
      <c r="K27" s="383">
        <f t="shared" si="17"/>
        <v>0</v>
      </c>
      <c r="L27" s="383"/>
      <c r="M27" s="383">
        <f t="shared" si="3"/>
        <v>0</v>
      </c>
      <c r="N27" s="383"/>
      <c r="O27" s="383"/>
      <c r="P27" s="383">
        <f t="shared" si="18"/>
        <v>0</v>
      </c>
      <c r="Q27" s="383"/>
      <c r="R27" s="383">
        <f t="shared" si="19"/>
        <v>0</v>
      </c>
      <c r="S27" s="383">
        <f t="shared" si="20"/>
        <v>0</v>
      </c>
      <c r="T27" s="383">
        <f t="shared" si="21"/>
        <v>0</v>
      </c>
      <c r="U27" s="383"/>
      <c r="V27" s="383" t="str">
        <f t="shared" si="22"/>
        <v/>
      </c>
      <c r="W27" s="383" t="str">
        <f t="shared" si="23"/>
        <v/>
      </c>
      <c r="X27" s="383" t="str">
        <f t="shared" si="8"/>
        <v/>
      </c>
      <c r="Y27" s="383" t="str">
        <f t="shared" si="24"/>
        <v/>
      </c>
      <c r="Z27" s="383" t="str">
        <f>IF(P27=0,"","opl: "&amp;N27&amp;" mL "&amp;INDEX(tblMedDiscOplVl,O27,1)&amp;" "&amp;IF(Q27=0,"","("&amp;ROUND(GlobBerMedDisc!H27/GlobBerMedDisc!N27,2)&amp;" "&amp;GlobBerMedDisc!F27&amp;"/ml)"))</f>
        <v/>
      </c>
      <c r="AA27" s="383" t="str">
        <f t="shared" si="25"/>
        <v/>
      </c>
      <c r="AB27" s="383" t="str">
        <f>IF(GlobBerOpm!C31=0,"",GlobBerOpm!C31)</f>
        <v/>
      </c>
      <c r="AC27" s="383" t="str">
        <f t="shared" si="26"/>
        <v/>
      </c>
      <c r="AD27" s="383">
        <f t="shared" si="27"/>
        <v>2</v>
      </c>
      <c r="AE27" s="383">
        <f t="shared" si="9"/>
        <v>0</v>
      </c>
    </row>
    <row r="28" spans="1:31" x14ac:dyDescent="0.35">
      <c r="A28" s="383">
        <v>27</v>
      </c>
      <c r="B28" s="383"/>
      <c r="C28" s="383"/>
      <c r="D28" s="383"/>
      <c r="E28" s="385"/>
      <c r="F28" s="383"/>
      <c r="G28" s="383"/>
      <c r="H28" s="383">
        <f t="shared" si="16"/>
        <v>0</v>
      </c>
      <c r="I28" s="383">
        <v>1</v>
      </c>
      <c r="J28" s="383">
        <f t="shared" si="1"/>
        <v>0</v>
      </c>
      <c r="K28" s="383">
        <f t="shared" si="17"/>
        <v>0</v>
      </c>
      <c r="L28" s="383"/>
      <c r="M28" s="383">
        <f t="shared" si="3"/>
        <v>0</v>
      </c>
      <c r="N28" s="383"/>
      <c r="O28" s="383"/>
      <c r="P28" s="383">
        <f t="shared" si="18"/>
        <v>0</v>
      </c>
      <c r="Q28" s="383"/>
      <c r="R28" s="383">
        <f t="shared" si="19"/>
        <v>0</v>
      </c>
      <c r="S28" s="383">
        <f t="shared" si="20"/>
        <v>0</v>
      </c>
      <c r="T28" s="383">
        <f t="shared" si="21"/>
        <v>0</v>
      </c>
      <c r="U28" s="383"/>
      <c r="V28" s="383" t="str">
        <f t="shared" si="22"/>
        <v/>
      </c>
      <c r="W28" s="383" t="str">
        <f t="shared" si="23"/>
        <v/>
      </c>
      <c r="X28" s="383" t="str">
        <f t="shared" si="8"/>
        <v/>
      </c>
      <c r="Y28" s="383" t="str">
        <f t="shared" si="24"/>
        <v/>
      </c>
      <c r="Z28" s="383" t="str">
        <f>IF(P28=0,"","opl: "&amp;N28&amp;" mL "&amp;INDEX(tblMedDiscOplVl,O28,1)&amp;" "&amp;IF(Q28=0,"","("&amp;ROUND(GlobBerMedDisc!H28/GlobBerMedDisc!N28,2)&amp;" "&amp;GlobBerMedDisc!F28&amp;"/ml)"))</f>
        <v/>
      </c>
      <c r="AA28" s="383" t="str">
        <f t="shared" si="25"/>
        <v/>
      </c>
      <c r="AB28" s="383" t="str">
        <f>IF(GlobBerOpm!C32=0,"",GlobBerOpm!C32)</f>
        <v/>
      </c>
      <c r="AC28" s="383" t="str">
        <f t="shared" si="26"/>
        <v/>
      </c>
      <c r="AD28" s="383">
        <f t="shared" si="27"/>
        <v>2</v>
      </c>
      <c r="AE28" s="383">
        <f t="shared" si="9"/>
        <v>0</v>
      </c>
    </row>
    <row r="29" spans="1:31" x14ac:dyDescent="0.35">
      <c r="A29" s="383">
        <v>28</v>
      </c>
      <c r="B29" s="383"/>
      <c r="C29" s="383"/>
      <c r="D29" s="383"/>
      <c r="E29" s="385"/>
      <c r="F29" s="383"/>
      <c r="G29" s="383"/>
      <c r="H29" s="383">
        <f t="shared" si="16"/>
        <v>0</v>
      </c>
      <c r="I29" s="383">
        <v>1</v>
      </c>
      <c r="J29" s="383">
        <f t="shared" si="1"/>
        <v>0</v>
      </c>
      <c r="K29" s="383">
        <f t="shared" si="17"/>
        <v>0</v>
      </c>
      <c r="L29" s="383"/>
      <c r="M29" s="383">
        <f t="shared" si="3"/>
        <v>0</v>
      </c>
      <c r="N29" s="383"/>
      <c r="O29" s="383"/>
      <c r="P29" s="383">
        <f t="shared" si="18"/>
        <v>0</v>
      </c>
      <c r="Q29" s="383"/>
      <c r="R29" s="383">
        <f t="shared" si="19"/>
        <v>0</v>
      </c>
      <c r="S29" s="383">
        <f t="shared" si="20"/>
        <v>0</v>
      </c>
      <c r="T29" s="383">
        <f t="shared" si="21"/>
        <v>0</v>
      </c>
      <c r="U29" s="383"/>
      <c r="V29" s="383" t="str">
        <f t="shared" si="22"/>
        <v/>
      </c>
      <c r="W29" s="383" t="str">
        <f t="shared" si="23"/>
        <v/>
      </c>
      <c r="X29" s="383" t="str">
        <f t="shared" si="8"/>
        <v/>
      </c>
      <c r="Y29" s="383" t="str">
        <f t="shared" si="24"/>
        <v/>
      </c>
      <c r="Z29" s="383" t="str">
        <f>IF(P29=0,"","opl: "&amp;N29&amp;" mL "&amp;INDEX(tblMedDiscOplVl,O29,1)&amp;" "&amp;IF(Q29=0,"","("&amp;ROUND(GlobBerMedDisc!H29/GlobBerMedDisc!N29,2)&amp;" "&amp;GlobBerMedDisc!F29&amp;"/ml)"))</f>
        <v/>
      </c>
      <c r="AA29" s="383" t="str">
        <f t="shared" si="25"/>
        <v/>
      </c>
      <c r="AB29" s="383" t="str">
        <f>IF(GlobBerOpm!C33=0,"",GlobBerOpm!C33)</f>
        <v/>
      </c>
      <c r="AC29" s="383" t="str">
        <f t="shared" si="26"/>
        <v/>
      </c>
      <c r="AD29" s="383">
        <f t="shared" si="27"/>
        <v>2</v>
      </c>
      <c r="AE29" s="383">
        <f t="shared" si="9"/>
        <v>0</v>
      </c>
    </row>
    <row r="30" spans="1:31" x14ac:dyDescent="0.35">
      <c r="A30" s="383">
        <v>29</v>
      </c>
      <c r="B30" s="383"/>
      <c r="C30" s="383"/>
      <c r="D30" s="383"/>
      <c r="E30" s="385"/>
      <c r="F30" s="383"/>
      <c r="G30" s="383"/>
      <c r="H30" s="383">
        <f t="shared" si="16"/>
        <v>0</v>
      </c>
      <c r="I30" s="383">
        <v>1</v>
      </c>
      <c r="J30" s="383">
        <f t="shared" si="1"/>
        <v>0</v>
      </c>
      <c r="K30" s="383">
        <f t="shared" si="17"/>
        <v>0</v>
      </c>
      <c r="L30" s="383"/>
      <c r="M30" s="383">
        <f t="shared" si="3"/>
        <v>0</v>
      </c>
      <c r="N30" s="383"/>
      <c r="O30" s="383"/>
      <c r="P30" s="383">
        <f t="shared" si="18"/>
        <v>0</v>
      </c>
      <c r="Q30" s="383"/>
      <c r="R30" s="383">
        <f t="shared" si="19"/>
        <v>0</v>
      </c>
      <c r="S30" s="383">
        <f t="shared" si="20"/>
        <v>0</v>
      </c>
      <c r="T30" s="383">
        <f t="shared" si="21"/>
        <v>0</v>
      </c>
      <c r="U30" s="383"/>
      <c r="V30" s="383" t="str">
        <f t="shared" si="22"/>
        <v/>
      </c>
      <c r="W30" s="383" t="str">
        <f t="shared" si="23"/>
        <v/>
      </c>
      <c r="X30" s="383" t="str">
        <f t="shared" si="8"/>
        <v/>
      </c>
      <c r="Y30" s="383" t="str">
        <f t="shared" si="24"/>
        <v/>
      </c>
      <c r="Z30" s="383" t="str">
        <f>IF(P30=0,"","opl: "&amp;N30&amp;" mL "&amp;INDEX(tblMedDiscOplVl,O30,1)&amp;" "&amp;IF(Q30=0,"","("&amp;ROUND(GlobBerMedDisc!H30/GlobBerMedDisc!N30,2)&amp;" "&amp;GlobBerMedDisc!F30&amp;"/ml)"))</f>
        <v/>
      </c>
      <c r="AA30" s="383" t="str">
        <f t="shared" si="25"/>
        <v/>
      </c>
      <c r="AB30" s="383" t="str">
        <f>IF(GlobBerOpm!C34=0,"",GlobBerOpm!C34)</f>
        <v/>
      </c>
      <c r="AC30" s="383" t="str">
        <f t="shared" si="26"/>
        <v/>
      </c>
      <c r="AD30" s="383">
        <f t="shared" si="27"/>
        <v>2</v>
      </c>
      <c r="AE30" s="383">
        <f t="shared" si="9"/>
        <v>0</v>
      </c>
    </row>
    <row r="31" spans="1:31" x14ac:dyDescent="0.35">
      <c r="A31" s="383">
        <v>30</v>
      </c>
      <c r="B31" s="383"/>
      <c r="C31" s="383"/>
      <c r="D31" s="383"/>
      <c r="E31" s="385"/>
      <c r="F31" s="383"/>
      <c r="G31" s="383"/>
      <c r="H31" s="383">
        <f t="shared" si="16"/>
        <v>0</v>
      </c>
      <c r="I31" s="383">
        <v>1</v>
      </c>
      <c r="J31" s="383">
        <f t="shared" si="1"/>
        <v>0</v>
      </c>
      <c r="K31" s="383">
        <f t="shared" si="17"/>
        <v>0</v>
      </c>
      <c r="L31" s="383"/>
      <c r="M31" s="383">
        <f t="shared" si="3"/>
        <v>0</v>
      </c>
      <c r="N31" s="383"/>
      <c r="O31" s="383"/>
      <c r="P31" s="383">
        <f t="shared" si="18"/>
        <v>0</v>
      </c>
      <c r="Q31" s="383"/>
      <c r="R31" s="383">
        <f t="shared" si="19"/>
        <v>0</v>
      </c>
      <c r="S31" s="383">
        <f t="shared" si="20"/>
        <v>0</v>
      </c>
      <c r="T31" s="383">
        <f t="shared" si="21"/>
        <v>0</v>
      </c>
      <c r="U31" s="383"/>
      <c r="V31" s="383" t="str">
        <f t="shared" si="22"/>
        <v/>
      </c>
      <c r="W31" s="383" t="str">
        <f t="shared" si="23"/>
        <v/>
      </c>
      <c r="X31" s="383" t="str">
        <f t="shared" si="8"/>
        <v/>
      </c>
      <c r="Y31" s="383" t="str">
        <f t="shared" si="24"/>
        <v/>
      </c>
      <c r="Z31" s="383" t="str">
        <f>IF(P31=0,"","opl: "&amp;N31&amp;" mL "&amp;INDEX(tblMedDiscOplVl,O31,1)&amp;" "&amp;IF(Q31=0,"","("&amp;ROUND(GlobBerMedDisc!H31/GlobBerMedDisc!N31,2)&amp;" "&amp;GlobBerMedDisc!F31&amp;"/ml)"))</f>
        <v/>
      </c>
      <c r="AA31" s="383" t="str">
        <f t="shared" si="25"/>
        <v/>
      </c>
      <c r="AB31" s="383" t="str">
        <f>IF(GlobBerOpm!C35=0,"",GlobBerOpm!C35)</f>
        <v/>
      </c>
      <c r="AC31" s="383" t="str">
        <f t="shared" si="26"/>
        <v/>
      </c>
      <c r="AD31" s="383">
        <f t="shared" si="27"/>
        <v>2</v>
      </c>
      <c r="AE31" s="383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384" t="s">
        <v>238</v>
      </c>
    </row>
    <row r="40" spans="2:19" x14ac:dyDescent="0.35">
      <c r="D40" s="384"/>
    </row>
    <row r="41" spans="2:19" x14ac:dyDescent="0.35">
      <c r="D41" s="384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383" customFormat="1" x14ac:dyDescent="0.35">
      <c r="A1" s="384" t="s">
        <v>1214</v>
      </c>
      <c r="B1" s="384" t="s">
        <v>1215</v>
      </c>
      <c r="D1" s="384" t="s">
        <v>4007</v>
      </c>
      <c r="E1" s="384" t="s">
        <v>1204</v>
      </c>
    </row>
    <row r="2" spans="1:5" x14ac:dyDescent="0.35">
      <c r="A2" s="384" t="s">
        <v>1200</v>
      </c>
      <c r="B2" t="b">
        <v>1</v>
      </c>
      <c r="D2" s="383" t="s">
        <v>4008</v>
      </c>
      <c r="E2" s="384" t="s">
        <v>4026</v>
      </c>
    </row>
    <row r="3" spans="1:5" x14ac:dyDescent="0.35">
      <c r="A3" s="384" t="s">
        <v>1201</v>
      </c>
      <c r="B3" t="b">
        <v>1</v>
      </c>
      <c r="D3" s="383" t="s">
        <v>4009</v>
      </c>
      <c r="E3" s="384" t="s">
        <v>4027</v>
      </c>
    </row>
    <row r="4" spans="1:5" x14ac:dyDescent="0.35">
      <c r="A4" s="384" t="s">
        <v>1202</v>
      </c>
      <c r="B4" s="384" t="s">
        <v>1204</v>
      </c>
      <c r="C4" s="383"/>
      <c r="D4" s="383" t="s">
        <v>4010</v>
      </c>
      <c r="E4" s="384" t="s">
        <v>4028</v>
      </c>
    </row>
    <row r="5" spans="1:5" x14ac:dyDescent="0.35">
      <c r="A5" s="384" t="s">
        <v>1203</v>
      </c>
      <c r="B5" s="384" t="s">
        <v>1205</v>
      </c>
      <c r="C5" s="383"/>
      <c r="D5" s="383" t="s">
        <v>4011</v>
      </c>
      <c r="E5" s="384" t="s">
        <v>4029</v>
      </c>
    </row>
    <row r="6" spans="1:5" x14ac:dyDescent="0.35">
      <c r="A6" s="384" t="s">
        <v>1206</v>
      </c>
      <c r="B6" s="384" t="s">
        <v>1207</v>
      </c>
      <c r="C6" s="383"/>
      <c r="D6" s="383" t="s">
        <v>4012</v>
      </c>
      <c r="E6" s="384" t="s">
        <v>4030</v>
      </c>
    </row>
    <row r="7" spans="1:5" x14ac:dyDescent="0.35">
      <c r="A7" s="384" t="s">
        <v>1208</v>
      </c>
      <c r="B7" t="s">
        <v>1209</v>
      </c>
      <c r="C7" s="383"/>
      <c r="D7" s="383" t="s">
        <v>4013</v>
      </c>
      <c r="E7" s="384" t="s">
        <v>4031</v>
      </c>
    </row>
    <row r="8" spans="1:5" x14ac:dyDescent="0.35">
      <c r="A8" s="384" t="s">
        <v>1210</v>
      </c>
      <c r="B8" s="384" t="s">
        <v>1211</v>
      </c>
      <c r="C8" s="383"/>
      <c r="D8" s="383" t="s">
        <v>4014</v>
      </c>
      <c r="E8" s="384" t="s">
        <v>4032</v>
      </c>
    </row>
    <row r="9" spans="1:5" x14ac:dyDescent="0.35">
      <c r="A9" s="384" t="s">
        <v>1212</v>
      </c>
      <c r="B9" t="s">
        <v>1213</v>
      </c>
      <c r="C9" s="383"/>
      <c r="D9" s="383" t="s">
        <v>4015</v>
      </c>
      <c r="E9" s="384" t="s">
        <v>4033</v>
      </c>
    </row>
    <row r="10" spans="1:5" x14ac:dyDescent="0.35">
      <c r="A10" s="384" t="s">
        <v>1216</v>
      </c>
      <c r="B10" s="384" t="s">
        <v>1217</v>
      </c>
      <c r="C10" s="383"/>
      <c r="D10" s="383" t="s">
        <v>4016</v>
      </c>
      <c r="E10" s="384" t="s">
        <v>4034</v>
      </c>
    </row>
    <row r="11" spans="1:5" x14ac:dyDescent="0.35">
      <c r="C11" s="383"/>
      <c r="D11" s="383" t="s">
        <v>4017</v>
      </c>
      <c r="E11" s="384" t="s">
        <v>4035</v>
      </c>
    </row>
    <row r="12" spans="1:5" x14ac:dyDescent="0.35">
      <c r="D12" s="383" t="s">
        <v>4018</v>
      </c>
      <c r="E12" s="384" t="s">
        <v>4036</v>
      </c>
    </row>
    <row r="13" spans="1:5" x14ac:dyDescent="0.35">
      <c r="D13" s="383" t="s">
        <v>4019</v>
      </c>
      <c r="E13" s="384" t="s">
        <v>4037</v>
      </c>
    </row>
    <row r="14" spans="1:5" x14ac:dyDescent="0.35">
      <c r="D14" s="383" t="s">
        <v>4020</v>
      </c>
      <c r="E14" s="384" t="s">
        <v>4038</v>
      </c>
    </row>
    <row r="15" spans="1:5" x14ac:dyDescent="0.35">
      <c r="D15" s="383" t="s">
        <v>4021</v>
      </c>
      <c r="E15" s="384" t="s">
        <v>4039</v>
      </c>
    </row>
    <row r="16" spans="1:5" x14ac:dyDescent="0.35">
      <c r="D16" s="383" t="s">
        <v>4022</v>
      </c>
      <c r="E16" s="384" t="s">
        <v>4040</v>
      </c>
    </row>
    <row r="17" spans="4:5" x14ac:dyDescent="0.35">
      <c r="D17" s="383" t="s">
        <v>4023</v>
      </c>
      <c r="E17" s="384" t="s">
        <v>4041</v>
      </c>
    </row>
    <row r="18" spans="4:5" x14ac:dyDescent="0.35">
      <c r="D18" s="383" t="s">
        <v>4024</v>
      </c>
      <c r="E18" s="384" t="s">
        <v>4042</v>
      </c>
    </row>
    <row r="19" spans="4:5" x14ac:dyDescent="0.35">
      <c r="D19" s="383" t="s">
        <v>4025</v>
      </c>
      <c r="E19" s="384" t="s">
        <v>4043</v>
      </c>
    </row>
    <row r="20" spans="4:5" x14ac:dyDescent="0.35">
      <c r="E20" s="384" t="s">
        <v>4044</v>
      </c>
    </row>
    <row r="21" spans="4:5" x14ac:dyDescent="0.35">
      <c r="E21" s="384" t="s">
        <v>4045</v>
      </c>
    </row>
    <row r="22" spans="4:5" x14ac:dyDescent="0.35">
      <c r="E22" s="384" t="s">
        <v>4046</v>
      </c>
    </row>
    <row r="23" spans="4:5" x14ac:dyDescent="0.35">
      <c r="E23" s="384" t="s">
        <v>4047</v>
      </c>
    </row>
    <row r="24" spans="4:5" x14ac:dyDescent="0.35">
      <c r="E24" s="384" t="s">
        <v>4048</v>
      </c>
    </row>
    <row r="25" spans="4:5" x14ac:dyDescent="0.35">
      <c r="E25" s="384" t="s">
        <v>4049</v>
      </c>
    </row>
    <row r="26" spans="4:5" x14ac:dyDescent="0.35">
      <c r="E26" s="384" t="s">
        <v>4050</v>
      </c>
    </row>
    <row r="27" spans="4:5" x14ac:dyDescent="0.35">
      <c r="E27" s="384" t="s">
        <v>4051</v>
      </c>
    </row>
    <row r="28" spans="4:5" x14ac:dyDescent="0.35">
      <c r="E28" s="384" t="s">
        <v>4052</v>
      </c>
    </row>
    <row r="29" spans="4:5" x14ac:dyDescent="0.35">
      <c r="E29" s="384" t="s">
        <v>4053</v>
      </c>
    </row>
    <row r="30" spans="4:5" x14ac:dyDescent="0.35">
      <c r="E30" s="384" t="s">
        <v>4054</v>
      </c>
    </row>
    <row r="31" spans="4:5" x14ac:dyDescent="0.35">
      <c r="E31" s="384" t="s">
        <v>4055</v>
      </c>
    </row>
    <row r="32" spans="4:5" x14ac:dyDescent="0.35">
      <c r="E32" s="384" t="s">
        <v>4056</v>
      </c>
    </row>
    <row r="33" spans="5:5" x14ac:dyDescent="0.35">
      <c r="E33" s="384" t="s">
        <v>4057</v>
      </c>
    </row>
    <row r="34" spans="5:5" x14ac:dyDescent="0.35">
      <c r="E34" s="384" t="s">
        <v>4058</v>
      </c>
    </row>
    <row r="35" spans="5:5" x14ac:dyDescent="0.35">
      <c r="E35" s="384" t="s">
        <v>4059</v>
      </c>
    </row>
    <row r="36" spans="5:5" x14ac:dyDescent="0.35">
      <c r="E36" s="384" t="s">
        <v>4060</v>
      </c>
    </row>
    <row r="37" spans="5:5" x14ac:dyDescent="0.35">
      <c r="E37" s="384" t="s">
        <v>4061</v>
      </c>
    </row>
    <row r="38" spans="5:5" x14ac:dyDescent="0.35">
      <c r="E38" s="384" t="s">
        <v>4062</v>
      </c>
    </row>
    <row r="39" spans="5:5" x14ac:dyDescent="0.35">
      <c r="E39" s="384" t="s">
        <v>4063</v>
      </c>
    </row>
    <row r="40" spans="5:5" x14ac:dyDescent="0.35">
      <c r="E40" s="384" t="s">
        <v>4064</v>
      </c>
    </row>
    <row r="41" spans="5:5" x14ac:dyDescent="0.35">
      <c r="E41" s="384" t="s">
        <v>4065</v>
      </c>
    </row>
    <row r="42" spans="5:5" x14ac:dyDescent="0.35">
      <c r="E42" s="384" t="s">
        <v>4066</v>
      </c>
    </row>
    <row r="43" spans="5:5" x14ac:dyDescent="0.35">
      <c r="E43" s="384" t="s">
        <v>4067</v>
      </c>
    </row>
    <row r="44" spans="5:5" x14ac:dyDescent="0.35">
      <c r="E44" s="384" t="s">
        <v>4068</v>
      </c>
    </row>
    <row r="45" spans="5:5" x14ac:dyDescent="0.35">
      <c r="E45" s="384" t="s">
        <v>4069</v>
      </c>
    </row>
    <row r="46" spans="5:5" x14ac:dyDescent="0.35">
      <c r="E46" s="384" t="s">
        <v>4070</v>
      </c>
    </row>
    <row r="47" spans="5:5" x14ac:dyDescent="0.35">
      <c r="E47" s="384" t="s">
        <v>4071</v>
      </c>
    </row>
    <row r="48" spans="5:5" x14ac:dyDescent="0.35">
      <c r="E48" s="384" t="s">
        <v>4072</v>
      </c>
    </row>
    <row r="49" spans="5:5" x14ac:dyDescent="0.35">
      <c r="E49" s="384" t="s">
        <v>4073</v>
      </c>
    </row>
    <row r="50" spans="5:5" x14ac:dyDescent="0.35">
      <c r="E50" s="384" t="s">
        <v>4074</v>
      </c>
    </row>
    <row r="51" spans="5:5" x14ac:dyDescent="0.35">
      <c r="E51" s="384" t="s">
        <v>4075</v>
      </c>
    </row>
    <row r="52" spans="5:5" x14ac:dyDescent="0.35">
      <c r="E52" s="384" t="s">
        <v>4076</v>
      </c>
    </row>
    <row r="53" spans="5:5" x14ac:dyDescent="0.35">
      <c r="E53" s="384" t="s">
        <v>4077</v>
      </c>
    </row>
    <row r="54" spans="5:5" x14ac:dyDescent="0.35">
      <c r="E54" s="384" t="s">
        <v>4078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6"/>
  <sheetViews>
    <sheetView workbookViewId="0">
      <pane ySplit="1" topLeftCell="A473" activePane="bottomLeft" state="frozen"/>
      <selection pane="bottomLeft" activeCell="A1644" sqref="A1644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1220</v>
      </c>
      <c r="B1" t="s">
        <v>1218</v>
      </c>
      <c r="C1" t="s">
        <v>1219</v>
      </c>
      <c r="D1" t="s">
        <v>2678</v>
      </c>
      <c r="E1" t="s">
        <v>1215</v>
      </c>
      <c r="F1" t="s">
        <v>2547</v>
      </c>
      <c r="G1" t="s">
        <v>2675</v>
      </c>
      <c r="H1" t="s">
        <v>2676</v>
      </c>
      <c r="I1" t="s">
        <v>2677</v>
      </c>
    </row>
    <row r="2" spans="1:9" x14ac:dyDescent="0.35">
      <c r="A2" t="s">
        <v>4188</v>
      </c>
      <c r="B2" t="s">
        <v>1221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1900</v>
      </c>
      <c r="B3" t="s">
        <v>1222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4189</v>
      </c>
      <c r="B4" t="s">
        <v>1223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4190</v>
      </c>
      <c r="B5" t="s">
        <v>1224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4191</v>
      </c>
      <c r="B6" t="s">
        <v>1225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2684</v>
      </c>
      <c r="B7" t="s">
        <v>2329</v>
      </c>
      <c r="D7" t="b">
        <f>IFERROR(VLOOKUP(B7,PatData!$A$2:$A$2000,1,),"")&lt;&gt;""</f>
        <v>0</v>
      </c>
      <c r="E7" t="s">
        <v>1220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1310</v>
      </c>
      <c r="B8" t="s">
        <v>1226</v>
      </c>
      <c r="D8" t="b">
        <f>IFERROR(VLOOKUP(B8,PatData!$A$2:$A$2000,1,),"")&lt;&gt;""</f>
        <v>0</v>
      </c>
      <c r="E8" t="s">
        <v>1221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4080</v>
      </c>
      <c r="B9" t="s">
        <v>1227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4192</v>
      </c>
      <c r="B10" t="s">
        <v>2686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4193</v>
      </c>
      <c r="B11" t="s">
        <v>2687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4194</v>
      </c>
      <c r="B12" t="s">
        <v>2688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4195</v>
      </c>
      <c r="B13" t="s">
        <v>2689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4196</v>
      </c>
      <c r="B14" t="s">
        <v>2690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4197</v>
      </c>
      <c r="B15" t="s">
        <v>2691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4198</v>
      </c>
      <c r="B16" t="s">
        <v>2692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4199</v>
      </c>
      <c r="B17" t="s">
        <v>2693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4200</v>
      </c>
      <c r="B18" t="s">
        <v>2694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4201</v>
      </c>
      <c r="B19" t="s">
        <v>2695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4202</v>
      </c>
      <c r="B20" t="s">
        <v>2696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4203</v>
      </c>
      <c r="B21" t="s">
        <v>2697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4204</v>
      </c>
      <c r="B22" t="s">
        <v>2698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4205</v>
      </c>
      <c r="B23" t="s">
        <v>2699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4206</v>
      </c>
      <c r="B24" t="s">
        <v>2700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4207</v>
      </c>
      <c r="B25" t="s">
        <v>2701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4208</v>
      </c>
      <c r="B26" t="s">
        <v>2702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4209</v>
      </c>
      <c r="B27" t="s">
        <v>2703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4210</v>
      </c>
      <c r="B28" t="s">
        <v>2704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4211</v>
      </c>
      <c r="B29" t="s">
        <v>2705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4212</v>
      </c>
      <c r="B30" t="s">
        <v>2706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4213</v>
      </c>
      <c r="B31" t="s">
        <v>2707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4214</v>
      </c>
      <c r="B32" t="s">
        <v>2708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4215</v>
      </c>
      <c r="B33" t="s">
        <v>2709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4216</v>
      </c>
      <c r="B34" t="s">
        <v>2710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4217</v>
      </c>
      <c r="B35" t="s">
        <v>2711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4218</v>
      </c>
      <c r="B36" t="s">
        <v>2712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4219</v>
      </c>
      <c r="B37" t="s">
        <v>2713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4220</v>
      </c>
      <c r="B38" t="s">
        <v>2714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4221</v>
      </c>
      <c r="B39" t="s">
        <v>2715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4222</v>
      </c>
      <c r="B40" t="s">
        <v>2716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4223</v>
      </c>
      <c r="B41" t="s">
        <v>2717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4224</v>
      </c>
      <c r="B42" t="s">
        <v>2718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4225</v>
      </c>
      <c r="B43" t="s">
        <v>2719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4226</v>
      </c>
      <c r="B44" t="s">
        <v>2720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4227</v>
      </c>
      <c r="B45" t="s">
        <v>2721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4228</v>
      </c>
      <c r="B46" t="s">
        <v>2722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4229</v>
      </c>
      <c r="B47" t="s">
        <v>2723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4230</v>
      </c>
      <c r="B48" t="s">
        <v>2724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4231</v>
      </c>
      <c r="B49" t="s">
        <v>2725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4232</v>
      </c>
      <c r="B50" t="s">
        <v>2726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4233</v>
      </c>
      <c r="B51" t="s">
        <v>2727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4234</v>
      </c>
      <c r="B52" t="s">
        <v>2728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4235</v>
      </c>
      <c r="B53" t="s">
        <v>2729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4236</v>
      </c>
      <c r="B54" t="s">
        <v>2730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4237</v>
      </c>
      <c r="B55" t="s">
        <v>2731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4238</v>
      </c>
      <c r="B56" t="s">
        <v>2732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4239</v>
      </c>
      <c r="B57" t="s">
        <v>2733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4240</v>
      </c>
      <c r="B58" t="s">
        <v>2734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4241</v>
      </c>
      <c r="B59" t="s">
        <v>2735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4242</v>
      </c>
      <c r="B60" t="s">
        <v>2736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4243</v>
      </c>
      <c r="B61" t="s">
        <v>2737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4244</v>
      </c>
      <c r="B62" t="s">
        <v>2738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4245</v>
      </c>
      <c r="B63" t="s">
        <v>2739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4246</v>
      </c>
      <c r="B64" t="s">
        <v>2740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4247</v>
      </c>
      <c r="B65" t="s">
        <v>2741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4248</v>
      </c>
      <c r="B66" t="s">
        <v>2742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4249</v>
      </c>
      <c r="B67" t="s">
        <v>2743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4250</v>
      </c>
      <c r="B68" t="s">
        <v>2744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4251</v>
      </c>
      <c r="B69" t="s">
        <v>2745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4252</v>
      </c>
      <c r="B70" t="s">
        <v>2746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4253</v>
      </c>
      <c r="B71" t="s">
        <v>2747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4254</v>
      </c>
      <c r="B72" t="s">
        <v>2748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4255</v>
      </c>
      <c r="B73" t="s">
        <v>2749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4256</v>
      </c>
      <c r="B74" t="s">
        <v>2750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4257</v>
      </c>
      <c r="B75" t="s">
        <v>2751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4258</v>
      </c>
      <c r="B76" t="s">
        <v>2752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4259</v>
      </c>
      <c r="B77" t="s">
        <v>2753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4260</v>
      </c>
      <c r="B78" t="s">
        <v>2754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4261</v>
      </c>
      <c r="B79" t="s">
        <v>2755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4262</v>
      </c>
      <c r="B80" t="s">
        <v>2756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4263</v>
      </c>
      <c r="B81" t="s">
        <v>2757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4264</v>
      </c>
      <c r="B82" t="s">
        <v>2758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4265</v>
      </c>
      <c r="B83" t="s">
        <v>2759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4266</v>
      </c>
      <c r="B84" t="s">
        <v>2760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4267</v>
      </c>
      <c r="B85" t="s">
        <v>2761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4268</v>
      </c>
      <c r="B86" t="s">
        <v>2762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4269</v>
      </c>
      <c r="B87" t="s">
        <v>2763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4270</v>
      </c>
      <c r="B88" t="s">
        <v>2764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4271</v>
      </c>
      <c r="B89" t="s">
        <v>2765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4272</v>
      </c>
      <c r="B90" t="s">
        <v>2766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4273</v>
      </c>
      <c r="B91" t="s">
        <v>2767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4274</v>
      </c>
      <c r="B92" t="s">
        <v>2768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4275</v>
      </c>
      <c r="B93" t="s">
        <v>2769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4276</v>
      </c>
      <c r="B94" t="s">
        <v>2770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4277</v>
      </c>
      <c r="B95" t="s">
        <v>2771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4278</v>
      </c>
      <c r="B96" t="s">
        <v>2772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4279</v>
      </c>
      <c r="B97" t="s">
        <v>2773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4280</v>
      </c>
      <c r="B98" t="s">
        <v>2774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4281</v>
      </c>
      <c r="B99" t="s">
        <v>2775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4282</v>
      </c>
      <c r="B100" t="s">
        <v>2776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4283</v>
      </c>
      <c r="B101" t="s">
        <v>2777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4284</v>
      </c>
      <c r="B102" t="s">
        <v>2778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4285</v>
      </c>
      <c r="B103" t="s">
        <v>2779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4286</v>
      </c>
      <c r="B104" t="s">
        <v>2780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4287</v>
      </c>
      <c r="B105" t="s">
        <v>2781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4288</v>
      </c>
      <c r="B106" t="s">
        <v>2782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4289</v>
      </c>
      <c r="B107" t="s">
        <v>2783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4290</v>
      </c>
      <c r="B108" t="s">
        <v>2784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4291</v>
      </c>
      <c r="B109" t="s">
        <v>2785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4292</v>
      </c>
      <c r="B110" t="s">
        <v>2786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4293</v>
      </c>
      <c r="B111" t="s">
        <v>2787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4294</v>
      </c>
      <c r="B112" t="s">
        <v>2788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4295</v>
      </c>
      <c r="B113" t="s">
        <v>2789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4296</v>
      </c>
      <c r="B114" t="s">
        <v>2790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4297</v>
      </c>
      <c r="B115" t="s">
        <v>2791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4298</v>
      </c>
      <c r="B116" t="s">
        <v>2792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4299</v>
      </c>
      <c r="B117" t="s">
        <v>2793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4300</v>
      </c>
      <c r="B118" t="s">
        <v>2794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4301</v>
      </c>
      <c r="B119" t="s">
        <v>2795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4302</v>
      </c>
      <c r="B120" t="s">
        <v>2796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4303</v>
      </c>
      <c r="B121" t="s">
        <v>2797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4304</v>
      </c>
      <c r="B122" t="s">
        <v>2798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4305</v>
      </c>
      <c r="B123" t="s">
        <v>2799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4306</v>
      </c>
      <c r="B124" t="s">
        <v>2800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4307</v>
      </c>
      <c r="B125" t="s">
        <v>2801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4308</v>
      </c>
      <c r="B126" t="s">
        <v>2802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4309</v>
      </c>
      <c r="B127" t="s">
        <v>2803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4310</v>
      </c>
      <c r="B128" t="s">
        <v>2804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4311</v>
      </c>
      <c r="B129" t="s">
        <v>2805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4312</v>
      </c>
      <c r="B130" t="s">
        <v>2806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4313</v>
      </c>
      <c r="B131" t="s">
        <v>2807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4314</v>
      </c>
      <c r="B132" t="s">
        <v>2808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4315</v>
      </c>
      <c r="B133" t="s">
        <v>2809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4316</v>
      </c>
      <c r="B134" t="s">
        <v>2810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4317</v>
      </c>
      <c r="B135" t="s">
        <v>2811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4318</v>
      </c>
      <c r="B136" t="s">
        <v>2812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4319</v>
      </c>
      <c r="B137" t="s">
        <v>2813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4320</v>
      </c>
      <c r="B138" t="s">
        <v>2814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4321</v>
      </c>
      <c r="B139" t="s">
        <v>2815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4322</v>
      </c>
      <c r="B140" t="s">
        <v>2816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4323</v>
      </c>
      <c r="B141" t="s">
        <v>2817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4324</v>
      </c>
      <c r="B142" t="s">
        <v>2818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4325</v>
      </c>
      <c r="B143" t="s">
        <v>2819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4326</v>
      </c>
      <c r="B144" t="s">
        <v>2820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4327</v>
      </c>
      <c r="B145" t="s">
        <v>2821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4328</v>
      </c>
      <c r="B146" t="s">
        <v>2822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4329</v>
      </c>
      <c r="B147" t="s">
        <v>2823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4330</v>
      </c>
      <c r="B148" t="s">
        <v>2824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4331</v>
      </c>
      <c r="B149" t="s">
        <v>2825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4332</v>
      </c>
      <c r="B150" t="s">
        <v>2826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4333</v>
      </c>
      <c r="B151" t="s">
        <v>2827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4334</v>
      </c>
      <c r="B152" t="s">
        <v>2828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4335</v>
      </c>
      <c r="B153" t="s">
        <v>2829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4336</v>
      </c>
      <c r="B154" t="s">
        <v>2830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4337</v>
      </c>
      <c r="B155" t="s">
        <v>2831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4338</v>
      </c>
      <c r="B156" t="s">
        <v>2832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4339</v>
      </c>
      <c r="B157" t="s">
        <v>2833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4340</v>
      </c>
      <c r="B158" t="s">
        <v>2834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4341</v>
      </c>
      <c r="B159" t="s">
        <v>2835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4342</v>
      </c>
      <c r="B160" t="s">
        <v>2836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4343</v>
      </c>
      <c r="B161" t="s">
        <v>2837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4344</v>
      </c>
      <c r="B162" t="s">
        <v>2838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4345</v>
      </c>
      <c r="B163" t="s">
        <v>2839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4346</v>
      </c>
      <c r="B164" t="s">
        <v>2840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4347</v>
      </c>
      <c r="B165" t="s">
        <v>2841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4348</v>
      </c>
      <c r="B166" t="s">
        <v>2842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4349</v>
      </c>
      <c r="B167" t="s">
        <v>2843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4350</v>
      </c>
      <c r="B168" t="s">
        <v>2844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4351</v>
      </c>
      <c r="B169" t="s">
        <v>2845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4352</v>
      </c>
      <c r="B170" t="s">
        <v>2846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4353</v>
      </c>
      <c r="B171" t="s">
        <v>2847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4354</v>
      </c>
      <c r="B172" t="s">
        <v>2848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4355</v>
      </c>
      <c r="B173" t="s">
        <v>2849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4356</v>
      </c>
      <c r="B174" t="s">
        <v>2850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4357</v>
      </c>
      <c r="B175" t="s">
        <v>2851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4358</v>
      </c>
      <c r="B176" t="s">
        <v>2852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4359</v>
      </c>
      <c r="B177" t="s">
        <v>2853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4360</v>
      </c>
      <c r="B178" t="s">
        <v>2854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4361</v>
      </c>
      <c r="B179" t="s">
        <v>2855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4362</v>
      </c>
      <c r="B180" t="s">
        <v>2856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4363</v>
      </c>
      <c r="B181" t="s">
        <v>2857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4364</v>
      </c>
      <c r="B182" t="s">
        <v>2858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4365</v>
      </c>
      <c r="B183" t="s">
        <v>2859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4366</v>
      </c>
      <c r="B184" t="s">
        <v>2860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4367</v>
      </c>
      <c r="B185" t="s">
        <v>2861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4368</v>
      </c>
      <c r="B186" t="s">
        <v>2862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4369</v>
      </c>
      <c r="B187" t="s">
        <v>2863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4370</v>
      </c>
      <c r="B188" t="s">
        <v>2864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4371</v>
      </c>
      <c r="B189" t="s">
        <v>2865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4372</v>
      </c>
      <c r="B190" t="s">
        <v>2866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4373</v>
      </c>
      <c r="B191" t="s">
        <v>2867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4374</v>
      </c>
      <c r="B192" t="s">
        <v>2868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4375</v>
      </c>
      <c r="B193" t="s">
        <v>2869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4376</v>
      </c>
      <c r="B194" t="s">
        <v>2870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4377</v>
      </c>
      <c r="B195" t="s">
        <v>2871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4378</v>
      </c>
      <c r="B196" t="s">
        <v>2872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4379</v>
      </c>
      <c r="B197" t="s">
        <v>2873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4380</v>
      </c>
      <c r="B198" t="s">
        <v>2874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4381</v>
      </c>
      <c r="B199" t="s">
        <v>2875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4382</v>
      </c>
      <c r="B200" t="s">
        <v>2876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4383</v>
      </c>
      <c r="B201" t="s">
        <v>2877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4384</v>
      </c>
      <c r="B202" t="s">
        <v>2878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4385</v>
      </c>
      <c r="B203" t="s">
        <v>2879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4386</v>
      </c>
      <c r="B204" t="s">
        <v>2880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4387</v>
      </c>
      <c r="B205" t="s">
        <v>2881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4388</v>
      </c>
      <c r="B206" t="s">
        <v>2882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4389</v>
      </c>
      <c r="B207" t="s">
        <v>2883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4390</v>
      </c>
      <c r="B208" t="s">
        <v>2884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4391</v>
      </c>
      <c r="B209" t="s">
        <v>2885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4392</v>
      </c>
      <c r="B210" t="s">
        <v>2886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4393</v>
      </c>
      <c r="B211" t="s">
        <v>2887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4394</v>
      </c>
      <c r="B212" t="s">
        <v>2888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4395</v>
      </c>
      <c r="B213" t="s">
        <v>2889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4396</v>
      </c>
      <c r="B214" t="s">
        <v>2890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4397</v>
      </c>
      <c r="B215" t="s">
        <v>2891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4398</v>
      </c>
      <c r="B216" t="s">
        <v>2892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4399</v>
      </c>
      <c r="B217" t="s">
        <v>2893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4400</v>
      </c>
      <c r="B218" t="s">
        <v>2894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4401</v>
      </c>
      <c r="B219" t="s">
        <v>2895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4402</v>
      </c>
      <c r="B220" t="s">
        <v>2896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4403</v>
      </c>
      <c r="B221" t="s">
        <v>2897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4404</v>
      </c>
      <c r="B222" t="s">
        <v>2898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4405</v>
      </c>
      <c r="B223" t="s">
        <v>2899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4406</v>
      </c>
      <c r="B224" t="s">
        <v>2900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4407</v>
      </c>
      <c r="B225" t="s">
        <v>2901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4408</v>
      </c>
      <c r="B226" t="s">
        <v>2902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4409</v>
      </c>
      <c r="B227" t="s">
        <v>2903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4410</v>
      </c>
      <c r="B228" t="s">
        <v>2904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4411</v>
      </c>
      <c r="B229" t="s">
        <v>2905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4412</v>
      </c>
      <c r="B230" t="s">
        <v>2906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4413</v>
      </c>
      <c r="B231" t="s">
        <v>2907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4414</v>
      </c>
      <c r="B232" t="s">
        <v>2908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4415</v>
      </c>
      <c r="B233" t="s">
        <v>2909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4416</v>
      </c>
      <c r="B234" t="s">
        <v>2910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4417</v>
      </c>
      <c r="B235" t="s">
        <v>2911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4418</v>
      </c>
      <c r="B236" t="s">
        <v>2912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4419</v>
      </c>
      <c r="B237" t="s">
        <v>2913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4420</v>
      </c>
      <c r="B238" t="s">
        <v>2914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4421</v>
      </c>
      <c r="B239" t="s">
        <v>2915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4422</v>
      </c>
      <c r="B240" t="s">
        <v>2916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4423</v>
      </c>
      <c r="B241" t="s">
        <v>2917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4424</v>
      </c>
      <c r="B242" t="s">
        <v>2918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4425</v>
      </c>
      <c r="B243" t="s">
        <v>2919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4426</v>
      </c>
      <c r="B244" t="s">
        <v>2920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4427</v>
      </c>
      <c r="B245" t="s">
        <v>2921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4428</v>
      </c>
      <c r="B246" t="s">
        <v>2922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4429</v>
      </c>
      <c r="B247" t="s">
        <v>2923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4430</v>
      </c>
      <c r="B248" t="s">
        <v>2924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4431</v>
      </c>
      <c r="B249" t="s">
        <v>2925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4432</v>
      </c>
      <c r="B250" t="s">
        <v>2926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4433</v>
      </c>
      <c r="B251" t="s">
        <v>2927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4434</v>
      </c>
      <c r="B252" t="s">
        <v>2928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4435</v>
      </c>
      <c r="B253" t="s">
        <v>2929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4436</v>
      </c>
      <c r="B254" t="s">
        <v>2930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4437</v>
      </c>
      <c r="B255" t="s">
        <v>2931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4438</v>
      </c>
      <c r="B256" t="s">
        <v>2932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4439</v>
      </c>
      <c r="B257" t="s">
        <v>2933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4440</v>
      </c>
      <c r="B258" t="s">
        <v>2934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4441</v>
      </c>
      <c r="B259" t="s">
        <v>2935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4442</v>
      </c>
      <c r="B260" t="s">
        <v>2936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4443</v>
      </c>
      <c r="B261" t="s">
        <v>2937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4444</v>
      </c>
      <c r="B262" t="s">
        <v>2938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4445</v>
      </c>
      <c r="B263" t="s">
        <v>2939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4446</v>
      </c>
      <c r="B264" t="s">
        <v>2940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4447</v>
      </c>
      <c r="B265" t="s">
        <v>2941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4448</v>
      </c>
      <c r="B266" t="s">
        <v>2942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4449</v>
      </c>
      <c r="B267" t="s">
        <v>2943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4450</v>
      </c>
      <c r="B268" t="s">
        <v>2944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4451</v>
      </c>
      <c r="B269" t="s">
        <v>2945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4452</v>
      </c>
      <c r="B270" t="s">
        <v>2946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4453</v>
      </c>
      <c r="B271" t="s">
        <v>2947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4454</v>
      </c>
      <c r="B272" t="s">
        <v>2948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4455</v>
      </c>
      <c r="B273" t="s">
        <v>2949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4456</v>
      </c>
      <c r="B274" t="s">
        <v>2950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4457</v>
      </c>
      <c r="B275" t="s">
        <v>2951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4458</v>
      </c>
      <c r="B276" t="s">
        <v>2952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4459</v>
      </c>
      <c r="B277" t="s">
        <v>2953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4460</v>
      </c>
      <c r="B278" t="s">
        <v>2954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4461</v>
      </c>
      <c r="B279" t="s">
        <v>2955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4462</v>
      </c>
      <c r="B280" t="s">
        <v>2956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4463</v>
      </c>
      <c r="B281" t="s">
        <v>2957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4464</v>
      </c>
      <c r="B282" t="s">
        <v>2958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4465</v>
      </c>
      <c r="B283" t="s">
        <v>2959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4466</v>
      </c>
      <c r="B284" t="s">
        <v>2960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4467</v>
      </c>
      <c r="B285" t="s">
        <v>2961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4468</v>
      </c>
      <c r="B286" t="s">
        <v>2962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4469</v>
      </c>
      <c r="B287" t="s">
        <v>2963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4470</v>
      </c>
      <c r="B288" t="s">
        <v>2964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4471</v>
      </c>
      <c r="B289" t="s">
        <v>2965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4472</v>
      </c>
      <c r="B290" t="s">
        <v>2966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4473</v>
      </c>
      <c r="B291" t="s">
        <v>2967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4474</v>
      </c>
      <c r="B292" t="s">
        <v>2968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4475</v>
      </c>
      <c r="B293" t="s">
        <v>2969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4476</v>
      </c>
      <c r="B294" t="s">
        <v>2970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4477</v>
      </c>
      <c r="B295" t="s">
        <v>2971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4478</v>
      </c>
      <c r="B296" t="s">
        <v>2972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4479</v>
      </c>
      <c r="B297" t="s">
        <v>2973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4480</v>
      </c>
      <c r="B298" t="s">
        <v>2974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4481</v>
      </c>
      <c r="B299" t="s">
        <v>2975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4482</v>
      </c>
      <c r="B300" t="s">
        <v>2976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4483</v>
      </c>
      <c r="B301" t="s">
        <v>2977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4484</v>
      </c>
      <c r="B302" t="s">
        <v>2978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4485</v>
      </c>
      <c r="B303" t="s">
        <v>2979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4486</v>
      </c>
      <c r="B304" t="s">
        <v>2980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4487</v>
      </c>
      <c r="B305" t="s">
        <v>2981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4488</v>
      </c>
      <c r="B306" t="s">
        <v>2982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4489</v>
      </c>
      <c r="B307" t="s">
        <v>2983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4490</v>
      </c>
      <c r="B308" t="s">
        <v>2984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4491</v>
      </c>
      <c r="B309" t="s">
        <v>2985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4492</v>
      </c>
      <c r="B310" t="s">
        <v>2986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4493</v>
      </c>
      <c r="B311" t="s">
        <v>2987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4494</v>
      </c>
      <c r="B312" t="s">
        <v>2988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4495</v>
      </c>
      <c r="B313" t="s">
        <v>2989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4496</v>
      </c>
      <c r="B314" t="s">
        <v>2990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4497</v>
      </c>
      <c r="B315" t="s">
        <v>2991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4498</v>
      </c>
      <c r="B316" t="s">
        <v>2992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4499</v>
      </c>
      <c r="B317" t="s">
        <v>2993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4500</v>
      </c>
      <c r="B318" t="s">
        <v>2994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4501</v>
      </c>
      <c r="B319" t="s">
        <v>2995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4502</v>
      </c>
      <c r="B320" t="s">
        <v>2996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4503</v>
      </c>
      <c r="B321" t="s">
        <v>2997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4504</v>
      </c>
      <c r="B322" t="s">
        <v>2998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4505</v>
      </c>
      <c r="B323" t="s">
        <v>2999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4506</v>
      </c>
      <c r="B324" t="s">
        <v>3000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4507</v>
      </c>
      <c r="B325" t="s">
        <v>3001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4508</v>
      </c>
      <c r="B326" t="s">
        <v>3002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4509</v>
      </c>
      <c r="B327" t="s">
        <v>3003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4510</v>
      </c>
      <c r="B328" t="s">
        <v>3004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4511</v>
      </c>
      <c r="B329" t="s">
        <v>3005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4512</v>
      </c>
      <c r="B330" t="s">
        <v>3006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4513</v>
      </c>
      <c r="B331" t="s">
        <v>3007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4514</v>
      </c>
      <c r="B332" t="s">
        <v>3008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4515</v>
      </c>
      <c r="B333" t="s">
        <v>3009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4516</v>
      </c>
      <c r="B334" t="s">
        <v>3010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4517</v>
      </c>
      <c r="B335" t="s">
        <v>3011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4518</v>
      </c>
      <c r="B336" t="s">
        <v>3012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4519</v>
      </c>
      <c r="B337" t="s">
        <v>3013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4520</v>
      </c>
      <c r="B338" t="s">
        <v>3014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4521</v>
      </c>
      <c r="B339" t="s">
        <v>3015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2224</v>
      </c>
      <c r="B340" t="s">
        <v>3016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2225</v>
      </c>
      <c r="B341" t="s">
        <v>3017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2226</v>
      </c>
      <c r="B342" t="s">
        <v>3018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2227</v>
      </c>
      <c r="B343" t="s">
        <v>3019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2214</v>
      </c>
      <c r="B344" t="s">
        <v>3020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2215</v>
      </c>
      <c r="B345" t="s">
        <v>3021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2216</v>
      </c>
      <c r="B346" t="s">
        <v>3022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2217</v>
      </c>
      <c r="B347" t="s">
        <v>3023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2218</v>
      </c>
      <c r="B348" t="s">
        <v>3024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2228</v>
      </c>
      <c r="B349" t="s">
        <v>3025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2239</v>
      </c>
      <c r="B350" t="s">
        <v>3026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2241</v>
      </c>
      <c r="B351" t="s">
        <v>3027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2242</v>
      </c>
      <c r="B352" t="s">
        <v>3028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2243</v>
      </c>
      <c r="B353" t="s">
        <v>3029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2244</v>
      </c>
      <c r="B354" t="s">
        <v>3030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2245</v>
      </c>
      <c r="B355" t="s">
        <v>3031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2246</v>
      </c>
      <c r="B356" t="s">
        <v>3032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2247</v>
      </c>
      <c r="B357" t="s">
        <v>3033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2229</v>
      </c>
      <c r="B358" t="s">
        <v>3034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2230</v>
      </c>
      <c r="B359" t="s">
        <v>3035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2231</v>
      </c>
      <c r="B360" t="s">
        <v>3036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2232</v>
      </c>
      <c r="B361" t="s">
        <v>3037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2233</v>
      </c>
      <c r="B362" t="s">
        <v>3038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2234</v>
      </c>
      <c r="B363" t="s">
        <v>3039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2235</v>
      </c>
      <c r="B364" t="s">
        <v>3040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2236</v>
      </c>
      <c r="B365" t="s">
        <v>3041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2237</v>
      </c>
      <c r="B366" t="s">
        <v>3042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2238</v>
      </c>
      <c r="B367" t="s">
        <v>3043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2240</v>
      </c>
      <c r="B368" t="s">
        <v>3044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2219</v>
      </c>
      <c r="B369" t="s">
        <v>3045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4522</v>
      </c>
      <c r="B370" t="s">
        <v>3046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4523</v>
      </c>
      <c r="B371" t="s">
        <v>3047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4524</v>
      </c>
      <c r="B372" t="s">
        <v>3048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4525</v>
      </c>
      <c r="B373" t="s">
        <v>3049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4526</v>
      </c>
      <c r="B374" t="s">
        <v>3050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4527</v>
      </c>
      <c r="B375" t="s">
        <v>3051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4528</v>
      </c>
      <c r="B376" t="s">
        <v>3052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4529</v>
      </c>
      <c r="B377" t="s">
        <v>3053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4530</v>
      </c>
      <c r="B378" t="s">
        <v>3054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4531</v>
      </c>
      <c r="B379" t="s">
        <v>3055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4532</v>
      </c>
      <c r="B380" t="s">
        <v>3056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4533</v>
      </c>
      <c r="B381" t="s">
        <v>3057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4534</v>
      </c>
      <c r="B382" t="s">
        <v>3058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4535</v>
      </c>
      <c r="B383" t="s">
        <v>3059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4536</v>
      </c>
      <c r="B384" t="s">
        <v>3060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4537</v>
      </c>
      <c r="B385" t="s">
        <v>3061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4538</v>
      </c>
      <c r="B386" t="s">
        <v>3062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4539</v>
      </c>
      <c r="B387" t="s">
        <v>3063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4540</v>
      </c>
      <c r="B388" t="s">
        <v>3064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4541</v>
      </c>
      <c r="B389" t="s">
        <v>3065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4542</v>
      </c>
      <c r="B390" t="s">
        <v>3066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4543</v>
      </c>
      <c r="B391" t="s">
        <v>3067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4544</v>
      </c>
      <c r="B392" t="s">
        <v>3068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4545</v>
      </c>
      <c r="B393" t="s">
        <v>3069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4546</v>
      </c>
      <c r="B394" t="s">
        <v>3070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4547</v>
      </c>
      <c r="B395" t="s">
        <v>3071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4548</v>
      </c>
      <c r="B396" t="s">
        <v>3072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4549</v>
      </c>
      <c r="B397" t="s">
        <v>3073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4550</v>
      </c>
      <c r="B398" t="s">
        <v>3074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4551</v>
      </c>
      <c r="B399" t="s">
        <v>3075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4552</v>
      </c>
      <c r="B400" t="s">
        <v>3076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4553</v>
      </c>
      <c r="B401" t="s">
        <v>3077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4554</v>
      </c>
      <c r="B402" t="s">
        <v>3078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4555</v>
      </c>
      <c r="B403" t="s">
        <v>3079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4556</v>
      </c>
      <c r="B404" t="s">
        <v>3080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4557</v>
      </c>
      <c r="B405" t="s">
        <v>3081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4558</v>
      </c>
      <c r="B406" t="s">
        <v>3082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4559</v>
      </c>
      <c r="B407" t="s">
        <v>3083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4560</v>
      </c>
      <c r="B408" t="s">
        <v>3084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4561</v>
      </c>
      <c r="B409" t="s">
        <v>3085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4562</v>
      </c>
      <c r="B410" t="s">
        <v>3086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4563</v>
      </c>
      <c r="B411" t="s">
        <v>3087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4564</v>
      </c>
      <c r="B412" t="s">
        <v>3088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4565</v>
      </c>
      <c r="B413" t="s">
        <v>3089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4566</v>
      </c>
      <c r="B414" t="s">
        <v>3090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4567</v>
      </c>
      <c r="B415" t="s">
        <v>3091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4568</v>
      </c>
      <c r="B416" t="s">
        <v>3092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4569</v>
      </c>
      <c r="B417" t="s">
        <v>3093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4570</v>
      </c>
      <c r="B418" t="s">
        <v>3094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4571</v>
      </c>
      <c r="B419" t="s">
        <v>3095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4572</v>
      </c>
      <c r="B420" t="s">
        <v>3096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4573</v>
      </c>
      <c r="B421" t="s">
        <v>3097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4574</v>
      </c>
      <c r="B422" t="s">
        <v>3098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4575</v>
      </c>
      <c r="B423" t="s">
        <v>3099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4576</v>
      </c>
      <c r="B424" t="s">
        <v>3100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4577</v>
      </c>
      <c r="B425" t="s">
        <v>3101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4578</v>
      </c>
      <c r="B426" t="s">
        <v>3102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4579</v>
      </c>
      <c r="B427" t="s">
        <v>3103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4580</v>
      </c>
      <c r="B428" t="s">
        <v>3104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4581</v>
      </c>
      <c r="B429" t="s">
        <v>3105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4582</v>
      </c>
      <c r="B430" t="s">
        <v>3106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4583</v>
      </c>
      <c r="B431" t="s">
        <v>3107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4584</v>
      </c>
      <c r="B432" t="s">
        <v>3108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4585</v>
      </c>
      <c r="B433" t="s">
        <v>3109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4586</v>
      </c>
      <c r="B434" t="s">
        <v>3110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4587</v>
      </c>
      <c r="B435" t="s">
        <v>3111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4588</v>
      </c>
      <c r="B436" t="s">
        <v>3112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4589</v>
      </c>
      <c r="B437" t="s">
        <v>3113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4590</v>
      </c>
      <c r="B438" t="s">
        <v>3114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4591</v>
      </c>
      <c r="B439" t="s">
        <v>3115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4592</v>
      </c>
      <c r="B440" t="s">
        <v>3116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4593</v>
      </c>
      <c r="B441" t="s">
        <v>3117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4594</v>
      </c>
      <c r="B442" t="s">
        <v>3118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4595</v>
      </c>
      <c r="B443" t="s">
        <v>3119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4596</v>
      </c>
      <c r="B444" t="s">
        <v>3120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4597</v>
      </c>
      <c r="B445" t="s">
        <v>3121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4598</v>
      </c>
      <c r="B446" t="s">
        <v>3122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4599</v>
      </c>
      <c r="B447" t="s">
        <v>3123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4600</v>
      </c>
      <c r="B448" t="s">
        <v>3124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4601</v>
      </c>
      <c r="B449" t="s">
        <v>3125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4602</v>
      </c>
      <c r="B450" t="s">
        <v>3126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4603</v>
      </c>
      <c r="B451" t="s">
        <v>3127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4604</v>
      </c>
      <c r="B452" t="s">
        <v>3128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4605</v>
      </c>
      <c r="B453" t="s">
        <v>3129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4606</v>
      </c>
      <c r="B454" t="s">
        <v>3130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4607</v>
      </c>
      <c r="B455" t="s">
        <v>3131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4608</v>
      </c>
      <c r="B456" t="s">
        <v>3132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4609</v>
      </c>
      <c r="B457" t="s">
        <v>3133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4610</v>
      </c>
      <c r="B458" t="s">
        <v>3134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4611</v>
      </c>
      <c r="B459" t="s">
        <v>3135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4612</v>
      </c>
      <c r="B460" t="s">
        <v>3136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4613</v>
      </c>
      <c r="B461" t="s">
        <v>3137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4614</v>
      </c>
      <c r="B462" t="s">
        <v>3138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4615</v>
      </c>
      <c r="B463" t="s">
        <v>3139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4616</v>
      </c>
      <c r="B464" t="s">
        <v>3140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4617</v>
      </c>
      <c r="B465" t="s">
        <v>3141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4618</v>
      </c>
      <c r="B466" t="s">
        <v>3142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4619</v>
      </c>
      <c r="B467" t="s">
        <v>3143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4620</v>
      </c>
      <c r="B468" t="s">
        <v>3144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4621</v>
      </c>
      <c r="B469" t="s">
        <v>3145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4622</v>
      </c>
      <c r="B470" t="s">
        <v>3146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4623</v>
      </c>
      <c r="B471" t="s">
        <v>3147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4624</v>
      </c>
      <c r="B472" t="s">
        <v>3148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4625</v>
      </c>
      <c r="B473" t="s">
        <v>3149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4626</v>
      </c>
      <c r="B474" t="s">
        <v>3150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4627</v>
      </c>
      <c r="B475" t="s">
        <v>3151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4628</v>
      </c>
      <c r="B476" t="s">
        <v>3152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4629</v>
      </c>
      <c r="B477" t="s">
        <v>3153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4630</v>
      </c>
      <c r="B478" t="s">
        <v>3154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4631</v>
      </c>
      <c r="B479" t="s">
        <v>3155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4632</v>
      </c>
      <c r="B480" t="s">
        <v>3156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4633</v>
      </c>
      <c r="B481" t="s">
        <v>3157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4634</v>
      </c>
      <c r="B482" t="s">
        <v>3158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4635</v>
      </c>
      <c r="B483" t="s">
        <v>3159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4636</v>
      </c>
      <c r="B484" t="s">
        <v>3160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4637</v>
      </c>
      <c r="B485" t="s">
        <v>3161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4638</v>
      </c>
      <c r="B486" t="s">
        <v>3162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4639</v>
      </c>
      <c r="B487" t="s">
        <v>3163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4640</v>
      </c>
      <c r="B488" t="s">
        <v>3164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4641</v>
      </c>
      <c r="B489" t="s">
        <v>3165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4642</v>
      </c>
      <c r="B490" t="s">
        <v>3166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4643</v>
      </c>
      <c r="B491" t="s">
        <v>3167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4644</v>
      </c>
      <c r="B492" t="s">
        <v>3168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4645</v>
      </c>
      <c r="B493" t="s">
        <v>3169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4646</v>
      </c>
      <c r="B494" t="s">
        <v>3170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4647</v>
      </c>
      <c r="B495" t="s">
        <v>3171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4648</v>
      </c>
      <c r="B496" t="s">
        <v>3172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4649</v>
      </c>
      <c r="B497" t="s">
        <v>3173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4650</v>
      </c>
      <c r="B498" t="s">
        <v>3174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4651</v>
      </c>
      <c r="B499" t="s">
        <v>3175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4652</v>
      </c>
      <c r="B500" t="s">
        <v>3176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4653</v>
      </c>
      <c r="B501" t="s">
        <v>3177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4654</v>
      </c>
      <c r="B502" t="s">
        <v>3178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4655</v>
      </c>
      <c r="B503" t="s">
        <v>3179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4656</v>
      </c>
      <c r="B504" t="s">
        <v>3180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4657</v>
      </c>
      <c r="B505" t="s">
        <v>3181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4658</v>
      </c>
      <c r="B506" t="s">
        <v>3182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4659</v>
      </c>
      <c r="B507" t="s">
        <v>3183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4660</v>
      </c>
      <c r="B508" t="s">
        <v>3184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4661</v>
      </c>
      <c r="B509" t="s">
        <v>3185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4662</v>
      </c>
      <c r="B510" t="s">
        <v>3186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4663</v>
      </c>
      <c r="B511" t="s">
        <v>3187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4664</v>
      </c>
      <c r="B512" t="s">
        <v>3188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4665</v>
      </c>
      <c r="B513" t="s">
        <v>3189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4666</v>
      </c>
      <c r="B514" t="s">
        <v>3190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4667</v>
      </c>
      <c r="B515" t="s">
        <v>3191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4668</v>
      </c>
      <c r="B516" t="s">
        <v>3192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4669</v>
      </c>
      <c r="B517" t="s">
        <v>3193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4670</v>
      </c>
      <c r="B518" t="s">
        <v>3194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4671</v>
      </c>
      <c r="B519" t="s">
        <v>3195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1305</v>
      </c>
      <c r="B520" t="s">
        <v>3225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1306</v>
      </c>
      <c r="B521" t="s">
        <v>3227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1307</v>
      </c>
      <c r="B522" t="s">
        <v>3229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1309</v>
      </c>
      <c r="B523" t="s">
        <v>3230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1311</v>
      </c>
      <c r="B524" t="s">
        <v>3232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1312</v>
      </c>
      <c r="B525" t="s">
        <v>3235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1313</v>
      </c>
      <c r="B526" t="s">
        <v>3236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1316</v>
      </c>
      <c r="B527" t="s">
        <v>3238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1317</v>
      </c>
      <c r="B528" t="s">
        <v>3241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1318</v>
      </c>
      <c r="B529" t="s">
        <v>3242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1319</v>
      </c>
      <c r="B530" t="s">
        <v>3244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1320</v>
      </c>
      <c r="B531" t="s">
        <v>3246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2269</v>
      </c>
      <c r="B532" t="s">
        <v>3359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1321</v>
      </c>
      <c r="B533" t="s">
        <v>3248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1322</v>
      </c>
      <c r="B534" t="s">
        <v>3258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1323</v>
      </c>
      <c r="B535" t="s">
        <v>3259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1324</v>
      </c>
      <c r="B536" t="s">
        <v>3260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1325</v>
      </c>
      <c r="B537" t="s">
        <v>3261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1326</v>
      </c>
      <c r="B538" t="s">
        <v>3262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1327</v>
      </c>
      <c r="B539" t="s">
        <v>3263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1328</v>
      </c>
      <c r="B540" t="s">
        <v>3264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1329</v>
      </c>
      <c r="B541" t="s">
        <v>3265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1330</v>
      </c>
      <c r="B542" t="s">
        <v>3266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1331</v>
      </c>
      <c r="B543" t="s">
        <v>3276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1332</v>
      </c>
      <c r="B544" t="s">
        <v>3277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1333</v>
      </c>
      <c r="B545" t="s">
        <v>3278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1334</v>
      </c>
      <c r="B546" t="s">
        <v>3279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1335</v>
      </c>
      <c r="B547" t="s">
        <v>3280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1336</v>
      </c>
      <c r="B548" t="s">
        <v>3281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1337</v>
      </c>
      <c r="B549" t="s">
        <v>3282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1338</v>
      </c>
      <c r="B550" t="s">
        <v>3283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1339</v>
      </c>
      <c r="B551" t="s">
        <v>3284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1340</v>
      </c>
      <c r="B552" t="s">
        <v>3287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1341</v>
      </c>
      <c r="B553" t="s">
        <v>3288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1342</v>
      </c>
      <c r="B554" t="s">
        <v>3290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1343</v>
      </c>
      <c r="B555" t="s">
        <v>3291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1386</v>
      </c>
      <c r="B556" t="s">
        <v>3293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1387</v>
      </c>
      <c r="B557" t="s">
        <v>3303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1388</v>
      </c>
      <c r="B558" t="s">
        <v>3304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1389</v>
      </c>
      <c r="B559" t="s">
        <v>3305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1390</v>
      </c>
      <c r="B560" t="s">
        <v>3306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1391</v>
      </c>
      <c r="B561" t="s">
        <v>3307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1392</v>
      </c>
      <c r="B562" t="s">
        <v>3308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1393</v>
      </c>
      <c r="B563" t="s">
        <v>3309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1394</v>
      </c>
      <c r="B564" t="s">
        <v>3310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1395</v>
      </c>
      <c r="B565" t="s">
        <v>3311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1396</v>
      </c>
      <c r="B566" t="s">
        <v>3327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1400</v>
      </c>
      <c r="B567" t="s">
        <v>3328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1401</v>
      </c>
      <c r="B568" t="s">
        <v>3329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1402</v>
      </c>
      <c r="B569" t="s">
        <v>3330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1403</v>
      </c>
      <c r="B570" t="s">
        <v>3331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1404</v>
      </c>
      <c r="B571" t="s">
        <v>3332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1405</v>
      </c>
      <c r="B572" t="s">
        <v>3333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1406</v>
      </c>
      <c r="B573" t="s">
        <v>3334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1407</v>
      </c>
      <c r="B574" t="s">
        <v>3335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1397</v>
      </c>
      <c r="B575" t="s">
        <v>3324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1398</v>
      </c>
      <c r="B576" t="s">
        <v>3325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1399</v>
      </c>
      <c r="B577" t="s">
        <v>3326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1408</v>
      </c>
      <c r="B578" t="s">
        <v>3337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2344</v>
      </c>
      <c r="B579" t="s">
        <v>3347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2345</v>
      </c>
      <c r="B580" t="s">
        <v>3348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2346</v>
      </c>
      <c r="B581" t="s">
        <v>3349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2347</v>
      </c>
      <c r="B582" t="s">
        <v>3350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2348</v>
      </c>
      <c r="B583" t="s">
        <v>3351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2349</v>
      </c>
      <c r="B584" t="s">
        <v>3352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2350</v>
      </c>
      <c r="B585" t="s">
        <v>3353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2351</v>
      </c>
      <c r="B586" t="s">
        <v>3354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2352</v>
      </c>
      <c r="B587" t="s">
        <v>3355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1689</v>
      </c>
      <c r="B588" t="s">
        <v>3357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1690</v>
      </c>
      <c r="B589" t="s">
        <v>3361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1691</v>
      </c>
      <c r="B590" t="s">
        <v>3363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1692</v>
      </c>
      <c r="B591" t="s">
        <v>3379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1696</v>
      </c>
      <c r="B592" t="s">
        <v>3380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1697</v>
      </c>
      <c r="B593" t="s">
        <v>3381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1698</v>
      </c>
      <c r="B594" t="s">
        <v>3382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1699</v>
      </c>
      <c r="B595" t="s">
        <v>3383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1700</v>
      </c>
      <c r="B596" t="s">
        <v>3384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1701</v>
      </c>
      <c r="B597" t="s">
        <v>3385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1702</v>
      </c>
      <c r="B598" t="s">
        <v>3386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1703</v>
      </c>
      <c r="B599" t="s">
        <v>3387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1693</v>
      </c>
      <c r="B600" t="s">
        <v>3376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1694</v>
      </c>
      <c r="B601" t="s">
        <v>3377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1695</v>
      </c>
      <c r="B602" t="s">
        <v>3378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1704</v>
      </c>
      <c r="B603" t="s">
        <v>3398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1705</v>
      </c>
      <c r="B604" t="s">
        <v>3408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1706</v>
      </c>
      <c r="B605" t="s">
        <v>3409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1707</v>
      </c>
      <c r="B606" t="s">
        <v>3410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1708</v>
      </c>
      <c r="B607" t="s">
        <v>3411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1709</v>
      </c>
      <c r="B608" t="s">
        <v>3412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1710</v>
      </c>
      <c r="B609" t="s">
        <v>3413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1711</v>
      </c>
      <c r="B610" t="s">
        <v>3414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1712</v>
      </c>
      <c r="B611" t="s">
        <v>3415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1713</v>
      </c>
      <c r="B612" t="s">
        <v>3416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2330</v>
      </c>
      <c r="B613" t="s">
        <v>3210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2331</v>
      </c>
      <c r="B614" t="s">
        <v>3211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2336</v>
      </c>
      <c r="B615" t="s">
        <v>3216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2337</v>
      </c>
      <c r="B616" t="s">
        <v>3217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2338</v>
      </c>
      <c r="B617" t="s">
        <v>3218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2339</v>
      </c>
      <c r="B618" t="s">
        <v>3219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2340</v>
      </c>
      <c r="B619" t="s">
        <v>3220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2341</v>
      </c>
      <c r="B620" t="s">
        <v>3221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2342</v>
      </c>
      <c r="B621" t="s">
        <v>3222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2343</v>
      </c>
      <c r="B622" t="s">
        <v>3223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2332</v>
      </c>
      <c r="B623" t="s">
        <v>3212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2333</v>
      </c>
      <c r="B624" t="s">
        <v>3213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2334</v>
      </c>
      <c r="B625" t="s">
        <v>3214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2335</v>
      </c>
      <c r="B626" t="s">
        <v>3215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1714</v>
      </c>
      <c r="B627" t="s">
        <v>3420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1789</v>
      </c>
      <c r="B628" t="s">
        <v>2364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1790</v>
      </c>
      <c r="B629" t="s">
        <v>2365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1791</v>
      </c>
      <c r="B630" t="s">
        <v>2366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1792</v>
      </c>
      <c r="B631" t="s">
        <v>2367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1793</v>
      </c>
      <c r="B632" t="s">
        <v>2368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1794</v>
      </c>
      <c r="B633" t="s">
        <v>2369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1795</v>
      </c>
      <c r="B634" t="s">
        <v>2370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1796</v>
      </c>
      <c r="B635" t="s">
        <v>2371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1797</v>
      </c>
      <c r="B636" t="s">
        <v>2372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1798</v>
      </c>
      <c r="B637" t="s">
        <v>2373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1799</v>
      </c>
      <c r="B638" t="s">
        <v>2374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1800</v>
      </c>
      <c r="B639" t="s">
        <v>2375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1801</v>
      </c>
      <c r="B640" t="s">
        <v>2376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1802</v>
      </c>
      <c r="B641" t="s">
        <v>2377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1803</v>
      </c>
      <c r="B642" t="s">
        <v>2378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1804</v>
      </c>
      <c r="B643" t="s">
        <v>2379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1805</v>
      </c>
      <c r="B644" t="s">
        <v>2380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1806</v>
      </c>
      <c r="B645" t="s">
        <v>2381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1807</v>
      </c>
      <c r="B646" t="s">
        <v>2382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1808</v>
      </c>
      <c r="B647" t="s">
        <v>2383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1809</v>
      </c>
      <c r="B648" t="s">
        <v>2384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1810</v>
      </c>
      <c r="B649" t="s">
        <v>2385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1811</v>
      </c>
      <c r="B650" t="s">
        <v>2386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1812</v>
      </c>
      <c r="B651" t="s">
        <v>2387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1813</v>
      </c>
      <c r="B652" t="s">
        <v>2388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1814</v>
      </c>
      <c r="B653" t="s">
        <v>2389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1815</v>
      </c>
      <c r="B654" t="s">
        <v>2390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1816</v>
      </c>
      <c r="B655" t="s">
        <v>2391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1817</v>
      </c>
      <c r="B656" t="s">
        <v>2392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1818</v>
      </c>
      <c r="B657" t="s">
        <v>2393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1819</v>
      </c>
      <c r="B658" t="s">
        <v>2394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1820</v>
      </c>
      <c r="B659" t="s">
        <v>2395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1821</v>
      </c>
      <c r="B660" t="s">
        <v>2396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1822</v>
      </c>
      <c r="B661" t="s">
        <v>2397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1823</v>
      </c>
      <c r="B662" t="s">
        <v>2398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1824</v>
      </c>
      <c r="B663" t="s">
        <v>2399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1825</v>
      </c>
      <c r="B664" t="s">
        <v>2400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1826</v>
      </c>
      <c r="B665" t="s">
        <v>2401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1827</v>
      </c>
      <c r="B666" t="s">
        <v>2402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1828</v>
      </c>
      <c r="B667" t="s">
        <v>2403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1829</v>
      </c>
      <c r="B668" t="s">
        <v>2404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1830</v>
      </c>
      <c r="B669" t="s">
        <v>2405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1831</v>
      </c>
      <c r="B670" t="s">
        <v>2406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1832</v>
      </c>
      <c r="B671" t="s">
        <v>2407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1833</v>
      </c>
      <c r="B672" t="s">
        <v>2408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1834</v>
      </c>
      <c r="B673" t="s">
        <v>2409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1835</v>
      </c>
      <c r="B674" t="s">
        <v>2410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1836</v>
      </c>
      <c r="B675" t="s">
        <v>2411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1837</v>
      </c>
      <c r="B676" t="s">
        <v>2412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1838</v>
      </c>
      <c r="B677" t="s">
        <v>2413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1839</v>
      </c>
      <c r="B678" t="s">
        <v>2414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1840</v>
      </c>
      <c r="B679" t="s">
        <v>2415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1841</v>
      </c>
      <c r="B680" t="s">
        <v>2416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1842</v>
      </c>
      <c r="B681" t="s">
        <v>2417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1843</v>
      </c>
      <c r="B682" t="s">
        <v>2418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1844</v>
      </c>
      <c r="B683" t="s">
        <v>2419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1845</v>
      </c>
      <c r="B684" t="s">
        <v>2420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1846</v>
      </c>
      <c r="B685" t="s">
        <v>2421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1847</v>
      </c>
      <c r="B686" t="s">
        <v>2422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1848</v>
      </c>
      <c r="B687" t="s">
        <v>2423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1849</v>
      </c>
      <c r="B688" t="s">
        <v>2424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1850</v>
      </c>
      <c r="B689" t="s">
        <v>2425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1851</v>
      </c>
      <c r="B690" t="s">
        <v>2426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1852</v>
      </c>
      <c r="B691" t="s">
        <v>2427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1853</v>
      </c>
      <c r="B692" t="s">
        <v>2428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1854</v>
      </c>
      <c r="B693" t="s">
        <v>2429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1855</v>
      </c>
      <c r="B694" t="s">
        <v>2430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1856</v>
      </c>
      <c r="B695" t="s">
        <v>2431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1857</v>
      </c>
      <c r="B696" t="s">
        <v>2432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1858</v>
      </c>
      <c r="B697" t="s">
        <v>2433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1859</v>
      </c>
      <c r="B698" t="s">
        <v>2434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1860</v>
      </c>
      <c r="B699" t="s">
        <v>2435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1861</v>
      </c>
      <c r="B700" t="s">
        <v>2436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1862</v>
      </c>
      <c r="B701" t="s">
        <v>2437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1863</v>
      </c>
      <c r="B702" t="s">
        <v>2438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1864</v>
      </c>
      <c r="B703" t="s">
        <v>2439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1865</v>
      </c>
      <c r="B704" t="s">
        <v>2440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1866</v>
      </c>
      <c r="B705" t="s">
        <v>2441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1867</v>
      </c>
      <c r="B706" t="s">
        <v>2442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1868</v>
      </c>
      <c r="B707" t="s">
        <v>2443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1869</v>
      </c>
      <c r="B708" t="s">
        <v>2444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1870</v>
      </c>
      <c r="B709" t="s">
        <v>2445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1871</v>
      </c>
      <c r="B710" t="s">
        <v>2446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1872</v>
      </c>
      <c r="B711" t="s">
        <v>2447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1873</v>
      </c>
      <c r="B712" t="s">
        <v>2448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1874</v>
      </c>
      <c r="B713" t="s">
        <v>2449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1788</v>
      </c>
      <c r="B714" t="s">
        <v>2363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1875</v>
      </c>
      <c r="B715" t="s">
        <v>2450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1876</v>
      </c>
      <c r="B716" t="s">
        <v>2451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1877</v>
      </c>
      <c r="B717" t="s">
        <v>2452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1878</v>
      </c>
      <c r="B718" t="s">
        <v>2453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1879</v>
      </c>
      <c r="B719" t="s">
        <v>2454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1880</v>
      </c>
      <c r="B720" t="s">
        <v>2455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1881</v>
      </c>
      <c r="B721" t="s">
        <v>2456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1882</v>
      </c>
      <c r="B722" t="s">
        <v>2457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1883</v>
      </c>
      <c r="B723" t="s">
        <v>2458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1884</v>
      </c>
      <c r="B724" t="s">
        <v>2459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1885</v>
      </c>
      <c r="B725" t="s">
        <v>2460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1886</v>
      </c>
      <c r="B726" t="s">
        <v>2461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1887</v>
      </c>
      <c r="B727" t="s">
        <v>2462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1888</v>
      </c>
      <c r="B728" t="s">
        <v>2463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1889</v>
      </c>
      <c r="B729" t="s">
        <v>2464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1890</v>
      </c>
      <c r="B730" t="s">
        <v>2465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1891</v>
      </c>
      <c r="B731" t="s">
        <v>2466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1892</v>
      </c>
      <c r="B732" t="s">
        <v>2467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1893</v>
      </c>
      <c r="B733" t="s">
        <v>2468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1894</v>
      </c>
      <c r="B734" t="s">
        <v>2469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1895</v>
      </c>
      <c r="B735" t="s">
        <v>2470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1896</v>
      </c>
      <c r="B736" t="s">
        <v>2471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1897</v>
      </c>
      <c r="B737" t="s">
        <v>2472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1898</v>
      </c>
      <c r="B738" t="s">
        <v>2473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1899</v>
      </c>
      <c r="B739" t="s">
        <v>2474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1302</v>
      </c>
      <c r="B740" t="s">
        <v>2475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1788</v>
      </c>
      <c r="B741" t="s">
        <v>2476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1302</v>
      </c>
      <c r="B742" t="s">
        <v>2328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4672</v>
      </c>
      <c r="B743" t="s">
        <v>3224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4673</v>
      </c>
      <c r="B744" t="s">
        <v>3226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4674</v>
      </c>
      <c r="B745" t="s">
        <v>3228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4675</v>
      </c>
      <c r="B746" t="s">
        <v>3231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4676</v>
      </c>
      <c r="B747" t="s">
        <v>3233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4677</v>
      </c>
      <c r="B748" t="s">
        <v>3234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4678</v>
      </c>
      <c r="B749" t="s">
        <v>3237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4679</v>
      </c>
      <c r="B750" t="s">
        <v>3239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4680</v>
      </c>
      <c r="B751" t="s">
        <v>3240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4681</v>
      </c>
      <c r="B752" t="s">
        <v>3243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4682</v>
      </c>
      <c r="B753" t="s">
        <v>3245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4683</v>
      </c>
      <c r="B754" t="s">
        <v>3358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4684</v>
      </c>
      <c r="B755" t="s">
        <v>3247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4685</v>
      </c>
      <c r="B756" t="s">
        <v>3249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4686</v>
      </c>
      <c r="B757" t="s">
        <v>3250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4687</v>
      </c>
      <c r="B758" t="s">
        <v>3251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4688</v>
      </c>
      <c r="B759" t="s">
        <v>3252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4689</v>
      </c>
      <c r="B760" t="s">
        <v>3253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4690</v>
      </c>
      <c r="B761" t="s">
        <v>3254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4691</v>
      </c>
      <c r="B762" t="s">
        <v>3255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4692</v>
      </c>
      <c r="B763" t="s">
        <v>3256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4693</v>
      </c>
      <c r="B764" t="s">
        <v>3257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4694</v>
      </c>
      <c r="B765" t="s">
        <v>3267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4695</v>
      </c>
      <c r="B766" t="s">
        <v>3268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4696</v>
      </c>
      <c r="B767" t="s">
        <v>3269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4697</v>
      </c>
      <c r="B768" t="s">
        <v>3270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4698</v>
      </c>
      <c r="B769" t="s">
        <v>3271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4699</v>
      </c>
      <c r="B770" t="s">
        <v>3272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4700</v>
      </c>
      <c r="B771" t="s">
        <v>3273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4701</v>
      </c>
      <c r="B772" t="s">
        <v>3274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4702</v>
      </c>
      <c r="B773" t="s">
        <v>3275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4703</v>
      </c>
      <c r="B774" t="s">
        <v>3285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4704</v>
      </c>
      <c r="B775" t="s">
        <v>3286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4705</v>
      </c>
      <c r="B776" t="s">
        <v>3289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4706</v>
      </c>
      <c r="B777" t="s">
        <v>3292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4707</v>
      </c>
      <c r="B778" t="s">
        <v>3294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4708</v>
      </c>
      <c r="B779" t="s">
        <v>3295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4709</v>
      </c>
      <c r="B780" t="s">
        <v>3296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4710</v>
      </c>
      <c r="B781" t="s">
        <v>3297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4711</v>
      </c>
      <c r="B782" t="s">
        <v>3298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4712</v>
      </c>
      <c r="B783" t="s">
        <v>3299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4713</v>
      </c>
      <c r="B784" t="s">
        <v>3300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4714</v>
      </c>
      <c r="B785" t="s">
        <v>3301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4715</v>
      </c>
      <c r="B786" t="s">
        <v>3302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4716</v>
      </c>
      <c r="B787" t="s">
        <v>3315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4717</v>
      </c>
      <c r="B788" t="s">
        <v>3316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4718</v>
      </c>
      <c r="B789" t="s">
        <v>3317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4719</v>
      </c>
      <c r="B790" t="s">
        <v>3318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4720</v>
      </c>
      <c r="B791" t="s">
        <v>3319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4721</v>
      </c>
      <c r="B792" t="s">
        <v>3320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4722</v>
      </c>
      <c r="B793" t="s">
        <v>3321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4723</v>
      </c>
      <c r="B794" t="s">
        <v>3322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4724</v>
      </c>
      <c r="B795" t="s">
        <v>3323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4725</v>
      </c>
      <c r="B796" t="s">
        <v>3312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4726</v>
      </c>
      <c r="B797" t="s">
        <v>3313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4727</v>
      </c>
      <c r="B798" t="s">
        <v>3314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4728</v>
      </c>
      <c r="B799" t="s">
        <v>3336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4729</v>
      </c>
      <c r="B800" t="s">
        <v>3338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4730</v>
      </c>
      <c r="B801" t="s">
        <v>3339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4731</v>
      </c>
      <c r="B802" t="s">
        <v>3340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4732</v>
      </c>
      <c r="B803" t="s">
        <v>3341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4733</v>
      </c>
      <c r="B804" t="s">
        <v>3342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4734</v>
      </c>
      <c r="B805" t="s">
        <v>3343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4735</v>
      </c>
      <c r="B806" t="s">
        <v>3344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4736</v>
      </c>
      <c r="B807" t="s">
        <v>3345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4737</v>
      </c>
      <c r="B808" t="s">
        <v>3346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4738</v>
      </c>
      <c r="B809" t="s">
        <v>3356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4739</v>
      </c>
      <c r="B810" t="s">
        <v>3360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4740</v>
      </c>
      <c r="B811" t="s">
        <v>3362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4741</v>
      </c>
      <c r="B812" t="s">
        <v>3367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4742</v>
      </c>
      <c r="B813" t="s">
        <v>3368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4743</v>
      </c>
      <c r="B814" t="s">
        <v>3369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4744</v>
      </c>
      <c r="B815" t="s">
        <v>3370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4745</v>
      </c>
      <c r="B816" t="s">
        <v>3371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4746</v>
      </c>
      <c r="B817" t="s">
        <v>3372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4747</v>
      </c>
      <c r="B818" t="s">
        <v>3373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4748</v>
      </c>
      <c r="B819" t="s">
        <v>3374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4749</v>
      </c>
      <c r="B820" t="s">
        <v>3375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4750</v>
      </c>
      <c r="B821" t="s">
        <v>3364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4751</v>
      </c>
      <c r="B822" t="s">
        <v>3365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4752</v>
      </c>
      <c r="B823" t="s">
        <v>3366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4694</v>
      </c>
      <c r="B824" t="s">
        <v>3388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4695</v>
      </c>
      <c r="B825" t="s">
        <v>3389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4696</v>
      </c>
      <c r="B826" t="s">
        <v>3390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4697</v>
      </c>
      <c r="B827" t="s">
        <v>3391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4698</v>
      </c>
      <c r="B828" t="s">
        <v>3392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4699</v>
      </c>
      <c r="B829" t="s">
        <v>3393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4700</v>
      </c>
      <c r="B830" t="s">
        <v>3394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4701</v>
      </c>
      <c r="B831" t="s">
        <v>3395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4702</v>
      </c>
      <c r="B832" t="s">
        <v>3396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4753</v>
      </c>
      <c r="B833" t="s">
        <v>3397</v>
      </c>
      <c r="D833" t="b">
        <f>IFERROR(VLOOKUP(B833,PatData!$A$2:$A$2000,1,),"")&lt;&gt;""</f>
        <v>1</v>
      </c>
      <c r="E833" t="s">
        <v>688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4754</v>
      </c>
      <c r="B834" t="s">
        <v>3399</v>
      </c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4755</v>
      </c>
      <c r="B835" t="s">
        <v>3400</v>
      </c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4756</v>
      </c>
      <c r="B836" t="s">
        <v>3401</v>
      </c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4757</v>
      </c>
      <c r="B837" t="s">
        <v>3402</v>
      </c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4758</v>
      </c>
      <c r="B838" t="s">
        <v>3403</v>
      </c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4759</v>
      </c>
      <c r="B839" t="s">
        <v>3404</v>
      </c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4760</v>
      </c>
      <c r="B840" t="s">
        <v>3405</v>
      </c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4761</v>
      </c>
      <c r="B841" t="s">
        <v>3406</v>
      </c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4762</v>
      </c>
      <c r="B842" t="s">
        <v>3407</v>
      </c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4763</v>
      </c>
      <c r="B843" t="s">
        <v>3417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4764</v>
      </c>
      <c r="B844" t="s">
        <v>3418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4765</v>
      </c>
      <c r="B845" t="s">
        <v>3196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4766</v>
      </c>
      <c r="B846" t="s">
        <v>3197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4767</v>
      </c>
      <c r="B847" t="s">
        <v>3202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4768</v>
      </c>
      <c r="B848" t="s">
        <v>3203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4769</v>
      </c>
      <c r="B849" t="s">
        <v>3204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4770</v>
      </c>
      <c r="B850" t="s">
        <v>3205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4771</v>
      </c>
      <c r="B851" t="s">
        <v>3206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4772</v>
      </c>
      <c r="B852" t="s">
        <v>3207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4773</v>
      </c>
      <c r="B853" t="s">
        <v>3208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4774</v>
      </c>
      <c r="B854" t="s">
        <v>3209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4775</v>
      </c>
      <c r="B855" t="s">
        <v>3198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4776</v>
      </c>
      <c r="B856" t="s">
        <v>3199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4777</v>
      </c>
      <c r="B857" t="s">
        <v>3200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4778</v>
      </c>
      <c r="B858" t="s">
        <v>3201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4779</v>
      </c>
      <c r="B859" t="s">
        <v>3419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1914</v>
      </c>
      <c r="B860" t="s">
        <v>3421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1925</v>
      </c>
      <c r="B861" t="s">
        <v>3422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1936</v>
      </c>
      <c r="B862" t="s">
        <v>3423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1939</v>
      </c>
      <c r="B863" t="s">
        <v>3424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1940</v>
      </c>
      <c r="B864" t="s">
        <v>3425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1941</v>
      </c>
      <c r="B865" t="s">
        <v>3426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1942</v>
      </c>
      <c r="B866" t="s">
        <v>3427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1943</v>
      </c>
      <c r="B867" t="s">
        <v>3428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1944</v>
      </c>
      <c r="B868" t="s">
        <v>3429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1915</v>
      </c>
      <c r="B869" t="s">
        <v>3430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1916</v>
      </c>
      <c r="B870" t="s">
        <v>3431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1917</v>
      </c>
      <c r="B871" t="s">
        <v>3432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1918</v>
      </c>
      <c r="B872" t="s">
        <v>3433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1919</v>
      </c>
      <c r="B873" t="s">
        <v>3434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1920</v>
      </c>
      <c r="B874" t="s">
        <v>3435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1921</v>
      </c>
      <c r="B875" t="s">
        <v>3436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1922</v>
      </c>
      <c r="B876" t="s">
        <v>3437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1923</v>
      </c>
      <c r="B877" t="s">
        <v>3438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1924</v>
      </c>
      <c r="B878" t="s">
        <v>3439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1926</v>
      </c>
      <c r="B879" t="s">
        <v>3440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1927</v>
      </c>
      <c r="B880" t="s">
        <v>3441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1928</v>
      </c>
      <c r="B881" t="s">
        <v>3442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1929</v>
      </c>
      <c r="B882" t="s">
        <v>3443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1930</v>
      </c>
      <c r="B883" t="s">
        <v>3444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1931</v>
      </c>
      <c r="B884" t="s">
        <v>3445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1932</v>
      </c>
      <c r="B885" t="s">
        <v>3446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1933</v>
      </c>
      <c r="B886" t="s">
        <v>3447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1934</v>
      </c>
      <c r="B887" t="s">
        <v>3448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1935</v>
      </c>
      <c r="B888" t="s">
        <v>3449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1937</v>
      </c>
      <c r="B889" t="s">
        <v>3450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1938</v>
      </c>
      <c r="B890" t="s">
        <v>3451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1945</v>
      </c>
      <c r="B891" t="s">
        <v>3452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1956</v>
      </c>
      <c r="B892" t="s">
        <v>3453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1967</v>
      </c>
      <c r="B893" t="s">
        <v>3454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1970</v>
      </c>
      <c r="B894" t="s">
        <v>3455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1971</v>
      </c>
      <c r="B895" t="s">
        <v>3456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1972</v>
      </c>
      <c r="B896" t="s">
        <v>3457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1973</v>
      </c>
      <c r="B897" t="s">
        <v>3458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1974</v>
      </c>
      <c r="B898" t="s">
        <v>3459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1975</v>
      </c>
      <c r="B899" t="s">
        <v>3460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1946</v>
      </c>
      <c r="B900" t="s">
        <v>3461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1947</v>
      </c>
      <c r="B901" t="s">
        <v>3462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1948</v>
      </c>
      <c r="B902" t="s">
        <v>3463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1949</v>
      </c>
      <c r="B903" t="s">
        <v>3464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1950</v>
      </c>
      <c r="B904" t="s">
        <v>3465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1951</v>
      </c>
      <c r="B905" t="s">
        <v>3466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1952</v>
      </c>
      <c r="B906" t="s">
        <v>3467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1953</v>
      </c>
      <c r="B907" t="s">
        <v>3468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1954</v>
      </c>
      <c r="B908" t="s">
        <v>3469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1955</v>
      </c>
      <c r="B909" t="s">
        <v>3470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1957</v>
      </c>
      <c r="B910" t="s">
        <v>3471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1958</v>
      </c>
      <c r="B911" t="s">
        <v>3472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1959</v>
      </c>
      <c r="B912" t="s">
        <v>3473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1960</v>
      </c>
      <c r="B913" t="s">
        <v>3474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1961</v>
      </c>
      <c r="B914" t="s">
        <v>3475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1962</v>
      </c>
      <c r="B915" t="s">
        <v>3476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1963</v>
      </c>
      <c r="B916" t="s">
        <v>3477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1964</v>
      </c>
      <c r="B917" t="s">
        <v>3478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1965</v>
      </c>
      <c r="B918" t="s">
        <v>3479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1966</v>
      </c>
      <c r="B919" t="s">
        <v>3480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1968</v>
      </c>
      <c r="B920" t="s">
        <v>3481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1969</v>
      </c>
      <c r="B921" t="s">
        <v>3482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1976</v>
      </c>
      <c r="B922" t="s">
        <v>3483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1987</v>
      </c>
      <c r="B923" t="s">
        <v>3484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1998</v>
      </c>
      <c r="B924" t="s">
        <v>3485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2001</v>
      </c>
      <c r="B925" t="s">
        <v>3486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2002</v>
      </c>
      <c r="B926" t="s">
        <v>3487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2003</v>
      </c>
      <c r="B927" t="s">
        <v>3488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2004</v>
      </c>
      <c r="B928" t="s">
        <v>3489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2005</v>
      </c>
      <c r="B929" t="s">
        <v>3490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2006</v>
      </c>
      <c r="B930" t="s">
        <v>3491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1977</v>
      </c>
      <c r="B931" t="s">
        <v>3492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1978</v>
      </c>
      <c r="B932" t="s">
        <v>3493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1979</v>
      </c>
      <c r="B933" t="s">
        <v>3494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1980</v>
      </c>
      <c r="B934" t="s">
        <v>3495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1981</v>
      </c>
      <c r="B935" t="s">
        <v>3496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1982</v>
      </c>
      <c r="B936" t="s">
        <v>3497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1983</v>
      </c>
      <c r="B937" t="s">
        <v>3498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1984</v>
      </c>
      <c r="B938" t="s">
        <v>3499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1985</v>
      </c>
      <c r="B939" t="s">
        <v>3500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1986</v>
      </c>
      <c r="B940" t="s">
        <v>3501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1988</v>
      </c>
      <c r="B941" t="s">
        <v>3502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1989</v>
      </c>
      <c r="B942" t="s">
        <v>3503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1990</v>
      </c>
      <c r="B943" t="s">
        <v>3504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1991</v>
      </c>
      <c r="B944" t="s">
        <v>3505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1992</v>
      </c>
      <c r="B945" t="s">
        <v>3506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1993</v>
      </c>
      <c r="B946" t="s">
        <v>3507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1994</v>
      </c>
      <c r="B947" t="s">
        <v>3508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1995</v>
      </c>
      <c r="B948" t="s">
        <v>3509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1996</v>
      </c>
      <c r="B949" t="s">
        <v>3510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1997</v>
      </c>
      <c r="B950" t="s">
        <v>3511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1999</v>
      </c>
      <c r="B951" t="s">
        <v>3512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2000</v>
      </c>
      <c r="B952" t="s">
        <v>3513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2007</v>
      </c>
      <c r="B953" t="s">
        <v>3514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2018</v>
      </c>
      <c r="B954" t="s">
        <v>3515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2029</v>
      </c>
      <c r="B955" t="s">
        <v>3516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2032</v>
      </c>
      <c r="B956" t="s">
        <v>3517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2033</v>
      </c>
      <c r="B957" t="s">
        <v>3518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2034</v>
      </c>
      <c r="B958" t="s">
        <v>3519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2035</v>
      </c>
      <c r="B959" t="s">
        <v>3520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2036</v>
      </c>
      <c r="B960" t="s">
        <v>3521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2037</v>
      </c>
      <c r="B961" t="s">
        <v>3522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2008</v>
      </c>
      <c r="B962" t="s">
        <v>3523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2009</v>
      </c>
      <c r="B963" t="s">
        <v>3524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2010</v>
      </c>
      <c r="B964" t="s">
        <v>3525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2011</v>
      </c>
      <c r="B965" t="s">
        <v>3526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2012</v>
      </c>
      <c r="B966" t="s">
        <v>3527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2013</v>
      </c>
      <c r="B967" t="s">
        <v>3528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2014</v>
      </c>
      <c r="B968" t="s">
        <v>3529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2015</v>
      </c>
      <c r="B969" t="s">
        <v>3530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2016</v>
      </c>
      <c r="B970" t="s">
        <v>3531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2017</v>
      </c>
      <c r="B971" t="s">
        <v>3532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2019</v>
      </c>
      <c r="B972" t="s">
        <v>3533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2020</v>
      </c>
      <c r="B973" t="s">
        <v>3534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2021</v>
      </c>
      <c r="B974" t="s">
        <v>3535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2022</v>
      </c>
      <c r="B975" t="s">
        <v>3536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2023</v>
      </c>
      <c r="B976" t="s">
        <v>3537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2024</v>
      </c>
      <c r="B977" t="s">
        <v>3538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2025</v>
      </c>
      <c r="B978" t="s">
        <v>3539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2026</v>
      </c>
      <c r="B979" t="s">
        <v>3540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2027</v>
      </c>
      <c r="B980" t="s">
        <v>3541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2028</v>
      </c>
      <c r="B981" t="s">
        <v>3542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2030</v>
      </c>
      <c r="B982" t="s">
        <v>3543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2031</v>
      </c>
      <c r="B983" t="s">
        <v>3544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2038</v>
      </c>
      <c r="B984" t="s">
        <v>3545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2049</v>
      </c>
      <c r="B985" t="s">
        <v>3546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2060</v>
      </c>
      <c r="B986" t="s">
        <v>3547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2063</v>
      </c>
      <c r="B987" t="s">
        <v>3548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2064</v>
      </c>
      <c r="B988" t="s">
        <v>3549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2065</v>
      </c>
      <c r="B989" t="s">
        <v>3550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2066</v>
      </c>
      <c r="B990" t="s">
        <v>3551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2067</v>
      </c>
      <c r="B991" t="s">
        <v>3552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2068</v>
      </c>
      <c r="B992" t="s">
        <v>3553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2039</v>
      </c>
      <c r="B993" t="s">
        <v>3554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2040</v>
      </c>
      <c r="B994" t="s">
        <v>3555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2041</v>
      </c>
      <c r="B995" t="s">
        <v>3556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2042</v>
      </c>
      <c r="B996" t="s">
        <v>3557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2043</v>
      </c>
      <c r="B997" t="s">
        <v>3558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2044</v>
      </c>
      <c r="B998" t="s">
        <v>3559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2045</v>
      </c>
      <c r="B999" t="s">
        <v>3560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2046</v>
      </c>
      <c r="B1000" t="s">
        <v>3561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2047</v>
      </c>
      <c r="B1001" t="s">
        <v>3562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2048</v>
      </c>
      <c r="B1002" t="s">
        <v>3563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2050</v>
      </c>
      <c r="B1003" t="s">
        <v>3564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2051</v>
      </c>
      <c r="B1004" t="s">
        <v>3565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2052</v>
      </c>
      <c r="B1005" t="s">
        <v>3566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2053</v>
      </c>
      <c r="B1006" t="s">
        <v>3567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2054</v>
      </c>
      <c r="B1007" t="s">
        <v>3568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2055</v>
      </c>
      <c r="B1008" t="s">
        <v>3569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2056</v>
      </c>
      <c r="B1009" t="s">
        <v>3570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2057</v>
      </c>
      <c r="B1010" t="s">
        <v>3571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2058</v>
      </c>
      <c r="B1011" t="s">
        <v>3572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2059</v>
      </c>
      <c r="B1012" t="s">
        <v>3573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2061</v>
      </c>
      <c r="B1013" t="s">
        <v>3574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2062</v>
      </c>
      <c r="B1014" t="s">
        <v>3575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2069</v>
      </c>
      <c r="B1015" t="s">
        <v>3576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2080</v>
      </c>
      <c r="B1016" t="s">
        <v>3577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2091</v>
      </c>
      <c r="B1017" t="s">
        <v>3578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2094</v>
      </c>
      <c r="B1018" t="s">
        <v>3579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2095</v>
      </c>
      <c r="B1019" t="s">
        <v>3580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2096</v>
      </c>
      <c r="B1020" t="s">
        <v>3581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2097</v>
      </c>
      <c r="B1021" t="s">
        <v>3582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2098</v>
      </c>
      <c r="B1022" t="s">
        <v>3583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2099</v>
      </c>
      <c r="B1023" t="s">
        <v>3584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2070</v>
      </c>
      <c r="B1024" t="s">
        <v>3585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2071</v>
      </c>
      <c r="B1025" t="s">
        <v>3586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2072</v>
      </c>
      <c r="B1026" t="s">
        <v>3587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2073</v>
      </c>
      <c r="B1027" t="s">
        <v>3588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2074</v>
      </c>
      <c r="B1028" t="s">
        <v>3589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2075</v>
      </c>
      <c r="B1029" t="s">
        <v>3590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2076</v>
      </c>
      <c r="B1030" t="s">
        <v>3591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2077</v>
      </c>
      <c r="B1031" t="s">
        <v>3592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2078</v>
      </c>
      <c r="B1032" t="s">
        <v>3593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2079</v>
      </c>
      <c r="B1033" t="s">
        <v>3594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2081</v>
      </c>
      <c r="B1034" t="s">
        <v>3595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2082</v>
      </c>
      <c r="B1035" t="s">
        <v>3596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2083</v>
      </c>
      <c r="B1036" t="s">
        <v>3597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2084</v>
      </c>
      <c r="B1037" t="s">
        <v>3598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2085</v>
      </c>
      <c r="B1038" t="s">
        <v>3599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2086</v>
      </c>
      <c r="B1039" t="s">
        <v>3600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2087</v>
      </c>
      <c r="B1040" t="s">
        <v>3601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2088</v>
      </c>
      <c r="B1041" t="s">
        <v>3602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2089</v>
      </c>
      <c r="B1042" t="s">
        <v>3603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2090</v>
      </c>
      <c r="B1043" t="s">
        <v>3604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2092</v>
      </c>
      <c r="B1044" t="s">
        <v>3605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2093</v>
      </c>
      <c r="B1045" t="s">
        <v>3606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2100</v>
      </c>
      <c r="B1046" t="s">
        <v>3607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2111</v>
      </c>
      <c r="B1047" t="s">
        <v>3608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2122</v>
      </c>
      <c r="B1048" t="s">
        <v>3609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2125</v>
      </c>
      <c r="B1049" t="s">
        <v>3610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2126</v>
      </c>
      <c r="B1050" t="s">
        <v>3611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2127</v>
      </c>
      <c r="B1051" t="s">
        <v>3612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2128</v>
      </c>
      <c r="B1052" t="s">
        <v>3613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2129</v>
      </c>
      <c r="B1053" t="s">
        <v>3614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2130</v>
      </c>
      <c r="B1054" t="s">
        <v>3615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2101</v>
      </c>
      <c r="B1055" t="s">
        <v>3616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2102</v>
      </c>
      <c r="B1056" t="s">
        <v>3617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2103</v>
      </c>
      <c r="B1057" t="s">
        <v>3618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2104</v>
      </c>
      <c r="B1058" t="s">
        <v>3619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2105</v>
      </c>
      <c r="B1059" t="s">
        <v>3620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2106</v>
      </c>
      <c r="B1060" t="s">
        <v>3621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2107</v>
      </c>
      <c r="B1061" t="s">
        <v>3622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2108</v>
      </c>
      <c r="B1062" t="s">
        <v>3623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2109</v>
      </c>
      <c r="B1063" t="s">
        <v>3624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2110</v>
      </c>
      <c r="B1064" t="s">
        <v>3625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2112</v>
      </c>
      <c r="B1065" t="s">
        <v>3626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2113</v>
      </c>
      <c r="B1066" t="s">
        <v>3627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2114</v>
      </c>
      <c r="B1067" t="s">
        <v>3628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2115</v>
      </c>
      <c r="B1068" t="s">
        <v>3629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2116</v>
      </c>
      <c r="B1069" t="s">
        <v>3630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2117</v>
      </c>
      <c r="B1070" t="s">
        <v>3631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2118</v>
      </c>
      <c r="B1071" t="s">
        <v>3632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2119</v>
      </c>
      <c r="B1072" t="s">
        <v>3633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2120</v>
      </c>
      <c r="B1073" t="s">
        <v>3634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2121</v>
      </c>
      <c r="B1074" t="s">
        <v>3635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2123</v>
      </c>
      <c r="B1075" t="s">
        <v>3636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2124</v>
      </c>
      <c r="B1076" t="s">
        <v>3637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2131</v>
      </c>
      <c r="B1077" t="s">
        <v>3638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2142</v>
      </c>
      <c r="B1078" t="s">
        <v>3639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2153</v>
      </c>
      <c r="B1079" t="s">
        <v>3640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2156</v>
      </c>
      <c r="B1080" t="s">
        <v>3641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2157</v>
      </c>
      <c r="B1081" t="s">
        <v>3642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2158</v>
      </c>
      <c r="B1082" t="s">
        <v>3643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2159</v>
      </c>
      <c r="B1083" t="s">
        <v>3644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2160</v>
      </c>
      <c r="B1084" t="s">
        <v>3645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2161</v>
      </c>
      <c r="B1085" t="s">
        <v>3646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2132</v>
      </c>
      <c r="B1086" t="s">
        <v>3647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2133</v>
      </c>
      <c r="B1087" t="s">
        <v>3648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2134</v>
      </c>
      <c r="B1088" t="s">
        <v>3649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2135</v>
      </c>
      <c r="B1089" t="s">
        <v>3650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2136</v>
      </c>
      <c r="B1090" t="s">
        <v>3651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2137</v>
      </c>
      <c r="B1091" t="s">
        <v>3652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2138</v>
      </c>
      <c r="B1092" t="s">
        <v>3653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2139</v>
      </c>
      <c r="B1093" t="s">
        <v>3654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2140</v>
      </c>
      <c r="B1094" t="s">
        <v>3655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2141</v>
      </c>
      <c r="B1095" t="s">
        <v>3656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2143</v>
      </c>
      <c r="B1096" t="s">
        <v>3657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2144</v>
      </c>
      <c r="B1097" t="s">
        <v>3658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2145</v>
      </c>
      <c r="B1098" t="s">
        <v>3659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2146</v>
      </c>
      <c r="B1099" t="s">
        <v>3660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2147</v>
      </c>
      <c r="B1100" t="s">
        <v>3661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2148</v>
      </c>
      <c r="B1101" t="s">
        <v>3662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2149</v>
      </c>
      <c r="B1102" t="s">
        <v>3663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2150</v>
      </c>
      <c r="B1103" t="s">
        <v>3664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2151</v>
      </c>
      <c r="B1104" t="s">
        <v>3665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2152</v>
      </c>
      <c r="B1105" t="s">
        <v>3666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2154</v>
      </c>
      <c r="B1106" t="s">
        <v>3667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2155</v>
      </c>
      <c r="B1107" t="s">
        <v>3668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2162</v>
      </c>
      <c r="B1108" t="s">
        <v>3669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2163</v>
      </c>
      <c r="B1109" t="s">
        <v>3670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2174</v>
      </c>
      <c r="B1110" t="s">
        <v>3671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2185</v>
      </c>
      <c r="B1111" t="s">
        <v>3672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2189</v>
      </c>
      <c r="B1112" t="s">
        <v>3673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2190</v>
      </c>
      <c r="B1113" t="s">
        <v>3674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2191</v>
      </c>
      <c r="B1114" t="s">
        <v>3675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2192</v>
      </c>
      <c r="B1115" t="s">
        <v>3676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2193</v>
      </c>
      <c r="B1116" t="s">
        <v>3677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2194</v>
      </c>
      <c r="B1117" t="s">
        <v>3678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2164</v>
      </c>
      <c r="B1118" t="s">
        <v>3679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2165</v>
      </c>
      <c r="B1119" t="s">
        <v>3680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2166</v>
      </c>
      <c r="B1120" t="s">
        <v>3681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2167</v>
      </c>
      <c r="B1121" t="s">
        <v>3682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2168</v>
      </c>
      <c r="B1122" t="s">
        <v>3683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2169</v>
      </c>
      <c r="B1123" t="s">
        <v>3684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2170</v>
      </c>
      <c r="B1124" t="s">
        <v>3685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2171</v>
      </c>
      <c r="B1125" t="s">
        <v>3686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2172</v>
      </c>
      <c r="B1126" t="s">
        <v>3687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2173</v>
      </c>
      <c r="B1127" t="s">
        <v>3688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2175</v>
      </c>
      <c r="B1128" t="s">
        <v>3689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2176</v>
      </c>
      <c r="B1129" t="s">
        <v>3690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2177</v>
      </c>
      <c r="B1130" t="s">
        <v>3691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2178</v>
      </c>
      <c r="B1131" t="s">
        <v>3692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2179</v>
      </c>
      <c r="B1132" t="s">
        <v>3693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2180</v>
      </c>
      <c r="B1133" t="s">
        <v>3694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2181</v>
      </c>
      <c r="B1134" t="s">
        <v>3695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2182</v>
      </c>
      <c r="B1135" t="s">
        <v>3696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2183</v>
      </c>
      <c r="B1136" t="s">
        <v>3697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2184</v>
      </c>
      <c r="B1137" t="s">
        <v>3698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2186</v>
      </c>
      <c r="B1138" t="s">
        <v>3699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2187</v>
      </c>
      <c r="B1139" t="s">
        <v>3700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2188</v>
      </c>
      <c r="B1140" t="s">
        <v>3701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4780</v>
      </c>
      <c r="B1141" t="s">
        <v>4002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4781</v>
      </c>
      <c r="B1142" t="s">
        <v>4782</v>
      </c>
      <c r="D1142" t="b">
        <f>IFERROR(VLOOKUP(B1142,PatData!$A$2:$A$2000,1,),"")&lt;&gt;""</f>
        <v>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4783</v>
      </c>
      <c r="B1143" t="s">
        <v>4004</v>
      </c>
      <c r="D1143" t="b">
        <f>IFERROR(VLOOKUP(B1143,PatData!$A$2:$A$2000,1,),"")&lt;&gt;""</f>
        <v>1</v>
      </c>
      <c r="E1143">
        <v>100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4784</v>
      </c>
      <c r="B1144" t="s">
        <v>4005</v>
      </c>
      <c r="D1144" t="b">
        <f>IFERROR(VLOOKUP(B1144,PatData!$A$2:$A$2000,1,),"")&lt;&gt;""</f>
        <v>1</v>
      </c>
      <c r="E1144">
        <v>80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4785</v>
      </c>
      <c r="B1145" t="s">
        <v>4001</v>
      </c>
      <c r="D1145" t="b">
        <f>IFERROR(VLOOKUP(B1145,PatData!$A$2:$A$2000,1,),"")&lt;&gt;""</f>
        <v>1</v>
      </c>
      <c r="E1145">
        <v>42370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4786</v>
      </c>
      <c r="B1146" t="s">
        <v>4003</v>
      </c>
      <c r="D1146" t="b">
        <f>IFERROR(VLOOKUP(B1146,PatData!$A$2:$A$2000,1,),"")&lt;&gt;""</f>
        <v>1</v>
      </c>
      <c r="E1146">
        <v>30</v>
      </c>
      <c r="F1146" t="b">
        <v>0</v>
      </c>
      <c r="G1146" t="b">
        <v>1</v>
      </c>
      <c r="H1146" t="b">
        <v>0</v>
      </c>
      <c r="I1146" t="b">
        <v>0</v>
      </c>
    </row>
    <row r="1147" spans="1:9" x14ac:dyDescent="0.35">
      <c r="A1147" t="s">
        <v>4787</v>
      </c>
      <c r="B1147" t="s">
        <v>2477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4788</v>
      </c>
      <c r="B1148" t="s">
        <v>2478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4789</v>
      </c>
      <c r="B1149" t="s">
        <v>2479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4790</v>
      </c>
      <c r="B1150" t="s">
        <v>2480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4791</v>
      </c>
      <c r="B1151" t="s">
        <v>2481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4792</v>
      </c>
      <c r="B1152" t="s">
        <v>2482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4793</v>
      </c>
      <c r="B1153" t="s">
        <v>2483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4794</v>
      </c>
      <c r="B1154" t="s">
        <v>2484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4795</v>
      </c>
      <c r="B1155" t="s">
        <v>2485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4796</v>
      </c>
      <c r="B1156" t="s">
        <v>2486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4797</v>
      </c>
      <c r="B1157" t="s">
        <v>2487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4798</v>
      </c>
      <c r="B1158" t="s">
        <v>2488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4799</v>
      </c>
      <c r="B1159" t="s">
        <v>2489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4800</v>
      </c>
      <c r="B1160" t="s">
        <v>2490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4801</v>
      </c>
      <c r="B1161" t="s">
        <v>2491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4802</v>
      </c>
      <c r="B1162" t="s">
        <v>2492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4803</v>
      </c>
      <c r="B1163" t="s">
        <v>2493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4804</v>
      </c>
      <c r="B1164" t="s">
        <v>2494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4805</v>
      </c>
      <c r="B1165" t="s">
        <v>2495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4806</v>
      </c>
      <c r="B1166" t="s">
        <v>2496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4807</v>
      </c>
      <c r="B1167" t="s">
        <v>2497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4808</v>
      </c>
      <c r="B1168" t="s">
        <v>2498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4809</v>
      </c>
      <c r="B1169" t="s">
        <v>2499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4810</v>
      </c>
      <c r="B1170" t="s">
        <v>2500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4811</v>
      </c>
      <c r="B1171" t="s">
        <v>2501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4812</v>
      </c>
      <c r="B1172" t="s">
        <v>2502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4813</v>
      </c>
      <c r="B1173" t="s">
        <v>2503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4814</v>
      </c>
      <c r="B1174" t="s">
        <v>2504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4815</v>
      </c>
      <c r="B1175" t="s">
        <v>2505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4816</v>
      </c>
      <c r="B1176" t="s">
        <v>2506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4817</v>
      </c>
      <c r="B1177" t="s">
        <v>2507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4818</v>
      </c>
      <c r="B1178" t="s">
        <v>2508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4819</v>
      </c>
      <c r="B1179" t="s">
        <v>2509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4820</v>
      </c>
      <c r="B1180" t="s">
        <v>2510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4821</v>
      </c>
      <c r="B1181" t="s">
        <v>2511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4822</v>
      </c>
      <c r="B1182" t="s">
        <v>2512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4823</v>
      </c>
      <c r="B1183" t="s">
        <v>2513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4824</v>
      </c>
      <c r="B1184" t="s">
        <v>2514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4825</v>
      </c>
      <c r="B1185" t="s">
        <v>2515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4826</v>
      </c>
      <c r="B1186" t="s">
        <v>2516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4827</v>
      </c>
      <c r="B1187" t="s">
        <v>2517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4828</v>
      </c>
      <c r="B1188" t="s">
        <v>2518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4829</v>
      </c>
      <c r="B1189" t="s">
        <v>2519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4830</v>
      </c>
      <c r="B1190" t="s">
        <v>2520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4831</v>
      </c>
      <c r="B1191" t="s">
        <v>2521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4832</v>
      </c>
      <c r="B1192" t="s">
        <v>2522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4833</v>
      </c>
      <c r="B1193" t="s">
        <v>2523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4834</v>
      </c>
      <c r="B1194" t="s">
        <v>2524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4835</v>
      </c>
      <c r="B1195" t="s">
        <v>2525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4836</v>
      </c>
      <c r="B1196" t="s">
        <v>2526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4837</v>
      </c>
      <c r="B1197" t="s">
        <v>2527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4838</v>
      </c>
      <c r="B1198" t="s">
        <v>2528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4839</v>
      </c>
      <c r="B1199" t="s">
        <v>2529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4840</v>
      </c>
      <c r="B1200" t="s">
        <v>2530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4841</v>
      </c>
      <c r="B1201" t="s">
        <v>2531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4842</v>
      </c>
      <c r="B1202" t="s">
        <v>2532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4843</v>
      </c>
      <c r="B1203" t="s">
        <v>2533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4844</v>
      </c>
      <c r="B1204" t="s">
        <v>2534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4845</v>
      </c>
      <c r="B1205" t="s">
        <v>2535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4846</v>
      </c>
      <c r="B1206" t="s">
        <v>2536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4847</v>
      </c>
      <c r="B1207" t="s">
        <v>2537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4848</v>
      </c>
      <c r="B1208" t="s">
        <v>2538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4849</v>
      </c>
      <c r="B1209" t="s">
        <v>2539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4850</v>
      </c>
      <c r="B1210" t="s">
        <v>3702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4850</v>
      </c>
      <c r="B1211" t="s">
        <v>2540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4851</v>
      </c>
      <c r="B1212" t="s">
        <v>2541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4838</v>
      </c>
      <c r="B1213" t="s">
        <v>2356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1409</v>
      </c>
      <c r="B1214" t="s">
        <v>3703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1410</v>
      </c>
      <c r="B1215" t="s">
        <v>3704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1411</v>
      </c>
      <c r="B1216" t="s">
        <v>3705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1412</v>
      </c>
      <c r="B1217" t="s">
        <v>3706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1413</v>
      </c>
      <c r="B1218" t="s">
        <v>3707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1414</v>
      </c>
      <c r="B1219" t="s">
        <v>3708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1415</v>
      </c>
      <c r="B1220" t="s">
        <v>3709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1416</v>
      </c>
      <c r="B1221" t="s">
        <v>3710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2223</v>
      </c>
      <c r="B1222" t="s">
        <v>3711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1417</v>
      </c>
      <c r="B1223" t="s">
        <v>3712</v>
      </c>
      <c r="D1223" t="b">
        <f>IFERROR(VLOOKUP(B1223,PatData!$A$2:$A$2000,1,),"")&lt;&gt;""</f>
        <v>1</v>
      </c>
      <c r="E1223"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1418</v>
      </c>
      <c r="B1224" t="s">
        <v>3713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1419</v>
      </c>
      <c r="B1225" t="s">
        <v>3714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1420</v>
      </c>
      <c r="B1226" t="s">
        <v>3715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1421</v>
      </c>
      <c r="B1227" t="s">
        <v>3716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1422</v>
      </c>
      <c r="B1228" t="s">
        <v>3717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1423</v>
      </c>
      <c r="B1229" t="s">
        <v>3718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1424</v>
      </c>
      <c r="B1230" t="s">
        <v>3719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1425</v>
      </c>
      <c r="B1231" t="s">
        <v>3720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1426</v>
      </c>
      <c r="B1232" t="s">
        <v>3721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1427</v>
      </c>
      <c r="B1233" t="s">
        <v>3722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1428</v>
      </c>
      <c r="B1234" t="s">
        <v>3723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1429</v>
      </c>
      <c r="B1235" t="s">
        <v>3724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1430</v>
      </c>
      <c r="B1236" t="s">
        <v>3725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1431</v>
      </c>
      <c r="B1237" t="s">
        <v>3726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1432</v>
      </c>
      <c r="B1238" t="s">
        <v>3727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1433</v>
      </c>
      <c r="B1239" t="s">
        <v>3728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1434</v>
      </c>
      <c r="B1240" t="s">
        <v>1228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1435</v>
      </c>
      <c r="B1241" t="s">
        <v>1229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1436</v>
      </c>
      <c r="B1242" t="s">
        <v>1230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1437</v>
      </c>
      <c r="B1243" t="s">
        <v>1231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1438</v>
      </c>
      <c r="B1244" t="s">
        <v>1232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1439</v>
      </c>
      <c r="B1245" t="s">
        <v>1233</v>
      </c>
      <c r="D1245" t="b">
        <f>IFERROR(VLOOKUP(B1245,PatData!$A$2:$A$2000,1,),"")&lt;&gt;""</f>
        <v>1</v>
      </c>
      <c r="E1245"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2213</v>
      </c>
      <c r="B1246" t="s">
        <v>3729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1440</v>
      </c>
      <c r="B1247" t="s">
        <v>3730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1441</v>
      </c>
      <c r="B1248" t="s">
        <v>3731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1442</v>
      </c>
      <c r="B1249" t="s">
        <v>3732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1443</v>
      </c>
      <c r="B1250" t="s">
        <v>3733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1444</v>
      </c>
      <c r="B1251" t="s">
        <v>3734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1445</v>
      </c>
      <c r="B1252" t="s">
        <v>3735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1446</v>
      </c>
      <c r="B1253" t="s">
        <v>3736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1447</v>
      </c>
      <c r="B1254" t="s">
        <v>3737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1448</v>
      </c>
      <c r="B1255" t="s">
        <v>3738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1449</v>
      </c>
      <c r="B1256" t="s">
        <v>3739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1450</v>
      </c>
      <c r="B1257" t="s">
        <v>3740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1451</v>
      </c>
      <c r="B1258" t="s">
        <v>3741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1452</v>
      </c>
      <c r="B1259" t="s">
        <v>3742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1453</v>
      </c>
      <c r="B1260" t="s">
        <v>3743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1454</v>
      </c>
      <c r="B1261" t="s">
        <v>3744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1455</v>
      </c>
      <c r="B1262" t="s">
        <v>3745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1456</v>
      </c>
      <c r="B1263" t="s">
        <v>3746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1457</v>
      </c>
      <c r="B1264" t="s">
        <v>3747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1458</v>
      </c>
      <c r="B1265" t="s">
        <v>3748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1459</v>
      </c>
      <c r="B1266" t="s">
        <v>3749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1460</v>
      </c>
      <c r="B1267" t="s">
        <v>3750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1461</v>
      </c>
      <c r="B1268" t="s">
        <v>3751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1462</v>
      </c>
      <c r="B1269" t="s">
        <v>3752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1463</v>
      </c>
      <c r="B1270" t="s">
        <v>3753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1464</v>
      </c>
      <c r="B1271" t="s">
        <v>3754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1465</v>
      </c>
      <c r="B1272" t="s">
        <v>3755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1466</v>
      </c>
      <c r="B1273" t="s">
        <v>3756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1467</v>
      </c>
      <c r="B1274" t="s">
        <v>3757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1468</v>
      </c>
      <c r="B1275" t="s">
        <v>3758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1469</v>
      </c>
      <c r="B1276" t="s">
        <v>3759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1470</v>
      </c>
      <c r="B1277" t="s">
        <v>3760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1471</v>
      </c>
      <c r="B1278" t="s">
        <v>3761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1472</v>
      </c>
      <c r="B1279" t="s">
        <v>3762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1473</v>
      </c>
      <c r="B1280" t="s">
        <v>3763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1474</v>
      </c>
      <c r="B1281" t="s">
        <v>3764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1475</v>
      </c>
      <c r="B1282" t="s">
        <v>3765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1476</v>
      </c>
      <c r="B1283" t="s">
        <v>3766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1477</v>
      </c>
      <c r="B1284" t="s">
        <v>3767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1478</v>
      </c>
      <c r="B1285" t="s">
        <v>3768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1479</v>
      </c>
      <c r="B1286" t="s">
        <v>3769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1480</v>
      </c>
      <c r="B1287" t="s">
        <v>3770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1481</v>
      </c>
      <c r="B1288" t="s">
        <v>3771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1482</v>
      </c>
      <c r="B1289" t="s">
        <v>3772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1483</v>
      </c>
      <c r="B1290" t="s">
        <v>3773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1484</v>
      </c>
      <c r="B1291" t="s">
        <v>3774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1485</v>
      </c>
      <c r="B1292" t="s">
        <v>3775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1486</v>
      </c>
      <c r="B1293" t="s">
        <v>3776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1487</v>
      </c>
      <c r="B1294" t="s">
        <v>3777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1488</v>
      </c>
      <c r="B1295" t="s">
        <v>3778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1489</v>
      </c>
      <c r="B1296" t="s">
        <v>3779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1490</v>
      </c>
      <c r="B1297" t="s">
        <v>3780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1491</v>
      </c>
      <c r="B1298" t="s">
        <v>3781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1492</v>
      </c>
      <c r="B1299" t="s">
        <v>3782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1493</v>
      </c>
      <c r="B1300" t="s">
        <v>3783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1494</v>
      </c>
      <c r="B1301" t="s">
        <v>3784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1495</v>
      </c>
      <c r="B1302" t="s">
        <v>3785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1496</v>
      </c>
      <c r="B1303" t="s">
        <v>3786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1497</v>
      </c>
      <c r="B1304" t="s">
        <v>3787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1498</v>
      </c>
      <c r="B1305" t="s">
        <v>3788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1499</v>
      </c>
      <c r="B1306" t="s">
        <v>3789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1500</v>
      </c>
      <c r="B1307" t="s">
        <v>3790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1501</v>
      </c>
      <c r="B1308" t="s">
        <v>3791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1502</v>
      </c>
      <c r="B1309" t="s">
        <v>3792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1503</v>
      </c>
      <c r="B1310" t="s">
        <v>3793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1504</v>
      </c>
      <c r="B1311" t="s">
        <v>3794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1505</v>
      </c>
      <c r="B1312" t="s">
        <v>3795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1506</v>
      </c>
      <c r="B1313" t="s">
        <v>3796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1507</v>
      </c>
      <c r="B1314" t="s">
        <v>3797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1508</v>
      </c>
      <c r="B1315" t="s">
        <v>3798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1509</v>
      </c>
      <c r="B1316" t="s">
        <v>3799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1510</v>
      </c>
      <c r="B1317" t="s">
        <v>3800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1511</v>
      </c>
      <c r="B1318" t="s">
        <v>3801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1512</v>
      </c>
      <c r="B1319" t="s">
        <v>3802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1513</v>
      </c>
      <c r="B1320" t="s">
        <v>3803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1514</v>
      </c>
      <c r="B1321" t="s">
        <v>3804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1515</v>
      </c>
      <c r="B1322" t="s">
        <v>3805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1516</v>
      </c>
      <c r="B1323" t="s">
        <v>3806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1517</v>
      </c>
      <c r="B1324" t="s">
        <v>3807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1518</v>
      </c>
      <c r="B1325" t="s">
        <v>3808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1519</v>
      </c>
      <c r="B1326" t="s">
        <v>3809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1520</v>
      </c>
      <c r="B1327" t="s">
        <v>3810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1521</v>
      </c>
      <c r="B1328" t="s">
        <v>3811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1522</v>
      </c>
      <c r="B1329" t="s">
        <v>3812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1523</v>
      </c>
      <c r="B1330" t="s">
        <v>3813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1524</v>
      </c>
      <c r="B1331" t="s">
        <v>3814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1525</v>
      </c>
      <c r="B1332" t="s">
        <v>3815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1526</v>
      </c>
      <c r="B1333" t="s">
        <v>3816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1527</v>
      </c>
      <c r="B1334" t="s">
        <v>3817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1528</v>
      </c>
      <c r="B1335" t="s">
        <v>3818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1529</v>
      </c>
      <c r="B1336" t="s">
        <v>3819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1530</v>
      </c>
      <c r="B1337" t="s">
        <v>3820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1531</v>
      </c>
      <c r="B1338" t="s">
        <v>3821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1532</v>
      </c>
      <c r="B1339" t="s">
        <v>3822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1533</v>
      </c>
      <c r="B1340" t="s">
        <v>3823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1534</v>
      </c>
      <c r="B1341" t="s">
        <v>3824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1535</v>
      </c>
      <c r="B1342" t="s">
        <v>3825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1536</v>
      </c>
      <c r="B1343" t="s">
        <v>3826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1537</v>
      </c>
      <c r="B1344" t="s">
        <v>3827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1538</v>
      </c>
      <c r="B1345" t="s">
        <v>3828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1539</v>
      </c>
      <c r="B1346" t="s">
        <v>3829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1540</v>
      </c>
      <c r="B1347" t="s">
        <v>3830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1541</v>
      </c>
      <c r="B1348" t="s">
        <v>3831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1542</v>
      </c>
      <c r="B1349" t="s">
        <v>3832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1543</v>
      </c>
      <c r="B1350" t="s">
        <v>3833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1544</v>
      </c>
      <c r="B1351" t="s">
        <v>3834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1545</v>
      </c>
      <c r="B1352" t="s">
        <v>3835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1546</v>
      </c>
      <c r="B1353" t="s">
        <v>3836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1547</v>
      </c>
      <c r="B1354" t="s">
        <v>3837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1548</v>
      </c>
      <c r="B1355" t="s">
        <v>3838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1549</v>
      </c>
      <c r="B1356" t="s">
        <v>3839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1550</v>
      </c>
      <c r="B1357" t="s">
        <v>3840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1551</v>
      </c>
      <c r="B1358" t="s">
        <v>3841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1552</v>
      </c>
      <c r="B1359" t="s">
        <v>3842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1553</v>
      </c>
      <c r="B1360" t="s">
        <v>3843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1554</v>
      </c>
      <c r="B1361" t="s">
        <v>3844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1555</v>
      </c>
      <c r="B1362" t="s">
        <v>3845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1556</v>
      </c>
      <c r="B1363" t="s">
        <v>3846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1557</v>
      </c>
      <c r="B1364" t="s">
        <v>3847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1558</v>
      </c>
      <c r="B1365" t="s">
        <v>3848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1559</v>
      </c>
      <c r="B1366" t="s">
        <v>3849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1560</v>
      </c>
      <c r="B1367" t="s">
        <v>3850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1561</v>
      </c>
      <c r="B1368" t="s">
        <v>3851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1562</v>
      </c>
      <c r="B1369" t="s">
        <v>3852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1563</v>
      </c>
      <c r="B1370" t="s">
        <v>3853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1564</v>
      </c>
      <c r="B1371" t="s">
        <v>3854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2222</v>
      </c>
      <c r="B1372" t="s">
        <v>3855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1565</v>
      </c>
      <c r="B1373" t="s">
        <v>3856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1566</v>
      </c>
      <c r="B1374" t="s">
        <v>3857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1567</v>
      </c>
      <c r="B1375" t="s">
        <v>3858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1568</v>
      </c>
      <c r="B1376" t="s">
        <v>3859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1569</v>
      </c>
      <c r="B1377" t="s">
        <v>3860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1570</v>
      </c>
      <c r="B1378" t="s">
        <v>3861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1571</v>
      </c>
      <c r="B1379" t="s">
        <v>3862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1572</v>
      </c>
      <c r="B1380" t="s">
        <v>3863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1573</v>
      </c>
      <c r="B1381" t="s">
        <v>3864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1574</v>
      </c>
      <c r="B1382" t="s">
        <v>3865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1575</v>
      </c>
      <c r="B1383" t="s">
        <v>3866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1576</v>
      </c>
      <c r="B1384" t="s">
        <v>3867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1577</v>
      </c>
      <c r="B1385" t="s">
        <v>3868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1578</v>
      </c>
      <c r="B1386" t="s">
        <v>3869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1579</v>
      </c>
      <c r="B1387" t="s">
        <v>3870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1580</v>
      </c>
      <c r="B1388" t="s">
        <v>3871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1581</v>
      </c>
      <c r="B1389" t="s">
        <v>3872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1582</v>
      </c>
      <c r="B1390" t="s">
        <v>3873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1583</v>
      </c>
      <c r="B1391" t="s">
        <v>3874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1584</v>
      </c>
      <c r="B1392" t="s">
        <v>3875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1585</v>
      </c>
      <c r="B1393" t="s">
        <v>3876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1586</v>
      </c>
      <c r="B1394" t="s">
        <v>3877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1587</v>
      </c>
      <c r="B1395" t="s">
        <v>3878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1588</v>
      </c>
      <c r="B1396" t="s">
        <v>3879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1589</v>
      </c>
      <c r="B1397" t="s">
        <v>3880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1590</v>
      </c>
      <c r="B1398" t="s">
        <v>3881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1591</v>
      </c>
      <c r="B1399" t="s">
        <v>3882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1592</v>
      </c>
      <c r="B1400" t="s">
        <v>3883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1593</v>
      </c>
      <c r="B1401" t="s">
        <v>3884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1594</v>
      </c>
      <c r="B1402" t="s">
        <v>3885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1595</v>
      </c>
      <c r="B1403" t="s">
        <v>3886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1596</v>
      </c>
      <c r="B1404" t="s">
        <v>3887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1597</v>
      </c>
      <c r="B1405" t="s">
        <v>3888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1598</v>
      </c>
      <c r="B1406" t="s">
        <v>3889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1599</v>
      </c>
      <c r="B1407" t="s">
        <v>3890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1600</v>
      </c>
      <c r="B1408" t="s">
        <v>3891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1601</v>
      </c>
      <c r="B1409" t="s">
        <v>3892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1602</v>
      </c>
      <c r="B1410" t="s">
        <v>3893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1603</v>
      </c>
      <c r="B1411" t="s">
        <v>3894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1604</v>
      </c>
      <c r="B1412" t="s">
        <v>3895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1605</v>
      </c>
      <c r="B1413" t="s">
        <v>3896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1606</v>
      </c>
      <c r="B1414" t="s">
        <v>3897</v>
      </c>
      <c r="D1414" t="b">
        <f>IFERROR(VLOOKUP(B1414,PatData!$A$2:$A$2000,1,),"")&lt;&gt;""</f>
        <v>1</v>
      </c>
      <c r="E1414"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1607</v>
      </c>
      <c r="B1415" t="s">
        <v>3898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1608</v>
      </c>
      <c r="B1416" t="s">
        <v>3899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1609</v>
      </c>
      <c r="B1417" t="s">
        <v>3900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1610</v>
      </c>
      <c r="B1418" t="s">
        <v>3901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1611</v>
      </c>
      <c r="B1419" t="s">
        <v>3902</v>
      </c>
      <c r="D1419" t="b">
        <f>IFERROR(VLOOKUP(B1419,PatData!$A$2:$A$2000,1,),"")&lt;&gt;""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1612</v>
      </c>
      <c r="B1420" t="s">
        <v>3903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1613</v>
      </c>
      <c r="B1421" t="s">
        <v>3904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1614</v>
      </c>
      <c r="B1422" t="s">
        <v>3905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1615</v>
      </c>
      <c r="B1423" t="s">
        <v>3906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1616</v>
      </c>
      <c r="B1424" t="s">
        <v>3907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1617</v>
      </c>
      <c r="B1425" t="s">
        <v>3908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1618</v>
      </c>
      <c r="B1426" t="s">
        <v>3909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1619</v>
      </c>
      <c r="B1427" t="s">
        <v>3910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1620</v>
      </c>
      <c r="B1428" t="s">
        <v>3911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1621</v>
      </c>
      <c r="B1429" t="s">
        <v>3912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1622</v>
      </c>
      <c r="B1430" t="s">
        <v>3913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1623</v>
      </c>
      <c r="B1431" t="s">
        <v>3914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1624</v>
      </c>
      <c r="B1432" t="s">
        <v>3915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1625</v>
      </c>
      <c r="B1433" t="s">
        <v>3916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1626</v>
      </c>
      <c r="B1434" t="s">
        <v>3917</v>
      </c>
      <c r="D1434" t="b">
        <f>IFERROR(VLOOKUP(B1434,PatData!$A$2:$A$2000,1,),"")&lt;&gt;""</f>
        <v>1</v>
      </c>
      <c r="E1434"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1627</v>
      </c>
      <c r="B1435" t="s">
        <v>3918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1628</v>
      </c>
      <c r="B1436" t="s">
        <v>3919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1629</v>
      </c>
      <c r="B1437" t="s">
        <v>3920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1630</v>
      </c>
      <c r="B1438" t="s">
        <v>3921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1631</v>
      </c>
      <c r="B1439" t="s">
        <v>3922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1632</v>
      </c>
      <c r="B1440" t="s">
        <v>3923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1633</v>
      </c>
      <c r="B1441" t="s">
        <v>3924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1634</v>
      </c>
      <c r="B1442" t="s">
        <v>3925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1635</v>
      </c>
      <c r="B1443" t="s">
        <v>3926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1636</v>
      </c>
      <c r="B1444" t="s">
        <v>3927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1637</v>
      </c>
      <c r="B1445" t="s">
        <v>3928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1638</v>
      </c>
      <c r="B1446" t="s">
        <v>3929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1639</v>
      </c>
      <c r="B1447" t="s">
        <v>3930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1640</v>
      </c>
      <c r="B1448" t="s">
        <v>3931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1641</v>
      </c>
      <c r="B1449" t="s">
        <v>3932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2220</v>
      </c>
      <c r="B1450" t="s">
        <v>3933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1642</v>
      </c>
      <c r="B1451" t="s">
        <v>3934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1643</v>
      </c>
      <c r="B1452" t="s">
        <v>3935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1644</v>
      </c>
      <c r="B1453" t="s">
        <v>3936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1645</v>
      </c>
      <c r="B1454" t="s">
        <v>3937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1646</v>
      </c>
      <c r="B1455" t="s">
        <v>3938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1647</v>
      </c>
      <c r="B1456" t="s">
        <v>3939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1648</v>
      </c>
      <c r="B1457" t="s">
        <v>3940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1649</v>
      </c>
      <c r="B1458" t="s">
        <v>3941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1650</v>
      </c>
      <c r="B1459" t="s">
        <v>3942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1651</v>
      </c>
      <c r="B1460" t="s">
        <v>3943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1652</v>
      </c>
      <c r="B1461" t="s">
        <v>3944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1653</v>
      </c>
      <c r="B1462" t="s">
        <v>3945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1654</v>
      </c>
      <c r="B1463" t="s">
        <v>3946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1655</v>
      </c>
      <c r="B1464" t="s">
        <v>3947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1656</v>
      </c>
      <c r="B1465" t="s">
        <v>3948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1657</v>
      </c>
      <c r="B1466" t="s">
        <v>3949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1658</v>
      </c>
      <c r="B1467" t="s">
        <v>3950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1659</v>
      </c>
      <c r="B1468" t="s">
        <v>3951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1660</v>
      </c>
      <c r="B1469" t="s">
        <v>3952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1661</v>
      </c>
      <c r="B1470" t="s">
        <v>3953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1662</v>
      </c>
      <c r="B1471" t="s">
        <v>3954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1663</v>
      </c>
      <c r="B1472" t="s">
        <v>3955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1664</v>
      </c>
      <c r="B1473" t="s">
        <v>3956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1665</v>
      </c>
      <c r="B1474" t="s">
        <v>3957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1666</v>
      </c>
      <c r="B1475" t="s">
        <v>3958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1667</v>
      </c>
      <c r="B1476" t="s">
        <v>3959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1668</v>
      </c>
      <c r="B1477" t="s">
        <v>3960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1669</v>
      </c>
      <c r="B1478" t="s">
        <v>3961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1670</v>
      </c>
      <c r="B1479" t="s">
        <v>3962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1671</v>
      </c>
      <c r="B1480" t="s">
        <v>3963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1672</v>
      </c>
      <c r="B1481" t="s">
        <v>3964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1673</v>
      </c>
      <c r="B1482" t="s">
        <v>3965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1674</v>
      </c>
      <c r="B1483" t="s">
        <v>3966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1675</v>
      </c>
      <c r="B1484" t="s">
        <v>3967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1676</v>
      </c>
      <c r="B1485" t="s">
        <v>3968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1677</v>
      </c>
      <c r="B1486" t="s">
        <v>3969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1678</v>
      </c>
      <c r="B1487" t="s">
        <v>3970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1679</v>
      </c>
      <c r="B1488" t="s">
        <v>3971</v>
      </c>
      <c r="D1488" t="b">
        <f>IFERROR(VLOOKUP(B1488,PatData!$A$2:$A$2000,1,),"")&lt;&gt;""</f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1904</v>
      </c>
      <c r="B1489" t="s">
        <v>3972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1905</v>
      </c>
      <c r="B1490" t="s">
        <v>3973</v>
      </c>
      <c r="D1490" t="b">
        <f>IFERROR(VLOOKUP(B1490,PatData!$A$2:$A$2000,1,),"")&lt;&gt;""</f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1908</v>
      </c>
      <c r="B1491" t="s">
        <v>3974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1909</v>
      </c>
      <c r="B1492" t="s">
        <v>3975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1910</v>
      </c>
      <c r="B1493" t="s">
        <v>3976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1911</v>
      </c>
      <c r="B1494" t="s">
        <v>3977</v>
      </c>
      <c r="D1494" t="b">
        <f>IFERROR(VLOOKUP(B1494,PatData!$A$2:$A$2000,1,),"")&lt;&gt;""</f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2317</v>
      </c>
      <c r="B1495" t="s">
        <v>3978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1912</v>
      </c>
      <c r="B1496" t="s">
        <v>3979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1913</v>
      </c>
      <c r="B1497" t="s">
        <v>3980</v>
      </c>
      <c r="D1497" t="b">
        <f>IFERROR(VLOOKUP(B1497,PatData!$A$2:$A$2000,1,),"")&lt;&gt;""</f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2204</v>
      </c>
      <c r="B1498" t="s">
        <v>3981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2206</v>
      </c>
      <c r="B1499" t="s">
        <v>3982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2207</v>
      </c>
      <c r="B1500" t="s">
        <v>3983</v>
      </c>
      <c r="D1500" t="b">
        <f>IFERROR(VLOOKUP(B1500,PatData!$A$2:$A$2000,1,),"")&lt;&gt;""</f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2208</v>
      </c>
      <c r="B1501" t="s">
        <v>3984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2209</v>
      </c>
      <c r="B1502" t="s">
        <v>3985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2210</v>
      </c>
      <c r="B1503" t="s">
        <v>3986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2211</v>
      </c>
      <c r="B1504" t="s">
        <v>3987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2221</v>
      </c>
      <c r="B1505" t="s">
        <v>3988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2248</v>
      </c>
      <c r="B1506" t="s">
        <v>3989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2278</v>
      </c>
      <c r="B1507" t="s">
        <v>3990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2279</v>
      </c>
      <c r="B1508" t="s">
        <v>3991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2280</v>
      </c>
      <c r="B1509" t="s">
        <v>3992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2282</v>
      </c>
      <c r="B1510" t="s">
        <v>3993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2284</v>
      </c>
      <c r="B1511" t="s">
        <v>3994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2283</v>
      </c>
      <c r="B1512" t="s">
        <v>3995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2281</v>
      </c>
      <c r="B1513" t="s">
        <v>3996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2326</v>
      </c>
      <c r="B1514" t="s">
        <v>3997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2327</v>
      </c>
      <c r="B1515" t="s">
        <v>3998</v>
      </c>
      <c r="D1515" t="b">
        <f>IFERROR(VLOOKUP(B1515,PatData!$A$2:$A$2000,1,),"")&lt;&gt;""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2325</v>
      </c>
      <c r="B1516" t="s">
        <v>3999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e">
        <v>#NAME?</v>
      </c>
      <c r="B1517" t="s">
        <v>1234</v>
      </c>
      <c r="D1517" t="b">
        <f>IFERROR(VLOOKUP(B1517,PatData!$A$2:$A$2000,1,),"")&lt;&gt;""</f>
        <v>0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2252</v>
      </c>
      <c r="B1518" t="s">
        <v>1235</v>
      </c>
      <c r="D1518" t="b">
        <f>IFERROR(VLOOKUP(B1518,PatData!$A$2:$A$2000,1,),"")&lt;&gt;""</f>
        <v>0</v>
      </c>
      <c r="E1518" t="s">
        <v>4852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2253</v>
      </c>
      <c r="B1519" t="s">
        <v>1236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2254</v>
      </c>
      <c r="B1520" t="s">
        <v>1237</v>
      </c>
      <c r="D1520" t="b">
        <f>IFERROR(VLOOKUP(B1520,PatData!$A$2:$A$2000,1,),"")&lt;&gt;""</f>
        <v>0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2255</v>
      </c>
      <c r="B1521" t="s">
        <v>1238</v>
      </c>
      <c r="D1521" t="b">
        <f>IFERROR(VLOOKUP(B1521,PatData!$A$2:$A$2000,1,),"")&lt;&gt;""</f>
        <v>0</v>
      </c>
      <c r="E1521" t="s">
        <v>4853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2256</v>
      </c>
      <c r="B1522" t="s">
        <v>1239</v>
      </c>
      <c r="D1522" t="b">
        <f>IFERROR(VLOOKUP(B1522,PatData!$A$2:$A$2000,1,),"")&lt;&gt;""</f>
        <v>0</v>
      </c>
      <c r="E1522" t="s">
        <v>564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2257</v>
      </c>
      <c r="B1523" t="s">
        <v>1240</v>
      </c>
      <c r="D1523" t="b">
        <f>IFERROR(VLOOKUP(B1523,PatData!$A$2:$A$2000,1,),"")&lt;&gt;""</f>
        <v>0</v>
      </c>
      <c r="E1523" t="s">
        <v>4852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2258</v>
      </c>
      <c r="B1524" t="s">
        <v>1241</v>
      </c>
      <c r="D1524" t="b">
        <f>IFERROR(VLOOKUP(B1524,PatData!$A$2:$A$2000,1,),"")&lt;&gt;""</f>
        <v>0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2259</v>
      </c>
      <c r="B1525" t="s">
        <v>1242</v>
      </c>
      <c r="D1525" t="b">
        <f>IFERROR(VLOOKUP(B1525,PatData!$A$2:$A$2000,1,),"")&lt;&gt;""</f>
        <v>0</v>
      </c>
      <c r="E1525" t="s">
        <v>4853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2260</v>
      </c>
      <c r="B1526" t="s">
        <v>1243</v>
      </c>
      <c r="D1526" t="b">
        <f>IFERROR(VLOOKUP(B1526,PatData!$A$2:$A$2000,1,),"")&lt;&gt;""</f>
        <v>0</v>
      </c>
      <c r="E1526" t="s">
        <v>273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2261</v>
      </c>
      <c r="B1527" t="s">
        <v>1244</v>
      </c>
      <c r="D1527" t="b">
        <f>IFERROR(VLOOKUP(B1527,PatData!$A$2:$A$2000,1,),"")&lt;&gt;""</f>
        <v>0</v>
      </c>
      <c r="E1527" t="s">
        <v>273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2262</v>
      </c>
      <c r="B1528" t="s">
        <v>1245</v>
      </c>
      <c r="D1528" t="b">
        <f>IFERROR(VLOOKUP(B1528,PatData!$A$2:$A$2000,1,),"")&lt;&gt;""</f>
        <v>0</v>
      </c>
      <c r="E1528" t="s">
        <v>273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2263</v>
      </c>
      <c r="B1529" t="s">
        <v>1246</v>
      </c>
      <c r="D1529" t="b">
        <f>IFERROR(VLOOKUP(B1529,PatData!$A$2:$A$2000,1,),"")&lt;&gt;""</f>
        <v>0</v>
      </c>
      <c r="E1529" t="s">
        <v>273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2264</v>
      </c>
      <c r="B1530" t="s">
        <v>1247</v>
      </c>
      <c r="D1530" t="b">
        <f>IFERROR(VLOOKUP(B1530,PatData!$A$2:$A$2000,1,),"")&lt;&gt;""</f>
        <v>0</v>
      </c>
      <c r="E1530" t="s">
        <v>273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2265</v>
      </c>
      <c r="B1531" t="s">
        <v>1248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2266</v>
      </c>
      <c r="B1532" t="s">
        <v>1249</v>
      </c>
      <c r="D1532" t="b">
        <f>IFERROR(VLOOKUP(B1532,PatData!$A$2:$A$2000,1,),"")&lt;&gt;""</f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2267</v>
      </c>
      <c r="B1533" t="s">
        <v>1250</v>
      </c>
      <c r="D1533" t="b">
        <f>IFERROR(VLOOKUP(B1533,PatData!$A$2:$A$2000,1,),"")&lt;&gt;""</f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4854</v>
      </c>
      <c r="B1534" t="s">
        <v>1251</v>
      </c>
      <c r="D1534" t="b">
        <f>IFERROR(VLOOKUP(B1534,PatData!$A$2:$A$2000,1,),"")&lt;&gt;""</f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4855</v>
      </c>
      <c r="B1535" t="s">
        <v>1252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2268</v>
      </c>
      <c r="B1536" t="s">
        <v>1253</v>
      </c>
      <c r="D1536" t="b">
        <f>IFERROR(VLOOKUP(B1536,PatData!$A$2:$A$2000,1,),"")&lt;&gt;""</f>
        <v>0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2270</v>
      </c>
      <c r="B1537" t="s">
        <v>1254</v>
      </c>
      <c r="D1537" t="b">
        <f>IFERROR(VLOOKUP(B1537,PatData!$A$2:$A$2000,1,),"")&lt;&gt;""</f>
        <v>0</v>
      </c>
      <c r="E1537" t="s">
        <v>1213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2271</v>
      </c>
      <c r="B1538" t="s">
        <v>1255</v>
      </c>
      <c r="D1538" t="b">
        <f>IFERROR(VLOOKUP(B1538,PatData!$A$2:$A$2000,1,),"")&lt;&gt;""</f>
        <v>0</v>
      </c>
      <c r="E1538" t="s">
        <v>1207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2272</v>
      </c>
      <c r="B1539" t="s">
        <v>1256</v>
      </c>
      <c r="D1539" t="b">
        <f>IFERROR(VLOOKUP(B1539,PatData!$A$2:$A$2000,1,),"")&lt;&gt;""</f>
        <v>0</v>
      </c>
      <c r="E1539" t="b">
        <v>1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2273</v>
      </c>
      <c r="B1540" t="s">
        <v>1257</v>
      </c>
      <c r="D1540" t="b">
        <f>IFERROR(VLOOKUP(B1540,PatData!$A$2:$A$2000,1,),"")&lt;&gt;""</f>
        <v>0</v>
      </c>
      <c r="E1540" t="s">
        <v>1211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2274</v>
      </c>
      <c r="B1541" t="s">
        <v>1258</v>
      </c>
      <c r="D1541" t="b">
        <f>IFERROR(VLOOKUP(B1541,PatData!$A$2:$A$2000,1,),"")&lt;&gt;""</f>
        <v>0</v>
      </c>
      <c r="E1541" t="b">
        <v>1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2275</v>
      </c>
      <c r="B1542" t="s">
        <v>1259</v>
      </c>
      <c r="D1542" t="b">
        <f>IFERROR(VLOOKUP(B1542,PatData!$A$2:$A$2000,1,),"")&lt;&gt;""</f>
        <v>0</v>
      </c>
      <c r="E1542" t="s">
        <v>1204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2276</v>
      </c>
      <c r="B1543" t="s">
        <v>1260</v>
      </c>
      <c r="D1543" t="b">
        <f>IFERROR(VLOOKUP(B1543,PatData!$A$2:$A$2000,1,),"")&lt;&gt;""</f>
        <v>0</v>
      </c>
      <c r="E1543" t="s">
        <v>1205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2277</v>
      </c>
      <c r="B1544" t="s">
        <v>1261</v>
      </c>
      <c r="D1544" t="b">
        <f>IFERROR(VLOOKUP(B1544,PatData!$A$2:$A$2000,1,),"")&lt;&gt;""</f>
        <v>0</v>
      </c>
      <c r="E1544" t="s">
        <v>1209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4081</v>
      </c>
      <c r="B1545" t="s">
        <v>2554</v>
      </c>
      <c r="D1545" t="b">
        <f>IFERROR(VLOOKUP(B1545,PatData!$A$2:$A$2000,1,),"")&lt;&gt;""</f>
        <v>0</v>
      </c>
      <c r="E1545" t="s">
        <v>172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4082</v>
      </c>
      <c r="B1546" t="s">
        <v>4083</v>
      </c>
      <c r="D1546" t="b">
        <f>IFERROR(VLOOKUP(B1546,PatData!$A$2:$A$2000,1,),"")&lt;&gt;""</f>
        <v>0</v>
      </c>
      <c r="E1546" t="s">
        <v>4026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1906</v>
      </c>
      <c r="B1547" t="s">
        <v>2555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1907</v>
      </c>
      <c r="B1548" t="s">
        <v>2556</v>
      </c>
      <c r="D1548" t="b">
        <f>IFERROR(VLOOKUP(B1548,PatData!$A$2:$A$2000,1,),"")&lt;&gt;""</f>
        <v>0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2201</v>
      </c>
      <c r="B1549" t="s">
        <v>2595</v>
      </c>
      <c r="D1549" t="b">
        <f>IFERROR(VLOOKUP(B1549,PatData!$A$2:$A$2000,1,),"")&lt;&gt;""</f>
        <v>0</v>
      </c>
      <c r="E1549" t="s">
        <v>616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2195</v>
      </c>
      <c r="B1550" t="s">
        <v>2589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2196</v>
      </c>
      <c r="B1551" t="s">
        <v>2590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2197</v>
      </c>
      <c r="B1552" t="s">
        <v>2591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2205</v>
      </c>
      <c r="B1553" t="s">
        <v>4000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1716</v>
      </c>
      <c r="B1554" t="s">
        <v>2544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1715</v>
      </c>
      <c r="B1555" t="s">
        <v>2545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1717</v>
      </c>
      <c r="B1556" t="s">
        <v>2542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1718</v>
      </c>
      <c r="B1557" t="s">
        <v>2543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1719</v>
      </c>
      <c r="B1558" t="s">
        <v>2546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2212</v>
      </c>
      <c r="B1559" t="s">
        <v>2557</v>
      </c>
      <c r="D1559" t="b">
        <f>IFERROR(VLOOKUP(B1559,PatData!$A$2:$A$2000,1,),"")&lt;&gt;""</f>
        <v>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2198</v>
      </c>
      <c r="B1560" t="s">
        <v>2592</v>
      </c>
      <c r="D1560" t="b">
        <f>IFERROR(VLOOKUP(B1560,PatData!$A$2:$A$2000,1,),"")&lt;&gt;""</f>
        <v>0</v>
      </c>
      <c r="E1560" t="s">
        <v>966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2199</v>
      </c>
      <c r="B1561" t="s">
        <v>2593</v>
      </c>
      <c r="D1561" t="b">
        <f>IFERROR(VLOOKUP(B1561,PatData!$A$2:$A$2000,1,),"")&lt;&gt;""</f>
        <v>0</v>
      </c>
      <c r="E1561" t="s">
        <v>965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2200</v>
      </c>
      <c r="B1562" t="s">
        <v>2594</v>
      </c>
      <c r="D1562" t="b">
        <f>IFERROR(VLOOKUP(B1562,PatData!$A$2:$A$2000,1,),"")&lt;&gt;""</f>
        <v>0</v>
      </c>
      <c r="E1562" t="s">
        <v>305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2251</v>
      </c>
      <c r="B1563" t="s">
        <v>2560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2202</v>
      </c>
      <c r="B1564" t="s">
        <v>2596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2203</v>
      </c>
      <c r="B1565" t="s">
        <v>2597</v>
      </c>
      <c r="D1565" t="b">
        <f>IFERROR(VLOOKUP(B1565,PatData!$A$2:$A$2000,1,),"")&lt;&gt;""</f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2322</v>
      </c>
      <c r="B1566" t="s">
        <v>2602</v>
      </c>
      <c r="D1566" t="b">
        <f>IFERROR(VLOOKUP(B1566,PatData!$A$2:$A$2000,1,),"")&lt;&gt;""</f>
        <v>0</v>
      </c>
      <c r="E1566" t="s">
        <v>355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2285</v>
      </c>
      <c r="B1567" t="s">
        <v>2562</v>
      </c>
      <c r="D1567" t="b">
        <f>IFERROR(VLOOKUP(B1567,PatData!$A$2:$A$2000,1,),"")&lt;&gt;""</f>
        <v>0</v>
      </c>
      <c r="E1567"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4856</v>
      </c>
      <c r="B1568" t="s">
        <v>2353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4084</v>
      </c>
      <c r="B1569" t="s">
        <v>4085</v>
      </c>
      <c r="D1569" t="b">
        <f>IFERROR(VLOOKUP(B1569,PatData!$A$2:$A$2000,1,),"")&lt;&gt;""</f>
        <v>0</v>
      </c>
      <c r="E1569" t="s">
        <v>4008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4857</v>
      </c>
      <c r="B1570" t="s">
        <v>2359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4858</v>
      </c>
      <c r="B1571" t="s">
        <v>2360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4859</v>
      </c>
      <c r="B1572" t="s">
        <v>2358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4860</v>
      </c>
      <c r="B1573" t="s">
        <v>2362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4861</v>
      </c>
      <c r="B1574" t="s">
        <v>2355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4862</v>
      </c>
      <c r="B1575" t="s">
        <v>2354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4863</v>
      </c>
      <c r="B1576" t="s">
        <v>2357</v>
      </c>
      <c r="D1576" t="b">
        <f>IFERROR(VLOOKUP(B1576,PatData!$A$2:$A$2000,1,),"")&lt;&gt;""</f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2249</v>
      </c>
      <c r="B1577" t="s">
        <v>2558</v>
      </c>
      <c r="D1577" t="b">
        <f>IFERROR(VLOOKUP(B1577,PatData!$A$2:$A$2000,1,),"")&lt;&gt;""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2250</v>
      </c>
      <c r="B1578" t="s">
        <v>2559</v>
      </c>
      <c r="D1578" t="b">
        <f>IFERROR(VLOOKUP(B1578,PatData!$A$2:$A$2000,1,),"")&lt;&gt;""</f>
        <v>0</v>
      </c>
      <c r="E1578">
        <v>70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2318</v>
      </c>
      <c r="B1579" t="s">
        <v>2598</v>
      </c>
      <c r="D1579" t="b">
        <f>IFERROR(VLOOKUP(B1579,PatData!$A$2:$A$2000,1,),"")&lt;&gt;""</f>
        <v>0</v>
      </c>
      <c r="E1579" t="s">
        <v>355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2319</v>
      </c>
      <c r="B1580" t="s">
        <v>2599</v>
      </c>
      <c r="D1580" t="b">
        <f>IFERROR(VLOOKUP(B1580,PatData!$A$2:$A$2000,1,),"")&lt;&gt;""</f>
        <v>0</v>
      </c>
      <c r="E1580" t="s">
        <v>356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2320</v>
      </c>
      <c r="B1581" t="s">
        <v>2600</v>
      </c>
      <c r="D1581" t="b">
        <f>IFERROR(VLOOKUP(B1581,PatData!$A$2:$A$2000,1,),"")&lt;&gt;""</f>
        <v>0</v>
      </c>
      <c r="E1581" t="s">
        <v>42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2321</v>
      </c>
      <c r="B1582" t="s">
        <v>2601</v>
      </c>
      <c r="D1582" t="b">
        <f>IFERROR(VLOOKUP(B1582,PatData!$A$2:$A$2000,1,),"")&lt;&gt;""</f>
        <v>0</v>
      </c>
      <c r="E1582" t="s">
        <v>43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2323</v>
      </c>
      <c r="B1583" t="s">
        <v>2603</v>
      </c>
      <c r="D1583" t="b">
        <f>IFERROR(VLOOKUP(B1583,PatData!$A$2:$A$2000,1,),"")&lt;&gt;""</f>
        <v>0</v>
      </c>
      <c r="E1583" t="s">
        <v>84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2324</v>
      </c>
      <c r="B1584" t="s">
        <v>2604</v>
      </c>
      <c r="D1584" t="b">
        <f>IFERROR(VLOOKUP(B1584,PatData!$A$2:$A$2000,1,),"")&lt;&gt;""</f>
        <v>0</v>
      </c>
      <c r="E1584" t="s">
        <v>356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4864</v>
      </c>
      <c r="B1585" t="s">
        <v>2361</v>
      </c>
      <c r="D1585" t="b">
        <f>IFERROR(VLOOKUP(B1585,PatData!$A$2:$A$2000,1,),"")&lt;&gt;""</f>
        <v>0</v>
      </c>
      <c r="E1585">
        <v>1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2685</v>
      </c>
      <c r="B1586" t="s">
        <v>2561</v>
      </c>
      <c r="D1586" t="b">
        <f>IFERROR(VLOOKUP(B1586,PatData!$A$2:$A$2000,1,),"")&lt;&gt;""</f>
        <v>0</v>
      </c>
      <c r="E1586">
        <v>1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2286</v>
      </c>
      <c r="B1587" t="s">
        <v>1262</v>
      </c>
      <c r="D1587" t="b">
        <f>IFERROR(VLOOKUP(B1587,PatData!$A$2:$A$2000,1,),"")&lt;&gt;""</f>
        <v>0</v>
      </c>
      <c r="E1587"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2287</v>
      </c>
      <c r="B1588" t="s">
        <v>1086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2288</v>
      </c>
      <c r="B1589" t="s">
        <v>1263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2289</v>
      </c>
      <c r="B1590" t="s">
        <v>1085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2290</v>
      </c>
      <c r="B1591" t="s">
        <v>1082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2291</v>
      </c>
      <c r="B1592" t="s">
        <v>1084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2292</v>
      </c>
      <c r="B1593" t="s">
        <v>1083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2293</v>
      </c>
      <c r="B1594" t="s">
        <v>1264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2294</v>
      </c>
      <c r="B1595" t="s">
        <v>1081</v>
      </c>
      <c r="D1595" t="b">
        <f>IFERROR(VLOOKUP(B1595,PatData!$A$2:$A$2000,1,),"")&lt;&gt;""</f>
        <v>0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2295</v>
      </c>
      <c r="B1596" t="s">
        <v>1265</v>
      </c>
      <c r="D1596" t="b">
        <f>IFERROR(VLOOKUP(B1596,PatData!$A$2:$A$2000,1,),"")&lt;&gt;""</f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2296</v>
      </c>
      <c r="B1597" t="s">
        <v>1266</v>
      </c>
      <c r="D1597" t="b">
        <f>IFERROR(VLOOKUP(B1597,PatData!$A$2:$A$2000,1,),"")&lt;&gt;""</f>
        <v>0</v>
      </c>
      <c r="E1597">
        <v>2.4899999999999999E-2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2297</v>
      </c>
      <c r="B1598" t="s">
        <v>1267</v>
      </c>
      <c r="D1598" t="b">
        <f>IFERROR(VLOOKUP(B1598,PatData!$A$2:$A$2000,1,),"")&lt;&gt;""</f>
        <v>0</v>
      </c>
      <c r="E1598">
        <v>2.8205999999999998E-2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2298</v>
      </c>
      <c r="B1599" t="s">
        <v>1268</v>
      </c>
      <c r="D1599" t="b">
        <f>IFERROR(VLOOKUP(B1599,PatData!$A$2:$A$2000,1,),"")&lt;&gt;""</f>
        <v>0</v>
      </c>
      <c r="E1599">
        <v>1.7899999999999999E-2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2299</v>
      </c>
      <c r="B1600" t="s">
        <v>1269</v>
      </c>
      <c r="D1600" t="b">
        <f>IFERROR(VLOOKUP(B1600,PatData!$A$2:$A$2000,1,),"")&lt;&gt;""</f>
        <v>0</v>
      </c>
      <c r="E1600">
        <v>2.5641000000000001E-2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2300</v>
      </c>
      <c r="B1601" t="s">
        <v>1270</v>
      </c>
      <c r="D1601" t="b">
        <f>IFERROR(VLOOKUP(B1601,PatData!$A$2:$A$2000,1,),"")&lt;&gt;""</f>
        <v>0</v>
      </c>
      <c r="E1601">
        <v>4.1140999999999997E-2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2301</v>
      </c>
      <c r="B1602" t="s">
        <v>1271</v>
      </c>
      <c r="D1602" t="b">
        <f>IFERROR(VLOOKUP(B1602,PatData!$A$2:$A$2000,1,),"")&lt;&gt;""</f>
        <v>0</v>
      </c>
      <c r="E1602">
        <v>4.3478000000000003E-2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2302</v>
      </c>
      <c r="B1603" t="s">
        <v>1272</v>
      </c>
      <c r="D1603" t="b">
        <f>IFERROR(VLOOKUP(B1603,PatData!$A$2:$A$2000,1,),"")&lt;&gt;""</f>
        <v>0</v>
      </c>
      <c r="E1603">
        <v>3.2288999999999998E-2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2303</v>
      </c>
      <c r="B1604" t="s">
        <v>1273</v>
      </c>
      <c r="D1604" t="b">
        <f>IFERROR(VLOOKUP(B1604,PatData!$A$2:$A$2000,1,),"")&lt;&gt;""</f>
        <v>0</v>
      </c>
      <c r="E1604">
        <v>40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2304</v>
      </c>
      <c r="B1605" t="s">
        <v>1274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2305</v>
      </c>
      <c r="B1606" t="s">
        <v>1275</v>
      </c>
      <c r="D1606" t="b">
        <f>IFERROR(VLOOKUP(B1606,PatData!$A$2:$A$2000,1,),"")&lt;&gt;""</f>
        <v>0</v>
      </c>
      <c r="E1606">
        <v>1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2306</v>
      </c>
      <c r="B1607" t="s">
        <v>1276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2307</v>
      </c>
      <c r="B1608" t="s">
        <v>1277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2308</v>
      </c>
      <c r="B1609" t="s">
        <v>1278</v>
      </c>
      <c r="D1609" t="b">
        <f>IFERROR(VLOOKUP(B1609,PatData!$A$2:$A$2000,1,),"")&lt;&gt;""</f>
        <v>0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2309</v>
      </c>
      <c r="B1610" t="s">
        <v>1279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2310</v>
      </c>
      <c r="B1611" t="s">
        <v>1280</v>
      </c>
      <c r="D1611" t="b">
        <f>IFERROR(VLOOKUP(B1611,PatData!$A$2:$A$2000,1,),"")&lt;&gt;""</f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2311</v>
      </c>
      <c r="B1612" t="s">
        <v>1281</v>
      </c>
      <c r="D1612" t="b">
        <f>IFERROR(VLOOKUP(B1612,PatData!$A$2:$A$2000,1,),"")&lt;&gt;""</f>
        <v>0</v>
      </c>
      <c r="E1612" t="s">
        <v>541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2312</v>
      </c>
      <c r="B1613" t="s">
        <v>1282</v>
      </c>
      <c r="D1613" t="b">
        <f>IFERROR(VLOOKUP(B1613,PatData!$A$2:$A$2000,1,),"")&lt;&gt;""</f>
        <v>0</v>
      </c>
      <c r="E1613" t="s">
        <v>324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4865</v>
      </c>
      <c r="B1614" t="s">
        <v>1283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2313</v>
      </c>
      <c r="B1615" t="s">
        <v>1284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2314</v>
      </c>
      <c r="B1616" t="s">
        <v>1285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2315</v>
      </c>
      <c r="B1617" t="s">
        <v>1286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2316</v>
      </c>
      <c r="B1618" t="s">
        <v>1287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1300</v>
      </c>
      <c r="B1619" t="s">
        <v>2673</v>
      </c>
      <c r="D1619" t="b">
        <f>IFERROR(VLOOKUP(B1619,PatData!$A$2:$A$2000,1,),"")&lt;&gt;""</f>
        <v>0</v>
      </c>
      <c r="E1619" t="s">
        <v>2679</v>
      </c>
      <c r="F1619" t="b">
        <v>1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1301</v>
      </c>
      <c r="B1620" t="s">
        <v>2553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1344</v>
      </c>
      <c r="B1621" t="s">
        <v>4866</v>
      </c>
      <c r="D1621" t="b">
        <f>IFERROR(VLOOKUP(B1621,PatData!$A$2:$A$2000,1,),"")&lt;&gt;""</f>
        <v>0</v>
      </c>
      <c r="E1621" t="s">
        <v>4867</v>
      </c>
      <c r="F1621" t="b">
        <v>1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1355</v>
      </c>
      <c r="B1622" t="s">
        <v>4868</v>
      </c>
      <c r="D1622" t="b">
        <f>IFERROR(VLOOKUP(B1622,PatData!$A$2:$A$2000,1,),"")&lt;&gt;""</f>
        <v>0</v>
      </c>
      <c r="E1622" t="s">
        <v>4869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1364</v>
      </c>
      <c r="B1623" t="s">
        <v>4870</v>
      </c>
      <c r="D1623" t="b">
        <f>IFERROR(VLOOKUP(B1623,PatData!$A$2:$A$2000,1,),"")&lt;&gt;""</f>
        <v>0</v>
      </c>
      <c r="E1623" t="s">
        <v>4871</v>
      </c>
      <c r="F1623" t="b">
        <v>1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1365</v>
      </c>
      <c r="B1624" t="s">
        <v>4872</v>
      </c>
      <c r="D1624" t="b">
        <f>IFERROR(VLOOKUP(B1624,PatData!$A$2:$A$2000,1,),"")&lt;&gt;""</f>
        <v>0</v>
      </c>
      <c r="E1624" t="s">
        <v>4873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1366</v>
      </c>
      <c r="B1625" t="s">
        <v>4874</v>
      </c>
      <c r="D1625" t="b">
        <f>IFERROR(VLOOKUP(B1625,PatData!$A$2:$A$2000,1,),"")&lt;&gt;""</f>
        <v>0</v>
      </c>
      <c r="E1625" t="s">
        <v>4875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1367</v>
      </c>
      <c r="B1626" t="s">
        <v>4876</v>
      </c>
      <c r="D1626" t="b">
        <f>IFERROR(VLOOKUP(B1626,PatData!$A$2:$A$2000,1,),"")&lt;&gt;""</f>
        <v>0</v>
      </c>
      <c r="E1626" t="s">
        <v>4877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1368</v>
      </c>
      <c r="B1627" t="s">
        <v>4878</v>
      </c>
      <c r="D1627" t="b">
        <f>IFERROR(VLOOKUP(B1627,PatData!$A$2:$A$2000,1,),"")&lt;&gt;""</f>
        <v>0</v>
      </c>
      <c r="E1627" t="s">
        <v>4879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1369</v>
      </c>
      <c r="B1628" t="s">
        <v>4880</v>
      </c>
      <c r="D1628" t="b">
        <f>IFERROR(VLOOKUP(B1628,PatData!$A$2:$A$2000,1,),"")&lt;&gt;""</f>
        <v>0</v>
      </c>
      <c r="E1628" t="s">
        <v>4881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1370</v>
      </c>
      <c r="B1629" t="s">
        <v>4882</v>
      </c>
      <c r="D1629" t="b">
        <f>IFERROR(VLOOKUP(B1629,PatData!$A$2:$A$2000,1,),"")&lt;&gt;""</f>
        <v>0</v>
      </c>
      <c r="E1629" t="s">
        <v>4883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1345</v>
      </c>
      <c r="B1630" t="s">
        <v>4884</v>
      </c>
      <c r="D1630" t="b">
        <f>IFERROR(VLOOKUP(B1630,PatData!$A$2:$A$2000,1,),"")&lt;&gt;""</f>
        <v>0</v>
      </c>
      <c r="E1630" t="s">
        <v>4885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1346</v>
      </c>
      <c r="B1631" t="s">
        <v>4886</v>
      </c>
      <c r="D1631" t="b">
        <f>IFERROR(VLOOKUP(B1631,PatData!$A$2:$A$2000,1,),"")&lt;&gt;""</f>
        <v>0</v>
      </c>
      <c r="E1631" t="s">
        <v>4887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1347</v>
      </c>
      <c r="B1632" t="s">
        <v>4888</v>
      </c>
      <c r="D1632" t="b">
        <f>IFERROR(VLOOKUP(B1632,PatData!$A$2:$A$2000,1,),"")&lt;&gt;""</f>
        <v>0</v>
      </c>
      <c r="E1632" t="s">
        <v>4889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1348</v>
      </c>
      <c r="B1633" t="s">
        <v>4890</v>
      </c>
      <c r="D1633" t="b">
        <f>IFERROR(VLOOKUP(B1633,PatData!$A$2:$A$2000,1,),"")&lt;&gt;""</f>
        <v>0</v>
      </c>
      <c r="E1633" t="s">
        <v>4093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1349</v>
      </c>
      <c r="B1634" t="s">
        <v>4891</v>
      </c>
      <c r="D1634" t="b">
        <f>IFERROR(VLOOKUP(B1634,PatData!$A$2:$A$2000,1,),"")&lt;&gt;""</f>
        <v>0</v>
      </c>
      <c r="E1634" t="s">
        <v>4094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1350</v>
      </c>
      <c r="B1635" t="s">
        <v>4892</v>
      </c>
      <c r="D1635" t="b">
        <f>IFERROR(VLOOKUP(B1635,PatData!$A$2:$A$2000,1,),"")&lt;&gt;""</f>
        <v>0</v>
      </c>
      <c r="E1635" t="s">
        <v>4095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1351</v>
      </c>
      <c r="B1636" t="s">
        <v>4893</v>
      </c>
      <c r="D1636" t="b">
        <f>IFERROR(VLOOKUP(B1636,PatData!$A$2:$A$2000,1,),"")&lt;&gt;""</f>
        <v>0</v>
      </c>
      <c r="E1636" t="s">
        <v>4096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1352</v>
      </c>
      <c r="B1637" t="s">
        <v>4894</v>
      </c>
      <c r="D1637" t="b">
        <f>IFERROR(VLOOKUP(B1637,PatData!$A$2:$A$2000,1,),"")&lt;&gt;""</f>
        <v>0</v>
      </c>
      <c r="E1637" t="s">
        <v>4097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1353</v>
      </c>
      <c r="B1638" t="s">
        <v>4895</v>
      </c>
      <c r="D1638" t="b">
        <f>IFERROR(VLOOKUP(B1638,PatData!$A$2:$A$2000,1,),"")&lt;&gt;""</f>
        <v>0</v>
      </c>
      <c r="E1638" t="s">
        <v>4098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1354</v>
      </c>
      <c r="B1639" t="s">
        <v>4896</v>
      </c>
      <c r="D1639" t="b">
        <f>IFERROR(VLOOKUP(B1639,PatData!$A$2:$A$2000,1,),"")&lt;&gt;""</f>
        <v>0</v>
      </c>
      <c r="E1639" t="s">
        <v>4099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1356</v>
      </c>
      <c r="B1640" t="s">
        <v>4897</v>
      </c>
      <c r="D1640" t="b">
        <f>IFERROR(VLOOKUP(B1640,PatData!$A$2:$A$2000,1,),"")&lt;&gt;""</f>
        <v>0</v>
      </c>
      <c r="E1640" t="s">
        <v>4100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1357</v>
      </c>
      <c r="B1641" t="s">
        <v>4898</v>
      </c>
      <c r="D1641" t="b">
        <f>IFERROR(VLOOKUP(B1641,PatData!$A$2:$A$2000,1,),"")&lt;&gt;""</f>
        <v>0</v>
      </c>
      <c r="E1641" t="s">
        <v>4101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1358</v>
      </c>
      <c r="B1642" t="s">
        <v>4899</v>
      </c>
      <c r="D1642" t="b">
        <f>IFERROR(VLOOKUP(B1642,PatData!$A$2:$A$2000,1,),"")&lt;&gt;""</f>
        <v>0</v>
      </c>
      <c r="E1642" t="s">
        <v>4102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1359</v>
      </c>
      <c r="B1643" t="s">
        <v>4900</v>
      </c>
      <c r="D1643" t="b">
        <f>IFERROR(VLOOKUP(B1643,PatData!$A$2:$A$2000,1,),"")&lt;&gt;""</f>
        <v>0</v>
      </c>
      <c r="E1643" t="s">
        <v>4103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1360</v>
      </c>
      <c r="B1644" t="s">
        <v>4901</v>
      </c>
      <c r="D1644" t="b">
        <f>IFERROR(VLOOKUP(B1644,PatData!$A$2:$A$2000,1,),"")&lt;&gt;""</f>
        <v>0</v>
      </c>
      <c r="E1644" t="s">
        <v>4104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1361</v>
      </c>
      <c r="B1645" t="s">
        <v>4902</v>
      </c>
      <c r="D1645" t="b">
        <f>IFERROR(VLOOKUP(B1645,PatData!$A$2:$A$2000,1,),"")&lt;&gt;""</f>
        <v>0</v>
      </c>
      <c r="E1645" t="s">
        <v>4105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1362</v>
      </c>
      <c r="B1646" t="s">
        <v>4903</v>
      </c>
      <c r="D1646" t="b">
        <f>IFERROR(VLOOKUP(B1646,PatData!$A$2:$A$2000,1,),"")&lt;&gt;""</f>
        <v>0</v>
      </c>
      <c r="E1646" t="s">
        <v>4106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1363</v>
      </c>
      <c r="B1647" t="s">
        <v>4904</v>
      </c>
      <c r="D1647" t="b">
        <f>IFERROR(VLOOKUP(B1647,PatData!$A$2:$A$2000,1,),"")&lt;&gt;""</f>
        <v>0</v>
      </c>
      <c r="E1647" t="s">
        <v>4107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1371</v>
      </c>
      <c r="B1648" t="s">
        <v>4905</v>
      </c>
      <c r="D1648" t="b">
        <f>IFERROR(VLOOKUP(B1648,PatData!$A$2:$A$2000,1,),"")&lt;&gt;""</f>
        <v>0</v>
      </c>
      <c r="E1648" t="s">
        <v>4906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1378</v>
      </c>
      <c r="B1649" t="s">
        <v>4907</v>
      </c>
      <c r="D1649" t="b">
        <f>IFERROR(VLOOKUP(B1649,PatData!$A$2:$A$2000,1,),"")&lt;&gt;""</f>
        <v>0</v>
      </c>
      <c r="E1649" t="s">
        <v>4908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1379</v>
      </c>
      <c r="B1650" t="s">
        <v>4909</v>
      </c>
      <c r="D1650" t="b">
        <f>IFERROR(VLOOKUP(B1650,PatData!$A$2:$A$2000,1,),"")&lt;&gt;""</f>
        <v>0</v>
      </c>
      <c r="E1650" t="s">
        <v>4910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1380</v>
      </c>
      <c r="B1651" t="s">
        <v>4911</v>
      </c>
      <c r="D1651" t="b">
        <f>IFERROR(VLOOKUP(B1651,PatData!$A$2:$A$2000,1,),"")&lt;&gt;""</f>
        <v>0</v>
      </c>
      <c r="E1651" t="s">
        <v>4912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1381</v>
      </c>
      <c r="B1652" t="s">
        <v>4913</v>
      </c>
      <c r="D1652" t="b">
        <f>IFERROR(VLOOKUP(B1652,PatData!$A$2:$A$2000,1,),"")&lt;&gt;""</f>
        <v>0</v>
      </c>
      <c r="E1652" t="s">
        <v>4134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1382</v>
      </c>
      <c r="B1653" t="s">
        <v>4914</v>
      </c>
      <c r="D1653" t="b">
        <f>IFERROR(VLOOKUP(B1653,PatData!$A$2:$A$2000,1,),"")&lt;&gt;""</f>
        <v>0</v>
      </c>
      <c r="E1653" t="s">
        <v>4135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1383</v>
      </c>
      <c r="B1654" t="s">
        <v>4915</v>
      </c>
      <c r="D1654" t="b">
        <f>IFERROR(VLOOKUP(B1654,PatData!$A$2:$A$2000,1,),"")&lt;&gt;""</f>
        <v>0</v>
      </c>
      <c r="E1654" t="s">
        <v>4136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1384</v>
      </c>
      <c r="B1655" t="s">
        <v>4916</v>
      </c>
      <c r="D1655" t="b">
        <f>IFERROR(VLOOKUP(B1655,PatData!$A$2:$A$2000,1,),"")&lt;&gt;""</f>
        <v>0</v>
      </c>
      <c r="E1655" t="s">
        <v>4137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1385</v>
      </c>
      <c r="B1656" t="s">
        <v>4917</v>
      </c>
      <c r="D1656" t="b">
        <f>IFERROR(VLOOKUP(B1656,PatData!$A$2:$A$2000,1,),"")&lt;&gt;""</f>
        <v>0</v>
      </c>
      <c r="E1656" t="s">
        <v>4138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1372</v>
      </c>
      <c r="B1657" t="s">
        <v>4918</v>
      </c>
      <c r="D1657" t="b">
        <f>IFERROR(VLOOKUP(B1657,PatData!$A$2:$A$2000,1,),"")&lt;&gt;""</f>
        <v>0</v>
      </c>
      <c r="E1657" t="s">
        <v>4130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1373</v>
      </c>
      <c r="B1658" t="s">
        <v>4919</v>
      </c>
      <c r="D1658" t="b">
        <f>IFERROR(VLOOKUP(B1658,PatData!$A$2:$A$2000,1,),"")&lt;&gt;""</f>
        <v>0</v>
      </c>
      <c r="E1658" t="s">
        <v>4131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1374</v>
      </c>
      <c r="B1659" t="s">
        <v>4920</v>
      </c>
      <c r="D1659" t="b">
        <f>IFERROR(VLOOKUP(B1659,PatData!$A$2:$A$2000,1,),"")&lt;&gt;""</f>
        <v>0</v>
      </c>
      <c r="E1659" t="s">
        <v>4132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1375</v>
      </c>
      <c r="B1660" t="s">
        <v>4921</v>
      </c>
      <c r="D1660" t="b">
        <f>IFERROR(VLOOKUP(B1660,PatData!$A$2:$A$2000,1,),"")&lt;&gt;""</f>
        <v>0</v>
      </c>
      <c r="E1660" t="s">
        <v>4133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1376</v>
      </c>
      <c r="B1661" t="s">
        <v>4922</v>
      </c>
      <c r="D1661" t="b">
        <f>IFERROR(VLOOKUP(B1661,PatData!$A$2:$A$2000,1,),"")&lt;&gt;""</f>
        <v>0</v>
      </c>
      <c r="E1661" t="s">
        <v>4923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1377</v>
      </c>
      <c r="B1662" t="s">
        <v>4924</v>
      </c>
      <c r="D1662" t="b">
        <f>IFERROR(VLOOKUP(B1662,PatData!$A$2:$A$2000,1,),"")&lt;&gt;""</f>
        <v>0</v>
      </c>
      <c r="E1662" t="s">
        <v>4925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1901</v>
      </c>
      <c r="B1663" t="s">
        <v>2582</v>
      </c>
      <c r="D1663" t="b">
        <f>IFERROR(VLOOKUP(B1663,PatData!$A$2:$A$2000,1,),"")&lt;&gt;""</f>
        <v>0</v>
      </c>
      <c r="E1663" t="s">
        <v>4086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1902</v>
      </c>
      <c r="B1664" t="s">
        <v>2583</v>
      </c>
      <c r="D1664" t="b">
        <f>IFERROR(VLOOKUP(B1664,PatData!$A$2:$A$2000,1,),"")&lt;&gt;""</f>
        <v>0</v>
      </c>
      <c r="E1664" t="s">
        <v>4087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1903</v>
      </c>
      <c r="B1665" t="s">
        <v>2584</v>
      </c>
      <c r="D1665" t="b">
        <f>IFERROR(VLOOKUP(B1665,PatData!$A$2:$A$2000,1,),"")&lt;&gt;""</f>
        <v>0</v>
      </c>
      <c r="E1665" t="s">
        <v>4088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1303</v>
      </c>
      <c r="B1666" t="s">
        <v>2548</v>
      </c>
      <c r="D1666" t="b">
        <f>IFERROR(VLOOKUP(B1666,PatData!$A$2:$A$2000,1,),"")&lt;&gt;""</f>
        <v>0</v>
      </c>
      <c r="E1666" t="s">
        <v>4089</v>
      </c>
      <c r="F1666" t="b">
        <v>1</v>
      </c>
      <c r="G1666" t="b">
        <v>0</v>
      </c>
      <c r="H1666" t="b">
        <v>0</v>
      </c>
      <c r="I1666" t="b">
        <v>0</v>
      </c>
    </row>
    <row r="1667" spans="1:9" ht="333.25" x14ac:dyDescent="0.35">
      <c r="A1667" t="s">
        <v>1304</v>
      </c>
      <c r="B1667" t="s">
        <v>2549</v>
      </c>
      <c r="D1667" t="b">
        <f>IFERROR(VLOOKUP(B1667,PatData!$A$2:$A$2000,1,),"")&lt;&gt;""</f>
        <v>0</v>
      </c>
      <c r="E1667" s="22" t="s">
        <v>4090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4926</v>
      </c>
      <c r="B1668" t="s">
        <v>2552</v>
      </c>
      <c r="D1668" t="b">
        <f>IFERROR(VLOOKUP(B1668,PatData!$A$2:$A$2000,1,),"")&lt;&gt;""</f>
        <v>0</v>
      </c>
      <c r="E1668" t="s">
        <v>2680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1308</v>
      </c>
      <c r="B1669" t="s">
        <v>2674</v>
      </c>
      <c r="D1669" t="b">
        <f>IFERROR(VLOOKUP(B1669,PatData!$A$2:$A$2000,1,),"")&lt;&gt;""</f>
        <v>0</v>
      </c>
      <c r="E1669" t="s">
        <v>2680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1314</v>
      </c>
      <c r="B1670" t="s">
        <v>2550</v>
      </c>
      <c r="D1670" t="b">
        <f>IFERROR(VLOOKUP(B1670,PatData!$A$2:$A$2000,1,),"")&lt;&gt;""</f>
        <v>0</v>
      </c>
      <c r="E1670" t="s">
        <v>2681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1315</v>
      </c>
      <c r="B1671" t="s">
        <v>2551</v>
      </c>
      <c r="D1671" t="b">
        <f>IFERROR(VLOOKUP(B1671,PatData!$A$2:$A$2000,1,),"")&lt;&gt;""</f>
        <v>0</v>
      </c>
      <c r="E1671" t="s">
        <v>4006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4927</v>
      </c>
      <c r="B1672" t="s">
        <v>4928</v>
      </c>
      <c r="D1672" t="b">
        <f>IFERROR(VLOOKUP(B1672,PatData!$A$2:$A$2000,1,),"")&lt;&gt;""</f>
        <v>0</v>
      </c>
      <c r="E1672" t="s">
        <v>4929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4930</v>
      </c>
      <c r="B1673" t="s">
        <v>4931</v>
      </c>
      <c r="D1673" t="b">
        <f>IFERROR(VLOOKUP(B1673,PatData!$A$2:$A$2000,1,),"")&lt;&gt;""</f>
        <v>0</v>
      </c>
      <c r="E1673" t="s">
        <v>4932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4933</v>
      </c>
      <c r="B1674" t="s">
        <v>4934</v>
      </c>
      <c r="D1674" t="b">
        <f>IFERROR(VLOOKUP(B1674,PatData!$A$2:$A$2000,1,),"")&lt;&gt;""</f>
        <v>0</v>
      </c>
      <c r="E1674" t="s">
        <v>4935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4936</v>
      </c>
      <c r="B1675" t="s">
        <v>4937</v>
      </c>
      <c r="D1675" t="b">
        <f>IFERROR(VLOOKUP(B1675,PatData!$A$2:$A$2000,1,),"")&lt;&gt;""</f>
        <v>0</v>
      </c>
      <c r="E1675" t="s">
        <v>4938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4939</v>
      </c>
      <c r="B1676" t="s">
        <v>4940</v>
      </c>
      <c r="D1676" t="b">
        <f>IFERROR(VLOOKUP(B1676,PatData!$A$2:$A$2000,1,),"")&lt;&gt;""</f>
        <v>0</v>
      </c>
      <c r="E1676" t="s">
        <v>4941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4942</v>
      </c>
      <c r="B1677" t="s">
        <v>4943</v>
      </c>
      <c r="D1677" t="b">
        <f>IFERROR(VLOOKUP(B1677,PatData!$A$2:$A$2000,1,),"")&lt;&gt;""</f>
        <v>0</v>
      </c>
      <c r="E1677" t="s">
        <v>4944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4945</v>
      </c>
      <c r="B1678" t="s">
        <v>4946</v>
      </c>
      <c r="D1678" t="b">
        <f>IFERROR(VLOOKUP(B1678,PatData!$A$2:$A$2000,1,),"")&lt;&gt;""</f>
        <v>0</v>
      </c>
      <c r="E1678" t="s">
        <v>4947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4948</v>
      </c>
      <c r="B1679" t="s">
        <v>4949</v>
      </c>
      <c r="D1679" t="b">
        <f>IFERROR(VLOOKUP(B1679,PatData!$A$2:$A$2000,1,),"")&lt;&gt;""</f>
        <v>0</v>
      </c>
      <c r="E1679" t="s">
        <v>4950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4951</v>
      </c>
      <c r="B1680" t="s">
        <v>4952</v>
      </c>
      <c r="D1680" t="b">
        <f>IFERROR(VLOOKUP(B1680,PatData!$A$2:$A$2000,1,),"")&lt;&gt;""</f>
        <v>0</v>
      </c>
      <c r="E1680" t="s">
        <v>4953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4954</v>
      </c>
      <c r="B1681" t="s">
        <v>4955</v>
      </c>
      <c r="D1681" t="b">
        <f>IFERROR(VLOOKUP(B1681,PatData!$A$2:$A$2000,1,),"")&lt;&gt;""</f>
        <v>0</v>
      </c>
      <c r="E1681" t="s">
        <v>4956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4957</v>
      </c>
      <c r="B1682" t="s">
        <v>4958</v>
      </c>
      <c r="D1682" t="b">
        <f>IFERROR(VLOOKUP(B1682,PatData!$A$2:$A$2000,1,),"")&lt;&gt;""</f>
        <v>0</v>
      </c>
      <c r="E1682" t="s">
        <v>4959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4960</v>
      </c>
      <c r="B1683" t="s">
        <v>4961</v>
      </c>
      <c r="D1683" t="b">
        <f>IFERROR(VLOOKUP(B1683,PatData!$A$2:$A$2000,1,),"")&lt;&gt;""</f>
        <v>0</v>
      </c>
      <c r="E1683" t="s">
        <v>4962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4963</v>
      </c>
      <c r="B1684" t="s">
        <v>4964</v>
      </c>
      <c r="D1684" t="b">
        <f>IFERROR(VLOOKUP(B1684,PatData!$A$2:$A$2000,1,),"")&lt;&gt;""</f>
        <v>0</v>
      </c>
      <c r="E1684" t="s">
        <v>4965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4966</v>
      </c>
      <c r="B1685" t="s">
        <v>4967</v>
      </c>
      <c r="D1685" t="b">
        <f>IFERROR(VLOOKUP(B1685,PatData!$A$2:$A$2000,1,),"")&lt;&gt;""</f>
        <v>0</v>
      </c>
      <c r="E1685" t="s">
        <v>4968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4969</v>
      </c>
      <c r="B1686" t="s">
        <v>4970</v>
      </c>
      <c r="D1686" t="b">
        <f>IFERROR(VLOOKUP(B1686,PatData!$A$2:$A$2000,1,),"")&lt;&gt;""</f>
        <v>0</v>
      </c>
      <c r="E1686" t="s">
        <v>4971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4972</v>
      </c>
      <c r="B1687" t="s">
        <v>4973</v>
      </c>
      <c r="D1687" t="b">
        <f>IFERROR(VLOOKUP(B1687,PatData!$A$2:$A$2000,1,),"")&lt;&gt;""</f>
        <v>0</v>
      </c>
      <c r="E1687" t="s">
        <v>4091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4974</v>
      </c>
      <c r="B1688" t="s">
        <v>4975</v>
      </c>
      <c r="D1688" t="b">
        <f>IFERROR(VLOOKUP(B1688,PatData!$A$2:$A$2000,1,),"")&lt;&gt;""</f>
        <v>0</v>
      </c>
      <c r="E1688" t="s">
        <v>4092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4976</v>
      </c>
      <c r="B1689" t="s">
        <v>4977</v>
      </c>
      <c r="D1689" t="b">
        <f>IFERROR(VLOOKUP(B1689,PatData!$A$2:$A$2000,1,),"")&lt;&gt;""</f>
        <v>0</v>
      </c>
      <c r="E1689" t="s">
        <v>4108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4978</v>
      </c>
      <c r="B1690" t="s">
        <v>4979</v>
      </c>
      <c r="D1690" t="b">
        <f>IFERROR(VLOOKUP(B1690,PatData!$A$2:$A$2000,1,),"")&lt;&gt;""</f>
        <v>0</v>
      </c>
      <c r="E1690" t="s">
        <v>4109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4980</v>
      </c>
      <c r="B1691" t="s">
        <v>4981</v>
      </c>
      <c r="D1691" t="b">
        <f>IFERROR(VLOOKUP(B1691,PatData!$A$2:$A$2000,1,),"")&lt;&gt;""</f>
        <v>0</v>
      </c>
      <c r="E1691" t="s">
        <v>4110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4982</v>
      </c>
      <c r="B1692" t="s">
        <v>4983</v>
      </c>
      <c r="D1692" t="b">
        <f>IFERROR(VLOOKUP(B1692,PatData!$A$2:$A$2000,1,),"")&lt;&gt;""</f>
        <v>0</v>
      </c>
      <c r="E1692" t="s">
        <v>4111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4984</v>
      </c>
      <c r="B1693" t="s">
        <v>4985</v>
      </c>
      <c r="D1693" t="b">
        <f>IFERROR(VLOOKUP(B1693,PatData!$A$2:$A$2000,1,),"")&lt;&gt;""</f>
        <v>0</v>
      </c>
      <c r="E1693" t="s">
        <v>4112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4986</v>
      </c>
      <c r="B1694" t="s">
        <v>4987</v>
      </c>
      <c r="D1694" t="b">
        <f>IFERROR(VLOOKUP(B1694,PatData!$A$2:$A$2000,1,),"")&lt;&gt;""</f>
        <v>0</v>
      </c>
      <c r="E1694" t="s">
        <v>4113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4988</v>
      </c>
      <c r="B1695" t="s">
        <v>4989</v>
      </c>
      <c r="D1695" t="b">
        <f>IFERROR(VLOOKUP(B1695,PatData!$A$2:$A$2000,1,),"")&lt;&gt;""</f>
        <v>0</v>
      </c>
      <c r="E1695" t="s">
        <v>4114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4990</v>
      </c>
      <c r="B1696" t="s">
        <v>4991</v>
      </c>
      <c r="D1696" t="b">
        <f>IFERROR(VLOOKUP(B1696,PatData!$A$2:$A$2000,1,),"")&lt;&gt;""</f>
        <v>0</v>
      </c>
      <c r="E1696" t="s">
        <v>4115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4992</v>
      </c>
      <c r="B1697" t="s">
        <v>4993</v>
      </c>
      <c r="D1697" t="b">
        <f>IFERROR(VLOOKUP(B1697,PatData!$A$2:$A$2000,1,),"")&lt;&gt;""</f>
        <v>0</v>
      </c>
      <c r="E1697" t="s">
        <v>4116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4994</v>
      </c>
      <c r="B1698" t="s">
        <v>4995</v>
      </c>
      <c r="D1698" t="b">
        <f>IFERROR(VLOOKUP(B1698,PatData!$A$2:$A$2000,1,),"")&lt;&gt;""</f>
        <v>0</v>
      </c>
      <c r="E1698" t="s">
        <v>4107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4996</v>
      </c>
      <c r="B1699" t="s">
        <v>4997</v>
      </c>
      <c r="D1699" t="b">
        <f>IFERROR(VLOOKUP(B1699,PatData!$A$2:$A$2000,1,),"")&lt;&gt;""</f>
        <v>0</v>
      </c>
      <c r="E1699" t="s">
        <v>4998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4999</v>
      </c>
      <c r="B1700" t="s">
        <v>5000</v>
      </c>
      <c r="D1700" t="b">
        <f>IFERROR(VLOOKUP(B1700,PatData!$A$2:$A$2000,1,),"")&lt;&gt;""</f>
        <v>0</v>
      </c>
      <c r="E1700" t="s">
        <v>5001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5002</v>
      </c>
      <c r="B1701" t="s">
        <v>5003</v>
      </c>
      <c r="D1701" t="b">
        <f>IFERROR(VLOOKUP(B1701,PatData!$A$2:$A$2000,1,),"")&lt;&gt;""</f>
        <v>0</v>
      </c>
      <c r="E1701" t="s">
        <v>5004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5005</v>
      </c>
      <c r="B1702" t="s">
        <v>5006</v>
      </c>
      <c r="D1702" t="b">
        <f>IFERROR(VLOOKUP(B1702,PatData!$A$2:$A$2000,1,),"")&lt;&gt;""</f>
        <v>0</v>
      </c>
      <c r="E1702" t="s">
        <v>5007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5008</v>
      </c>
      <c r="B1703" t="s">
        <v>5009</v>
      </c>
      <c r="D1703" t="b">
        <f>IFERROR(VLOOKUP(B1703,PatData!$A$2:$A$2000,1,),"")&lt;&gt;""</f>
        <v>0</v>
      </c>
      <c r="E1703" t="s">
        <v>4139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5010</v>
      </c>
      <c r="B1704" t="s">
        <v>5011</v>
      </c>
      <c r="D1704" t="b">
        <f>IFERROR(VLOOKUP(B1704,PatData!$A$2:$A$2000,1,),"")&lt;&gt;""</f>
        <v>0</v>
      </c>
      <c r="E1704" t="s">
        <v>4140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5012</v>
      </c>
      <c r="B1705" t="s">
        <v>5013</v>
      </c>
      <c r="D1705" t="b">
        <f>IFERROR(VLOOKUP(B1705,PatData!$A$2:$A$2000,1,),"")&lt;&gt;""</f>
        <v>0</v>
      </c>
      <c r="E1705" t="s">
        <v>4141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5014</v>
      </c>
      <c r="B1706" t="s">
        <v>5015</v>
      </c>
      <c r="D1706" t="b">
        <f>IFERROR(VLOOKUP(B1706,PatData!$A$2:$A$2000,1,),"")&lt;&gt;""</f>
        <v>0</v>
      </c>
      <c r="E1706" t="s">
        <v>4142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5016</v>
      </c>
      <c r="B1707" t="s">
        <v>5017</v>
      </c>
      <c r="D1707" t="b">
        <f>IFERROR(VLOOKUP(B1707,PatData!$A$2:$A$2000,1,),"")&lt;&gt;""</f>
        <v>0</v>
      </c>
      <c r="E1707" t="s">
        <v>4143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5018</v>
      </c>
      <c r="B1708" t="s">
        <v>5019</v>
      </c>
      <c r="D1708" t="b">
        <f>IFERROR(VLOOKUP(B1708,PatData!$A$2:$A$2000,1,),"")&lt;&gt;""</f>
        <v>0</v>
      </c>
      <c r="E1708" t="s">
        <v>4126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5020</v>
      </c>
      <c r="B1709" t="s">
        <v>5021</v>
      </c>
      <c r="D1709" t="b">
        <f>IFERROR(VLOOKUP(B1709,PatData!$A$2:$A$2000,1,),"")&lt;&gt;""</f>
        <v>0</v>
      </c>
      <c r="E1709" t="s">
        <v>4127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5022</v>
      </c>
      <c r="B1710" t="s">
        <v>5023</v>
      </c>
      <c r="D1710" t="b">
        <f>IFERROR(VLOOKUP(B1710,PatData!$A$2:$A$2000,1,),"")&lt;&gt;""</f>
        <v>0</v>
      </c>
      <c r="E1710" t="s">
        <v>4128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5024</v>
      </c>
      <c r="B1711" t="s">
        <v>5025</v>
      </c>
      <c r="D1711" t="b">
        <f>IFERROR(VLOOKUP(B1711,PatData!$A$2:$A$2000,1,),"")&lt;&gt;""</f>
        <v>0</v>
      </c>
      <c r="E1711" t="s">
        <v>4129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5026</v>
      </c>
      <c r="B1712" t="s">
        <v>5027</v>
      </c>
      <c r="D1712" t="b">
        <f>IFERROR(VLOOKUP(B1712,PatData!$A$2:$A$2000,1,),"")&lt;&gt;""</f>
        <v>0</v>
      </c>
      <c r="E1712" t="s">
        <v>5028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5029</v>
      </c>
      <c r="B1713" t="s">
        <v>5030</v>
      </c>
      <c r="D1713" t="b">
        <f>IFERROR(VLOOKUP(B1713,PatData!$A$2:$A$2000,1,),"")&lt;&gt;""</f>
        <v>0</v>
      </c>
      <c r="E1713" t="s">
        <v>5031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5032</v>
      </c>
      <c r="B1714" t="s">
        <v>2564</v>
      </c>
      <c r="D1714" t="b">
        <f>IFERROR(VLOOKUP(B1714,PatData!$A$2:$A$2000,1,),"")&lt;&gt;""</f>
        <v>0</v>
      </c>
      <c r="E1714" t="s">
        <v>5033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5034</v>
      </c>
      <c r="B1715" t="s">
        <v>2565</v>
      </c>
      <c r="D1715" t="b">
        <f>IFERROR(VLOOKUP(B1715,PatData!$A$2:$A$2000,1,),"")&lt;&gt;""</f>
        <v>0</v>
      </c>
      <c r="E1715" t="s">
        <v>5035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5036</v>
      </c>
      <c r="B1716" t="s">
        <v>2566</v>
      </c>
      <c r="D1716" t="b">
        <f>IFERROR(VLOOKUP(B1716,PatData!$A$2:$A$2000,1,),"")&lt;&gt;""</f>
        <v>0</v>
      </c>
      <c r="E1716" t="s">
        <v>5037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5038</v>
      </c>
      <c r="B1717" t="s">
        <v>2567</v>
      </c>
      <c r="D1717" t="b">
        <f>IFERROR(VLOOKUP(B1717,PatData!$A$2:$A$2000,1,),"")&lt;&gt;""</f>
        <v>0</v>
      </c>
      <c r="E1717" t="s">
        <v>5039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5040</v>
      </c>
      <c r="B1718" t="s">
        <v>2568</v>
      </c>
      <c r="D1718" t="b">
        <f>IFERROR(VLOOKUP(B1718,PatData!$A$2:$A$2000,1,),"")&lt;&gt;""</f>
        <v>0</v>
      </c>
      <c r="E1718" t="s">
        <v>5041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5042</v>
      </c>
      <c r="B1719" t="s">
        <v>2569</v>
      </c>
      <c r="D1719" t="b">
        <f>IFERROR(VLOOKUP(B1719,PatData!$A$2:$A$2000,1,),"")&lt;&gt;""</f>
        <v>0</v>
      </c>
      <c r="E1719" t="s">
        <v>5043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5044</v>
      </c>
      <c r="B1720" t="s">
        <v>2570</v>
      </c>
      <c r="D1720" t="b">
        <f>IFERROR(VLOOKUP(B1720,PatData!$A$2:$A$2000,1,),"")&lt;&gt;""</f>
        <v>0</v>
      </c>
      <c r="E1720" t="s">
        <v>5045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5046</v>
      </c>
      <c r="B1721" t="s">
        <v>2571</v>
      </c>
      <c r="D1721" t="b">
        <f>IFERROR(VLOOKUP(B1721,PatData!$A$2:$A$2000,1,),"")&lt;&gt;""</f>
        <v>0</v>
      </c>
      <c r="E1721" t="s">
        <v>5047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5048</v>
      </c>
      <c r="B1722" t="s">
        <v>2572</v>
      </c>
      <c r="D1722" t="b">
        <f>IFERROR(VLOOKUP(B1722,PatData!$A$2:$A$2000,1,),"")&lt;&gt;""</f>
        <v>0</v>
      </c>
      <c r="E1722" t="s">
        <v>5049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1680</v>
      </c>
      <c r="B1723" t="s">
        <v>2573</v>
      </c>
      <c r="D1723" t="b">
        <f>IFERROR(VLOOKUP(B1723,PatData!$A$2:$A$2000,1,),"")&lt;&gt;""</f>
        <v>0</v>
      </c>
      <c r="E1723" t="s">
        <v>4117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1681</v>
      </c>
      <c r="B1724" t="s">
        <v>2574</v>
      </c>
      <c r="D1724" t="b">
        <f>IFERROR(VLOOKUP(B1724,PatData!$A$2:$A$2000,1,),"")&lt;&gt;""</f>
        <v>0</v>
      </c>
      <c r="E1724" t="s">
        <v>4118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1682</v>
      </c>
      <c r="B1725" t="s">
        <v>2575</v>
      </c>
      <c r="D1725" t="b">
        <f>IFERROR(VLOOKUP(B1725,PatData!$A$2:$A$2000,1,),"")&lt;&gt;""</f>
        <v>0</v>
      </c>
      <c r="E1725" t="s">
        <v>4119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1683</v>
      </c>
      <c r="B1726" t="s">
        <v>2576</v>
      </c>
      <c r="D1726" t="b">
        <f>IFERROR(VLOOKUP(B1726,PatData!$A$2:$A$2000,1,),"")&lt;&gt;""</f>
        <v>0</v>
      </c>
      <c r="E1726" t="s">
        <v>4120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1684</v>
      </c>
      <c r="B1727" t="s">
        <v>2577</v>
      </c>
      <c r="D1727" t="b">
        <f>IFERROR(VLOOKUP(B1727,PatData!$A$2:$A$2000,1,),"")&lt;&gt;""</f>
        <v>0</v>
      </c>
      <c r="E1727" t="s">
        <v>4121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1685</v>
      </c>
      <c r="B1728" t="s">
        <v>2578</v>
      </c>
      <c r="D1728" t="b">
        <f>IFERROR(VLOOKUP(B1728,PatData!$A$2:$A$2000,1,),"")&lt;&gt;""</f>
        <v>0</v>
      </c>
      <c r="E1728" t="s">
        <v>4122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1686</v>
      </c>
      <c r="B1729" t="s">
        <v>2579</v>
      </c>
      <c r="D1729" t="b">
        <f>IFERROR(VLOOKUP(B1729,PatData!$A$2:$A$2000,1,),"")&lt;&gt;""</f>
        <v>0</v>
      </c>
      <c r="E1729" t="s">
        <v>4123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1687</v>
      </c>
      <c r="B1730" t="s">
        <v>2580</v>
      </c>
      <c r="D1730" t="b">
        <f>IFERROR(VLOOKUP(B1730,PatData!$A$2:$A$2000,1,),"")&lt;&gt;""</f>
        <v>0</v>
      </c>
      <c r="E1730" t="s">
        <v>4124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1688</v>
      </c>
      <c r="B1731" t="s">
        <v>2581</v>
      </c>
      <c r="D1731" t="b">
        <f>IFERROR(VLOOKUP(B1731,PatData!$A$2:$A$2000,1,),"")&lt;&gt;""</f>
        <v>0</v>
      </c>
      <c r="E1731" t="s">
        <v>4125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1720</v>
      </c>
      <c r="B1732" t="s">
        <v>2605</v>
      </c>
      <c r="D1732" t="b">
        <f>IFERROR(VLOOKUP(B1732,PatData!$A$2:$A$2000,1,),"")&lt;&gt;""</f>
        <v>0</v>
      </c>
      <c r="E1732" t="s">
        <v>5050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1721</v>
      </c>
      <c r="B1733" t="s">
        <v>2606</v>
      </c>
      <c r="D1733" t="b">
        <f>IFERROR(VLOOKUP(B1733,PatData!$A$2:$A$2000,1,),"")&lt;&gt;""</f>
        <v>0</v>
      </c>
      <c r="E1733" t="s">
        <v>5051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1722</v>
      </c>
      <c r="B1734" t="s">
        <v>2607</v>
      </c>
      <c r="D1734" t="b">
        <f>IFERROR(VLOOKUP(B1734,PatData!$A$2:$A$2000,1,),"")&lt;&gt;""</f>
        <v>0</v>
      </c>
      <c r="E1734" t="s">
        <v>4144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1723</v>
      </c>
      <c r="B1735" t="s">
        <v>2608</v>
      </c>
      <c r="D1735" t="b">
        <f>IFERROR(VLOOKUP(B1735,PatData!$A$2:$A$2000,1,),"")&lt;&gt;""</f>
        <v>0</v>
      </c>
      <c r="E1735" t="s">
        <v>5052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1724</v>
      </c>
      <c r="B1736" t="s">
        <v>2609</v>
      </c>
      <c r="D1736" t="b">
        <f>IFERROR(VLOOKUP(B1736,PatData!$A$2:$A$2000,1,),"")&lt;&gt;""</f>
        <v>0</v>
      </c>
      <c r="E1736" t="s">
        <v>5053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1725</v>
      </c>
      <c r="B1737" t="s">
        <v>2610</v>
      </c>
      <c r="D1737" t="b">
        <f>IFERROR(VLOOKUP(B1737,PatData!$A$2:$A$2000,1,),"")&lt;&gt;""</f>
        <v>0</v>
      </c>
      <c r="E1737" t="s">
        <v>5054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1726</v>
      </c>
      <c r="B1738" t="s">
        <v>2611</v>
      </c>
      <c r="D1738" t="b">
        <f>IFERROR(VLOOKUP(B1738,PatData!$A$2:$A$2000,1,),"")&lt;&gt;""</f>
        <v>0</v>
      </c>
      <c r="E1738" t="s">
        <v>451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1727</v>
      </c>
      <c r="B1739" t="s">
        <v>2612</v>
      </c>
      <c r="D1739" t="b">
        <f>IFERROR(VLOOKUP(B1739,PatData!$A$2:$A$2000,1,),"")&lt;&gt;""</f>
        <v>0</v>
      </c>
      <c r="E1739" t="s">
        <v>5055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1728</v>
      </c>
      <c r="B1740" t="s">
        <v>2613</v>
      </c>
      <c r="D1740" t="b">
        <f>IFERROR(VLOOKUP(B1740,PatData!$A$2:$A$2000,1,),"")&lt;&gt;""</f>
        <v>0</v>
      </c>
      <c r="E1740" t="s">
        <v>5056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1729</v>
      </c>
      <c r="B1741" t="s">
        <v>2614</v>
      </c>
      <c r="D1741" t="b">
        <f>IFERROR(VLOOKUP(B1741,PatData!$A$2:$A$2000,1,),"")&lt;&gt;""</f>
        <v>0</v>
      </c>
      <c r="E1741" t="s">
        <v>5057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1730</v>
      </c>
      <c r="B1742" t="s">
        <v>2615</v>
      </c>
      <c r="D1742" t="b">
        <f>IFERROR(VLOOKUP(B1742,PatData!$A$2:$A$2000,1,),"")&lt;&gt;""</f>
        <v>0</v>
      </c>
      <c r="E1742" t="s">
        <v>5058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1731</v>
      </c>
      <c r="B1743" t="s">
        <v>2616</v>
      </c>
      <c r="D1743" t="b">
        <f>IFERROR(VLOOKUP(B1743,PatData!$A$2:$A$2000,1,),"")&lt;&gt;""</f>
        <v>0</v>
      </c>
      <c r="E1743" t="s">
        <v>5059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1732</v>
      </c>
      <c r="B1744" t="s">
        <v>2617</v>
      </c>
      <c r="D1744" t="b">
        <f>IFERROR(VLOOKUP(B1744,PatData!$A$2:$A$2000,1,),"")&lt;&gt;""</f>
        <v>0</v>
      </c>
      <c r="E1744" t="s">
        <v>574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1733</v>
      </c>
      <c r="B1745" t="s">
        <v>2618</v>
      </c>
      <c r="D1745" t="b">
        <f>IFERROR(VLOOKUP(B1745,PatData!$A$2:$A$2000,1,),"")&lt;&gt;""</f>
        <v>0</v>
      </c>
      <c r="E1745" t="s">
        <v>5060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1734</v>
      </c>
      <c r="B1746" t="s">
        <v>2619</v>
      </c>
      <c r="D1746" t="b">
        <f>IFERROR(VLOOKUP(B1746,PatData!$A$2:$A$2000,1,),"")&lt;&gt;""</f>
        <v>0</v>
      </c>
      <c r="E1746" t="s">
        <v>5061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1735</v>
      </c>
      <c r="B1747" t="s">
        <v>2620</v>
      </c>
      <c r="D1747" t="b">
        <f>IFERROR(VLOOKUP(B1747,PatData!$A$2:$A$2000,1,),"")&lt;&gt;""</f>
        <v>0</v>
      </c>
      <c r="E1747" t="s">
        <v>452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1736</v>
      </c>
      <c r="B1748" t="s">
        <v>2621</v>
      </c>
      <c r="D1748" t="b">
        <f>IFERROR(VLOOKUP(B1748,PatData!$A$2:$A$2000,1,),"")&lt;&gt;""</f>
        <v>0</v>
      </c>
      <c r="E1748" t="s">
        <v>5062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1737</v>
      </c>
      <c r="B1749" t="s">
        <v>2622</v>
      </c>
      <c r="D1749" t="b">
        <f>IFERROR(VLOOKUP(B1749,PatData!$A$2:$A$2000,1,),"")&lt;&gt;""</f>
        <v>0</v>
      </c>
      <c r="E1749" t="s">
        <v>5063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1738</v>
      </c>
      <c r="B1750" t="s">
        <v>2623</v>
      </c>
      <c r="D1750" t="b">
        <f>IFERROR(VLOOKUP(B1750,PatData!$A$2:$A$2000,1,),"")&lt;&gt;""</f>
        <v>0</v>
      </c>
      <c r="E1750" t="s">
        <v>34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1739</v>
      </c>
      <c r="B1751" t="s">
        <v>2624</v>
      </c>
      <c r="D1751" t="b">
        <f>IFERROR(VLOOKUP(B1751,PatData!$A$2:$A$2000,1,),"")&lt;&gt;""</f>
        <v>0</v>
      </c>
      <c r="E1751" t="s">
        <v>5064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1740</v>
      </c>
      <c r="B1752" t="s">
        <v>2625</v>
      </c>
      <c r="D1752" t="b">
        <f>IFERROR(VLOOKUP(B1752,PatData!$A$2:$A$2000,1,),"")&lt;&gt;""</f>
        <v>0</v>
      </c>
      <c r="E1752" t="s">
        <v>5065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1741</v>
      </c>
      <c r="B1753" t="s">
        <v>2626</v>
      </c>
      <c r="D1753" t="b">
        <f>IFERROR(VLOOKUP(B1753,PatData!$A$2:$A$2000,1,),"")&lt;&gt;""</f>
        <v>0</v>
      </c>
      <c r="E1753" t="s">
        <v>576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1742</v>
      </c>
      <c r="B1754" t="s">
        <v>2627</v>
      </c>
      <c r="D1754" t="b">
        <f>IFERROR(VLOOKUP(B1754,PatData!$A$2:$A$2000,1,),"")&lt;&gt;""</f>
        <v>0</v>
      </c>
      <c r="E1754" t="s">
        <v>5066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1743</v>
      </c>
      <c r="B1755" t="s">
        <v>2628</v>
      </c>
      <c r="D1755" t="b">
        <f>IFERROR(VLOOKUP(B1755,PatData!$A$2:$A$2000,1,),"")&lt;&gt;""</f>
        <v>0</v>
      </c>
      <c r="E1755" t="s">
        <v>5067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1744</v>
      </c>
      <c r="B1756" t="s">
        <v>2629</v>
      </c>
      <c r="D1756" t="b">
        <f>IFERROR(VLOOKUP(B1756,PatData!$A$2:$A$2000,1,),"")&lt;&gt;""</f>
        <v>0</v>
      </c>
      <c r="E1756" t="s">
        <v>575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1745</v>
      </c>
      <c r="B1757" t="s">
        <v>2630</v>
      </c>
      <c r="D1757" t="b">
        <f>IFERROR(VLOOKUP(B1757,PatData!$A$2:$A$2000,1,),"")&lt;&gt;""</f>
        <v>0</v>
      </c>
      <c r="E1757" t="s">
        <v>5068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1746</v>
      </c>
      <c r="B1758" t="s">
        <v>2631</v>
      </c>
      <c r="D1758" t="b">
        <f>IFERROR(VLOOKUP(B1758,PatData!$A$2:$A$2000,1,),"")&lt;&gt;""</f>
        <v>0</v>
      </c>
      <c r="E1758" t="s">
        <v>5069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1747</v>
      </c>
      <c r="B1759" t="s">
        <v>2632</v>
      </c>
      <c r="D1759" t="b">
        <f>IFERROR(VLOOKUP(B1759,PatData!$A$2:$A$2000,1,),"")&lt;&gt;""</f>
        <v>0</v>
      </c>
      <c r="E1759" t="s">
        <v>355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1748</v>
      </c>
      <c r="B1760" t="s">
        <v>2633</v>
      </c>
      <c r="D1760" t="b">
        <f>IFERROR(VLOOKUP(B1760,PatData!$A$2:$A$2000,1,),"")&lt;&gt;""</f>
        <v>0</v>
      </c>
      <c r="E1760" t="s">
        <v>5070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1749</v>
      </c>
      <c r="B1761" t="s">
        <v>2634</v>
      </c>
      <c r="D1761" t="b">
        <f>IFERROR(VLOOKUP(B1761,PatData!$A$2:$A$2000,1,),"")&lt;&gt;""</f>
        <v>0</v>
      </c>
      <c r="E1761" t="s">
        <v>5071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1750</v>
      </c>
      <c r="B1762" t="s">
        <v>2635</v>
      </c>
      <c r="D1762" t="b">
        <f>IFERROR(VLOOKUP(B1762,PatData!$A$2:$A$2000,1,),"")&lt;&gt;""</f>
        <v>0</v>
      </c>
      <c r="E1762" t="s">
        <v>217</v>
      </c>
      <c r="F1762" t="b">
        <v>0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1751</v>
      </c>
      <c r="B1763" t="s">
        <v>2636</v>
      </c>
      <c r="D1763" t="b">
        <f>IFERROR(VLOOKUP(B1763,PatData!$A$2:$A$2000,1,),"")&lt;&gt;""</f>
        <v>0</v>
      </c>
      <c r="E1763" t="s">
        <v>4145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1752</v>
      </c>
      <c r="B1764" t="s">
        <v>2637</v>
      </c>
      <c r="D1764" t="b">
        <f>IFERROR(VLOOKUP(B1764,PatData!$A$2:$A$2000,1,),"")&lt;&gt;""</f>
        <v>0</v>
      </c>
      <c r="E1764" t="s">
        <v>4146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1753</v>
      </c>
      <c r="B1765" t="s">
        <v>2638</v>
      </c>
      <c r="D1765" t="b">
        <f>IFERROR(VLOOKUP(B1765,PatData!$A$2:$A$2000,1,),"")&lt;&gt;""</f>
        <v>0</v>
      </c>
      <c r="E1765" t="s">
        <v>4147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1754</v>
      </c>
      <c r="B1766" t="s">
        <v>2639</v>
      </c>
      <c r="D1766" t="b">
        <f>IFERROR(VLOOKUP(B1766,PatData!$A$2:$A$2000,1,),"")&lt;&gt;""</f>
        <v>0</v>
      </c>
      <c r="E1766" t="s">
        <v>4148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1755</v>
      </c>
      <c r="B1767" t="s">
        <v>2640</v>
      </c>
      <c r="D1767" t="b">
        <f>IFERROR(VLOOKUP(B1767,PatData!$A$2:$A$2000,1,),"")&lt;&gt;""</f>
        <v>0</v>
      </c>
      <c r="E1767" t="s">
        <v>4149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1756</v>
      </c>
      <c r="B1768" t="s">
        <v>2641</v>
      </c>
      <c r="D1768" t="b">
        <f>IFERROR(VLOOKUP(B1768,PatData!$A$2:$A$2000,1,),"")&lt;&gt;""</f>
        <v>0</v>
      </c>
      <c r="E1768" t="s">
        <v>4144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1757</v>
      </c>
      <c r="B1769" t="s">
        <v>2642</v>
      </c>
      <c r="D1769" t="b">
        <f>IFERROR(VLOOKUP(B1769,PatData!$A$2:$A$2000,1,),"")&lt;&gt;""</f>
        <v>0</v>
      </c>
      <c r="E1769" t="s">
        <v>5072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1758</v>
      </c>
      <c r="B1770" t="s">
        <v>2643</v>
      </c>
      <c r="D1770" t="b">
        <f>IFERROR(VLOOKUP(B1770,PatData!$A$2:$A$2000,1,),"")&lt;&gt;""</f>
        <v>0</v>
      </c>
      <c r="E1770" t="s">
        <v>4150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1759</v>
      </c>
      <c r="B1771" t="s">
        <v>2644</v>
      </c>
      <c r="D1771" t="b">
        <f>IFERROR(VLOOKUP(B1771,PatData!$A$2:$A$2000,1,),"")&lt;&gt;""</f>
        <v>0</v>
      </c>
      <c r="E1771" t="s">
        <v>4151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1760</v>
      </c>
      <c r="B1772" t="s">
        <v>2645</v>
      </c>
      <c r="D1772" t="b">
        <f>IFERROR(VLOOKUP(B1772,PatData!$A$2:$A$2000,1,),"")&lt;&gt;""</f>
        <v>0</v>
      </c>
      <c r="E1772" t="s">
        <v>451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1761</v>
      </c>
      <c r="B1773" t="s">
        <v>2646</v>
      </c>
      <c r="D1773" t="b">
        <f>IFERROR(VLOOKUP(B1773,PatData!$A$2:$A$2000,1,),"")&lt;&gt;""</f>
        <v>0</v>
      </c>
      <c r="E1773" t="s">
        <v>4152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1762</v>
      </c>
      <c r="B1774" t="s">
        <v>2647</v>
      </c>
      <c r="D1774" t="b">
        <f>IFERROR(VLOOKUP(B1774,PatData!$A$2:$A$2000,1,),"")&lt;&gt;""</f>
        <v>0</v>
      </c>
      <c r="E1774" t="s">
        <v>4153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1763</v>
      </c>
      <c r="B1775" t="s">
        <v>2648</v>
      </c>
      <c r="D1775" t="b">
        <f>IFERROR(VLOOKUP(B1775,PatData!$A$2:$A$2000,1,),"")&lt;&gt;""</f>
        <v>0</v>
      </c>
      <c r="E1775" t="s">
        <v>4154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1764</v>
      </c>
      <c r="B1776" t="s">
        <v>2649</v>
      </c>
      <c r="D1776" t="b">
        <f>IFERROR(VLOOKUP(B1776,PatData!$A$2:$A$2000,1,),"")&lt;&gt;""</f>
        <v>0</v>
      </c>
      <c r="E1776" t="s">
        <v>4155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1765</v>
      </c>
      <c r="B1777" t="s">
        <v>2650</v>
      </c>
      <c r="D1777" t="b">
        <f>IFERROR(VLOOKUP(B1777,PatData!$A$2:$A$2000,1,),"")&lt;&gt;""</f>
        <v>0</v>
      </c>
      <c r="E1777" t="s">
        <v>4156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1766</v>
      </c>
      <c r="B1778" t="s">
        <v>2651</v>
      </c>
      <c r="D1778" t="b">
        <f>IFERROR(VLOOKUP(B1778,PatData!$A$2:$A$2000,1,),"")&lt;&gt;""</f>
        <v>0</v>
      </c>
      <c r="E1778" t="s">
        <v>574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1767</v>
      </c>
      <c r="B1779" t="s">
        <v>2652</v>
      </c>
      <c r="D1779" t="b">
        <f>IFERROR(VLOOKUP(B1779,PatData!$A$2:$A$2000,1,),"")&lt;&gt;""</f>
        <v>0</v>
      </c>
      <c r="E1779" t="s">
        <v>4157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1768</v>
      </c>
      <c r="B1780" t="s">
        <v>2653</v>
      </c>
      <c r="D1780" t="b">
        <f>IFERROR(VLOOKUP(B1780,PatData!$A$2:$A$2000,1,),"")&lt;&gt;""</f>
        <v>0</v>
      </c>
      <c r="E1780" t="s">
        <v>4158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1769</v>
      </c>
      <c r="B1781" t="s">
        <v>2654</v>
      </c>
      <c r="D1781" t="b">
        <f>IFERROR(VLOOKUP(B1781,PatData!$A$2:$A$2000,1,),"")&lt;&gt;""</f>
        <v>0</v>
      </c>
      <c r="E1781" t="s">
        <v>452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1770</v>
      </c>
      <c r="B1782" t="s">
        <v>2655</v>
      </c>
      <c r="D1782" t="b">
        <f>IFERROR(VLOOKUP(B1782,PatData!$A$2:$A$2000,1,),"")&lt;&gt;""</f>
        <v>0</v>
      </c>
      <c r="E1782" t="s">
        <v>4159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1771</v>
      </c>
      <c r="B1783" t="s">
        <v>2656</v>
      </c>
      <c r="D1783" t="b">
        <f>IFERROR(VLOOKUP(B1783,PatData!$A$2:$A$2000,1,),"")&lt;&gt;""</f>
        <v>0</v>
      </c>
      <c r="E1783" t="s">
        <v>4160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1772</v>
      </c>
      <c r="B1784" t="s">
        <v>2657</v>
      </c>
      <c r="D1784" t="b">
        <f>IFERROR(VLOOKUP(B1784,PatData!$A$2:$A$2000,1,),"")&lt;&gt;""</f>
        <v>0</v>
      </c>
      <c r="E1784" t="s">
        <v>34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1773</v>
      </c>
      <c r="B1785" t="s">
        <v>2658</v>
      </c>
      <c r="D1785" t="b">
        <f>IFERROR(VLOOKUP(B1785,PatData!$A$2:$A$2000,1,),"")&lt;&gt;""</f>
        <v>0</v>
      </c>
      <c r="E1785" t="s">
        <v>4161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1774</v>
      </c>
      <c r="B1786" t="s">
        <v>2659</v>
      </c>
      <c r="D1786" t="b">
        <f>IFERROR(VLOOKUP(B1786,PatData!$A$2:$A$2000,1,),"")&lt;&gt;""</f>
        <v>0</v>
      </c>
      <c r="E1786" t="s">
        <v>4162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1775</v>
      </c>
      <c r="B1787" t="s">
        <v>2660</v>
      </c>
      <c r="D1787" t="b">
        <f>IFERROR(VLOOKUP(B1787,PatData!$A$2:$A$2000,1,),"")&lt;&gt;""</f>
        <v>0</v>
      </c>
      <c r="E1787" t="s">
        <v>576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1776</v>
      </c>
      <c r="B1788" t="s">
        <v>2661</v>
      </c>
      <c r="D1788" t="b">
        <f>IFERROR(VLOOKUP(B1788,PatData!$A$2:$A$2000,1,),"")&lt;&gt;""</f>
        <v>0</v>
      </c>
      <c r="E1788" t="s">
        <v>4163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1777</v>
      </c>
      <c r="B1789" t="s">
        <v>2662</v>
      </c>
      <c r="D1789" t="b">
        <f>IFERROR(VLOOKUP(B1789,PatData!$A$2:$A$2000,1,),"")&lt;&gt;""</f>
        <v>0</v>
      </c>
      <c r="E1789" t="s">
        <v>4164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1778</v>
      </c>
      <c r="B1790" t="s">
        <v>2663</v>
      </c>
      <c r="D1790" t="b">
        <f>IFERROR(VLOOKUP(B1790,PatData!$A$2:$A$2000,1,),"")&lt;&gt;""</f>
        <v>0</v>
      </c>
      <c r="E1790" t="s">
        <v>575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1779</v>
      </c>
      <c r="B1791" t="s">
        <v>2664</v>
      </c>
      <c r="D1791" t="b">
        <f>IFERROR(VLOOKUP(B1791,PatData!$A$2:$A$2000,1,),"")&lt;&gt;""</f>
        <v>0</v>
      </c>
      <c r="E1791" t="s">
        <v>4165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1780</v>
      </c>
      <c r="B1792" t="s">
        <v>2665</v>
      </c>
      <c r="D1792" t="b">
        <f>IFERROR(VLOOKUP(B1792,PatData!$A$2:$A$2000,1,),"")&lt;&gt;""</f>
        <v>0</v>
      </c>
      <c r="E1792" t="s">
        <v>4166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1781</v>
      </c>
      <c r="B1793" t="s">
        <v>2666</v>
      </c>
      <c r="D1793" t="b">
        <f>IFERROR(VLOOKUP(B1793,PatData!$A$2:$A$2000,1,),"")&lt;&gt;""</f>
        <v>0</v>
      </c>
      <c r="E1793" t="s">
        <v>355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1782</v>
      </c>
      <c r="B1794" t="s">
        <v>2667</v>
      </c>
      <c r="D1794" t="b">
        <f>IFERROR(VLOOKUP(B1794,PatData!$A$2:$A$2000,1,),"")&lt;&gt;""</f>
        <v>0</v>
      </c>
      <c r="E1794" t="s">
        <v>4167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1783</v>
      </c>
      <c r="B1795" t="s">
        <v>2668</v>
      </c>
      <c r="D1795" t="b">
        <f>IFERROR(VLOOKUP(B1795,PatData!$A$2:$A$2000,1,),"")&lt;&gt;""</f>
        <v>0</v>
      </c>
      <c r="E1795" t="s">
        <v>4168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1784</v>
      </c>
      <c r="B1796" t="s">
        <v>2669</v>
      </c>
      <c r="D1796" t="b">
        <f>IFERROR(VLOOKUP(B1796,PatData!$A$2:$A$2000,1,),"")&lt;&gt;""</f>
        <v>0</v>
      </c>
      <c r="E1796" t="s">
        <v>217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1785</v>
      </c>
      <c r="B1797" t="s">
        <v>2670</v>
      </c>
      <c r="D1797" t="b">
        <f>IFERROR(VLOOKUP(B1797,PatData!$A$2:$A$2000,1,),"")&lt;&gt;""</f>
        <v>0</v>
      </c>
      <c r="E1797" t="s">
        <v>4145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1786</v>
      </c>
      <c r="B1798" t="s">
        <v>2671</v>
      </c>
      <c r="D1798" t="b">
        <f>IFERROR(VLOOKUP(B1798,PatData!$A$2:$A$2000,1,),"")&lt;&gt;""</f>
        <v>0</v>
      </c>
      <c r="E1798" t="s">
        <v>4169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1787</v>
      </c>
      <c r="B1799" t="s">
        <v>2672</v>
      </c>
      <c r="D1799" t="b">
        <f>IFERROR(VLOOKUP(B1799,PatData!$A$2:$A$2000,1,),"")&lt;&gt;""</f>
        <v>0</v>
      </c>
      <c r="E1799" t="s">
        <v>4147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5073</v>
      </c>
      <c r="B1800" t="s">
        <v>2585</v>
      </c>
      <c r="D1800" t="b">
        <f>IFERROR(VLOOKUP(B1800,PatData!$A$2:$A$2000,1,),"")&lt;&gt;""</f>
        <v>0</v>
      </c>
      <c r="E1800" t="s">
        <v>4170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5074</v>
      </c>
      <c r="B1801" t="s">
        <v>2586</v>
      </c>
      <c r="D1801" t="b">
        <f>IFERROR(VLOOKUP(B1801,PatData!$A$2:$A$2000,1,),"")&lt;&gt;""</f>
        <v>0</v>
      </c>
      <c r="E1801" t="s">
        <v>4171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5075</v>
      </c>
      <c r="B1802" t="s">
        <v>2587</v>
      </c>
      <c r="D1802" t="b">
        <f>IFERROR(VLOOKUP(B1802,PatData!$A$2:$A$2000,1,),"")&lt;&gt;""</f>
        <v>0</v>
      </c>
      <c r="E1802" t="s">
        <v>4172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5076</v>
      </c>
      <c r="B1803" t="s">
        <v>2588</v>
      </c>
      <c r="D1803" t="b">
        <f>IFERROR(VLOOKUP(B1803,PatData!$A$2:$A$2000,1,),"")&lt;&gt;""</f>
        <v>0</v>
      </c>
      <c r="E1803" t="s">
        <v>4173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5077</v>
      </c>
      <c r="B1804" t="s">
        <v>2563</v>
      </c>
      <c r="D1804" t="b">
        <f>IFERROR(VLOOKUP(B1804,PatData!$A$2:$A$2000,1,),"")&lt;&gt;""</f>
        <v>0</v>
      </c>
      <c r="E1804" t="s">
        <v>2682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1310</v>
      </c>
      <c r="B1805" t="s">
        <v>1288</v>
      </c>
      <c r="D1805" t="b">
        <f>IFERROR(VLOOKUP(B1805,PatData!$A$2:$A$2000,1,),"")&lt;&gt;""</f>
        <v>0</v>
      </c>
      <c r="E1805" t="s">
        <v>2682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4080</v>
      </c>
      <c r="B1806" t="s">
        <v>1289</v>
      </c>
      <c r="D1806" t="b">
        <f>IFERROR(VLOOKUP(B1806,PatData!$A$2:$A$2000,1,),"")&lt;&gt;""</f>
        <v>0</v>
      </c>
      <c r="E1806" t="s">
        <v>2682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2252</v>
      </c>
      <c r="B1807" t="s">
        <v>1290</v>
      </c>
      <c r="D1807" t="b">
        <f>IFERROR(VLOOKUP(B1807,PatData!$A$2:$A$2000,1,),"")&lt;&gt;""</f>
        <v>0</v>
      </c>
      <c r="E1807" t="s">
        <v>2682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2255</v>
      </c>
      <c r="B1808" t="s">
        <v>1291</v>
      </c>
      <c r="D1808" t="b">
        <f>IFERROR(VLOOKUP(B1808,PatData!$A$2:$A$2000,1,),"")&lt;&gt;""</f>
        <v>0</v>
      </c>
      <c r="E1808" t="s">
        <v>2682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2257</v>
      </c>
      <c r="B1809" t="s">
        <v>1292</v>
      </c>
      <c r="D1809" t="b">
        <f>IFERROR(VLOOKUP(B1809,PatData!$A$2:$A$2000,1,),"")&lt;&gt;""</f>
        <v>0</v>
      </c>
      <c r="E1809" t="s">
        <v>2682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2258</v>
      </c>
      <c r="B1810" t="s">
        <v>1293</v>
      </c>
      <c r="D1810" t="b">
        <f>IFERROR(VLOOKUP(B1810,PatData!$A$2:$A$2000,1,),"")&lt;&gt;""</f>
        <v>0</v>
      </c>
      <c r="E1810" t="s">
        <v>2682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2259</v>
      </c>
      <c r="B1811" t="s">
        <v>1294</v>
      </c>
      <c r="D1811" t="b">
        <f>IFERROR(VLOOKUP(B1811,PatData!$A$2:$A$2000,1,),"")&lt;&gt;""</f>
        <v>0</v>
      </c>
      <c r="E1811" t="s">
        <v>2682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2260</v>
      </c>
      <c r="B1812" t="s">
        <v>1295</v>
      </c>
      <c r="D1812" t="b">
        <f>IFERROR(VLOOKUP(B1812,PatData!$A$2:$A$2000,1,),"")&lt;&gt;""</f>
        <v>0</v>
      </c>
      <c r="E1812" t="s">
        <v>2682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2261</v>
      </c>
      <c r="B1813" t="s">
        <v>1296</v>
      </c>
      <c r="D1813" t="b">
        <f>IFERROR(VLOOKUP(B1813,PatData!$A$2:$A$2000,1,),"")&lt;&gt;""</f>
        <v>0</v>
      </c>
      <c r="E1813" t="s">
        <v>2682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2262</v>
      </c>
      <c r="B1814" t="s">
        <v>1297</v>
      </c>
      <c r="D1814" t="b">
        <f>IFERROR(VLOOKUP(B1814,PatData!$A$2:$A$2000,1,),"")&lt;&gt;""</f>
        <v>0</v>
      </c>
      <c r="E1814" t="s">
        <v>2682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2263</v>
      </c>
      <c r="B1815" t="s">
        <v>1298</v>
      </c>
      <c r="D1815" t="b">
        <f>IFERROR(VLOOKUP(B1815,PatData!$A$2:$A$2000,1,),"")&lt;&gt;""</f>
        <v>0</v>
      </c>
      <c r="E1815" t="s">
        <v>2682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2264</v>
      </c>
      <c r="B1816" t="s">
        <v>1299</v>
      </c>
      <c r="D1816" t="b">
        <f>IFERROR(VLOOKUP(B1816,PatData!$A$2:$A$2000,1,),"")&lt;&gt;""</f>
        <v>0</v>
      </c>
      <c r="E1816" t="s">
        <v>2682</v>
      </c>
      <c r="F1816" t="b">
        <v>1</v>
      </c>
      <c r="G1816" t="b">
        <v>0</v>
      </c>
      <c r="H1816" t="b">
        <v>0</v>
      </c>
      <c r="I1816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435" t="s">
        <v>263</v>
      </c>
      <c r="B1" t="s">
        <v>88</v>
      </c>
      <c r="C1" t="s">
        <v>264</v>
      </c>
    </row>
    <row r="2" spans="1:4" x14ac:dyDescent="0.35">
      <c r="A2" t="s">
        <v>265</v>
      </c>
      <c r="B2" t="s">
        <v>114</v>
      </c>
    </row>
    <row r="3" spans="1:4" x14ac:dyDescent="0.35">
      <c r="A3" t="s">
        <v>265</v>
      </c>
      <c r="B3" t="s">
        <v>69</v>
      </c>
    </row>
    <row r="4" spans="1:4" x14ac:dyDescent="0.35">
      <c r="A4" t="s">
        <v>265</v>
      </c>
      <c r="B4" t="s">
        <v>70</v>
      </c>
    </row>
    <row r="5" spans="1:4" x14ac:dyDescent="0.35">
      <c r="A5" t="s">
        <v>265</v>
      </c>
      <c r="B5" t="s">
        <v>128</v>
      </c>
      <c r="C5" s="22"/>
    </row>
    <row r="6" spans="1:4" x14ac:dyDescent="0.35">
      <c r="A6" t="s">
        <v>265</v>
      </c>
      <c r="B6" t="s">
        <v>161</v>
      </c>
    </row>
    <row r="7" spans="1:4" x14ac:dyDescent="0.35">
      <c r="A7" t="s">
        <v>115</v>
      </c>
      <c r="B7" t="s">
        <v>116</v>
      </c>
      <c r="C7" s="383"/>
    </row>
    <row r="8" spans="1:4" x14ac:dyDescent="0.35">
      <c r="A8" t="s">
        <v>115</v>
      </c>
      <c r="B8" t="s">
        <v>116</v>
      </c>
      <c r="C8" s="383"/>
    </row>
    <row r="9" spans="1:4" x14ac:dyDescent="0.35">
      <c r="A9" t="s">
        <v>115</v>
      </c>
      <c r="B9" t="s">
        <v>116</v>
      </c>
      <c r="C9" s="383"/>
      <c r="D9" s="383"/>
    </row>
    <row r="10" spans="1:4" x14ac:dyDescent="0.35">
      <c r="A10" t="s">
        <v>115</v>
      </c>
      <c r="B10" t="s">
        <v>116</v>
      </c>
      <c r="C10" s="383"/>
      <c r="D10" s="383"/>
    </row>
    <row r="11" spans="1:4" x14ac:dyDescent="0.35">
      <c r="A11" t="s">
        <v>115</v>
      </c>
      <c r="B11" t="s">
        <v>116</v>
      </c>
      <c r="C11" s="383"/>
      <c r="D11" s="383"/>
    </row>
    <row r="12" spans="1:4" x14ac:dyDescent="0.35">
      <c r="A12" t="s">
        <v>115</v>
      </c>
      <c r="B12" t="s">
        <v>116</v>
      </c>
      <c r="C12" s="383"/>
      <c r="D12" s="383"/>
    </row>
    <row r="13" spans="1:4" x14ac:dyDescent="0.35">
      <c r="A13" t="s">
        <v>115</v>
      </c>
      <c r="B13" t="s">
        <v>116</v>
      </c>
      <c r="C13" s="383"/>
      <c r="D13" s="383"/>
    </row>
    <row r="14" spans="1:4" x14ac:dyDescent="0.35">
      <c r="A14" t="s">
        <v>115</v>
      </c>
      <c r="B14" t="s">
        <v>116</v>
      </c>
      <c r="C14" s="383"/>
      <c r="D14" s="383"/>
    </row>
    <row r="15" spans="1:4" x14ac:dyDescent="0.35">
      <c r="A15" t="s">
        <v>115</v>
      </c>
      <c r="B15" t="s">
        <v>116</v>
      </c>
      <c r="C15" s="383"/>
      <c r="D15" s="383"/>
    </row>
    <row r="16" spans="1:4" x14ac:dyDescent="0.35">
      <c r="A16" t="s">
        <v>115</v>
      </c>
      <c r="B16" t="s">
        <v>116</v>
      </c>
      <c r="C16" s="383"/>
      <c r="D16" s="383"/>
    </row>
    <row r="17" spans="1:4" x14ac:dyDescent="0.35">
      <c r="A17" t="s">
        <v>115</v>
      </c>
      <c r="B17" t="s">
        <v>116</v>
      </c>
      <c r="C17" s="383"/>
      <c r="D17" s="383"/>
    </row>
    <row r="18" spans="1:4" x14ac:dyDescent="0.35">
      <c r="A18" t="s">
        <v>115</v>
      </c>
      <c r="B18" t="s">
        <v>116</v>
      </c>
      <c r="C18" s="383"/>
      <c r="D18" s="383"/>
    </row>
    <row r="19" spans="1:4" x14ac:dyDescent="0.35">
      <c r="A19" t="s">
        <v>115</v>
      </c>
      <c r="B19" t="s">
        <v>116</v>
      </c>
      <c r="C19" s="383"/>
      <c r="D19" s="383"/>
    </row>
    <row r="20" spans="1:4" x14ac:dyDescent="0.35">
      <c r="A20" t="s">
        <v>115</v>
      </c>
      <c r="B20" t="s">
        <v>116</v>
      </c>
      <c r="C20" s="383"/>
      <c r="D20" s="383"/>
    </row>
    <row r="21" spans="1:4" x14ac:dyDescent="0.35">
      <c r="A21" t="s">
        <v>115</v>
      </c>
      <c r="B21" t="s">
        <v>116</v>
      </c>
      <c r="C21" s="383"/>
      <c r="D21" s="383"/>
    </row>
    <row r="22" spans="1:4" x14ac:dyDescent="0.35">
      <c r="A22" t="s">
        <v>115</v>
      </c>
      <c r="B22" t="s">
        <v>116</v>
      </c>
      <c r="C22" s="383"/>
      <c r="D22" s="383"/>
    </row>
    <row r="23" spans="1:4" x14ac:dyDescent="0.35">
      <c r="A23" t="s">
        <v>115</v>
      </c>
      <c r="B23" t="s">
        <v>116</v>
      </c>
      <c r="C23" s="383"/>
      <c r="D23" s="383"/>
    </row>
    <row r="24" spans="1:4" x14ac:dyDescent="0.35">
      <c r="A24" t="s">
        <v>115</v>
      </c>
      <c r="B24" t="s">
        <v>116</v>
      </c>
      <c r="C24" s="383"/>
      <c r="D24" s="383"/>
    </row>
    <row r="25" spans="1:4" x14ac:dyDescent="0.35">
      <c r="A25" t="s">
        <v>115</v>
      </c>
      <c r="B25" t="s">
        <v>116</v>
      </c>
      <c r="C25" s="383"/>
      <c r="D25" s="383"/>
    </row>
    <row r="26" spans="1:4" x14ac:dyDescent="0.35">
      <c r="A26" t="s">
        <v>115</v>
      </c>
      <c r="B26" t="s">
        <v>116</v>
      </c>
      <c r="C26" s="383"/>
      <c r="D26" s="383"/>
    </row>
    <row r="27" spans="1:4" x14ac:dyDescent="0.35">
      <c r="A27" s="383" t="s">
        <v>115</v>
      </c>
      <c r="B27" s="383" t="s">
        <v>116</v>
      </c>
      <c r="C27" s="383"/>
    </row>
    <row r="28" spans="1:4" x14ac:dyDescent="0.35">
      <c r="A28" s="383" t="s">
        <v>115</v>
      </c>
      <c r="B28" s="383" t="s">
        <v>116</v>
      </c>
      <c r="C28" s="383"/>
      <c r="D28" s="383"/>
    </row>
    <row r="29" spans="1:4" x14ac:dyDescent="0.35">
      <c r="A29" s="383" t="s">
        <v>115</v>
      </c>
      <c r="B29" s="383" t="s">
        <v>116</v>
      </c>
      <c r="C29" s="383"/>
      <c r="D29" s="383"/>
    </row>
    <row r="30" spans="1:4" x14ac:dyDescent="0.35">
      <c r="A30" s="383" t="s">
        <v>115</v>
      </c>
      <c r="B30" s="383" t="s">
        <v>116</v>
      </c>
      <c r="C30" s="383"/>
      <c r="D30" s="383"/>
    </row>
    <row r="31" spans="1:4" x14ac:dyDescent="0.35">
      <c r="A31" s="383" t="s">
        <v>115</v>
      </c>
      <c r="B31" s="383" t="s">
        <v>116</v>
      </c>
      <c r="C31" s="383"/>
      <c r="D31" s="383"/>
    </row>
    <row r="32" spans="1:4" x14ac:dyDescent="0.35">
      <c r="A32" s="383" t="s">
        <v>115</v>
      </c>
      <c r="B32" s="383" t="s">
        <v>116</v>
      </c>
      <c r="C32" s="383"/>
      <c r="D32" s="383"/>
    </row>
    <row r="33" spans="1:4" x14ac:dyDescent="0.35">
      <c r="A33" s="383" t="s">
        <v>115</v>
      </c>
      <c r="B33" s="383" t="s">
        <v>116</v>
      </c>
      <c r="C33" s="383"/>
      <c r="D33" s="383"/>
    </row>
    <row r="34" spans="1:4" x14ac:dyDescent="0.35">
      <c r="A34" s="383" t="s">
        <v>115</v>
      </c>
      <c r="B34" s="383" t="s">
        <v>116</v>
      </c>
      <c r="C34" s="383"/>
      <c r="D34" s="383"/>
    </row>
    <row r="35" spans="1:4" x14ac:dyDescent="0.35">
      <c r="A35" s="383" t="s">
        <v>115</v>
      </c>
      <c r="B35" s="383" t="s">
        <v>116</v>
      </c>
      <c r="C35" s="383"/>
      <c r="D35" s="383"/>
    </row>
    <row r="36" spans="1:4" x14ac:dyDescent="0.35">
      <c r="A36" s="383" t="s">
        <v>115</v>
      </c>
      <c r="B36" s="383" t="s">
        <v>116</v>
      </c>
      <c r="C36" s="383"/>
      <c r="D36" s="383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435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5"/>
      <c r="D4" s="40" t="s">
        <v>246</v>
      </c>
      <c r="E4" s="40">
        <v>4.3478000000000003E-2</v>
      </c>
      <c r="H4" s="40"/>
    </row>
    <row r="5" spans="1:8" x14ac:dyDescent="0.35">
      <c r="C5" s="5"/>
      <c r="D5" s="40" t="s">
        <v>247</v>
      </c>
      <c r="E5" s="40">
        <v>2.5641000000000001E-2</v>
      </c>
      <c r="H5" s="40"/>
    </row>
    <row r="6" spans="1:8" x14ac:dyDescent="0.35">
      <c r="A6" s="435"/>
      <c r="D6" s="40" t="s">
        <v>248</v>
      </c>
      <c r="E6" s="40">
        <v>2.5000000000000001E-2</v>
      </c>
      <c r="H6" s="40"/>
    </row>
    <row r="7" spans="1:8" x14ac:dyDescent="0.35">
      <c r="D7" s="40" t="s">
        <v>255</v>
      </c>
      <c r="E7" s="40">
        <v>3.2288999999999998E-2</v>
      </c>
      <c r="H7" s="40"/>
    </row>
    <row r="8" spans="1:8" x14ac:dyDescent="0.35">
      <c r="D8" s="40" t="s">
        <v>249</v>
      </c>
      <c r="E8" s="40">
        <v>4.1140999999999997E-2</v>
      </c>
      <c r="H8" s="40"/>
    </row>
    <row r="9" spans="1:8" x14ac:dyDescent="0.35">
      <c r="D9" s="40"/>
      <c r="E9" s="40"/>
      <c r="H9" s="40"/>
    </row>
    <row r="10" spans="1:8" x14ac:dyDescent="0.35">
      <c r="D10" s="40"/>
      <c r="E10" s="40"/>
      <c r="H10" s="40"/>
    </row>
    <row r="11" spans="1:8" x14ac:dyDescent="0.35">
      <c r="D11" s="40"/>
      <c r="E11" s="40"/>
      <c r="H11" s="40"/>
    </row>
    <row r="12" spans="1:8" x14ac:dyDescent="0.35">
      <c r="D12" s="40"/>
      <c r="E12" s="40"/>
      <c r="H12" s="40"/>
    </row>
    <row r="13" spans="1:8" x14ac:dyDescent="0.35">
      <c r="D13" s="40"/>
      <c r="E13" s="40"/>
      <c r="H13" s="40"/>
    </row>
    <row r="14" spans="1:8" x14ac:dyDescent="0.35">
      <c r="D14" s="40"/>
      <c r="E14" s="40"/>
      <c r="H14" s="40"/>
    </row>
    <row r="15" spans="1:8" x14ac:dyDescent="0.35">
      <c r="D15" s="40"/>
      <c r="E15" s="40"/>
      <c r="H15" s="40"/>
    </row>
    <row r="16" spans="1:8" x14ac:dyDescent="0.35">
      <c r="D16" s="40"/>
      <c r="E16" s="40"/>
      <c r="H16" s="40"/>
    </row>
    <row r="17" spans="4:8" x14ac:dyDescent="0.35">
      <c r="D17" s="40"/>
      <c r="E17" s="40"/>
      <c r="H17" s="40"/>
    </row>
    <row r="18" spans="4:8" x14ac:dyDescent="0.35">
      <c r="D18" s="40"/>
      <c r="E18" s="40"/>
      <c r="H18" s="40"/>
    </row>
    <row r="19" spans="4:8" x14ac:dyDescent="0.35">
      <c r="D19" s="40"/>
      <c r="E19" s="40"/>
      <c r="H19" s="40"/>
    </row>
    <row r="20" spans="4:8" x14ac:dyDescent="0.35">
      <c r="D20" s="40"/>
      <c r="E20" s="40"/>
      <c r="H20" s="40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435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435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372</v>
      </c>
      <c r="E17" t="s">
        <v>373</v>
      </c>
      <c r="F17" s="17">
        <f ca="1">TODAY()-__4_GebDatum+1</f>
        <v>42740</v>
      </c>
    </row>
    <row r="18" spans="1:6" x14ac:dyDescent="0.35">
      <c r="A18" s="18">
        <f ca="1">IF(F17&lt;6,VLOOKUP(F17,A1:B5,2),IF(F18&lt;6,150,IF(F18&lt;8,125,IF(F18&lt;10,100,IF(F18&lt;20,(1000+(F18-10)*50)/F18,IF(F18&lt;30,(1500+(F18-20)*20)/F18,(1700+(F18-30)*10)/F18))))))</f>
        <v>100</v>
      </c>
      <c r="E18" t="s">
        <v>374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1221</v>
      </c>
      <c r="B2">
        <v>123456</v>
      </c>
    </row>
    <row r="3" spans="1:2" x14ac:dyDescent="0.35">
      <c r="A3" t="s">
        <v>1222</v>
      </c>
      <c r="B3" t="s">
        <v>4011</v>
      </c>
    </row>
    <row r="4" spans="1:2" x14ac:dyDescent="0.35">
      <c r="A4" t="s">
        <v>1223</v>
      </c>
      <c r="B4" t="s">
        <v>4079</v>
      </c>
    </row>
    <row r="5" spans="1:2" x14ac:dyDescent="0.35">
      <c r="A5" t="s">
        <v>1224</v>
      </c>
      <c r="B5" t="s">
        <v>4079</v>
      </c>
    </row>
    <row r="6" spans="1:2" x14ac:dyDescent="0.35">
      <c r="A6" t="s">
        <v>1225</v>
      </c>
      <c r="B6">
        <v>42716</v>
      </c>
    </row>
    <row r="7" spans="1:2" x14ac:dyDescent="0.35">
      <c r="A7" t="s">
        <v>2686</v>
      </c>
      <c r="B7">
        <v>0</v>
      </c>
    </row>
    <row r="8" spans="1:2" x14ac:dyDescent="0.35">
      <c r="A8" t="s">
        <v>2687</v>
      </c>
      <c r="B8">
        <v>0</v>
      </c>
    </row>
    <row r="9" spans="1:2" x14ac:dyDescent="0.35">
      <c r="A9" t="s">
        <v>2688</v>
      </c>
      <c r="B9">
        <v>0</v>
      </c>
    </row>
    <row r="10" spans="1:2" x14ac:dyDescent="0.35">
      <c r="A10" t="s">
        <v>2689</v>
      </c>
      <c r="B10">
        <v>0</v>
      </c>
    </row>
    <row r="11" spans="1:2" x14ac:dyDescent="0.35">
      <c r="A11" t="s">
        <v>2690</v>
      </c>
      <c r="B11">
        <v>0</v>
      </c>
    </row>
    <row r="12" spans="1:2" x14ac:dyDescent="0.35">
      <c r="A12" t="s">
        <v>2691</v>
      </c>
      <c r="B12">
        <v>0</v>
      </c>
    </row>
    <row r="13" spans="1:2" x14ac:dyDescent="0.35">
      <c r="A13" t="s">
        <v>2692</v>
      </c>
      <c r="B13">
        <v>0</v>
      </c>
    </row>
    <row r="14" spans="1:2" x14ac:dyDescent="0.35">
      <c r="A14" t="s">
        <v>2693</v>
      </c>
      <c r="B14">
        <v>0</v>
      </c>
    </row>
    <row r="15" spans="1:2" x14ac:dyDescent="0.35">
      <c r="A15" t="s">
        <v>2694</v>
      </c>
      <c r="B15">
        <v>0</v>
      </c>
    </row>
    <row r="16" spans="1:2" x14ac:dyDescent="0.35">
      <c r="A16" t="s">
        <v>2695</v>
      </c>
      <c r="B16">
        <v>0</v>
      </c>
    </row>
    <row r="17" spans="1:2" x14ac:dyDescent="0.35">
      <c r="A17" t="s">
        <v>2696</v>
      </c>
      <c r="B17">
        <v>0</v>
      </c>
    </row>
    <row r="18" spans="1:2" x14ac:dyDescent="0.35">
      <c r="A18" t="s">
        <v>2697</v>
      </c>
      <c r="B18">
        <v>0</v>
      </c>
    </row>
    <row r="19" spans="1:2" x14ac:dyDescent="0.35">
      <c r="A19" t="s">
        <v>2698</v>
      </c>
      <c r="B19">
        <v>0</v>
      </c>
    </row>
    <row r="20" spans="1:2" x14ac:dyDescent="0.35">
      <c r="A20" t="s">
        <v>2699</v>
      </c>
      <c r="B20">
        <v>0</v>
      </c>
    </row>
    <row r="21" spans="1:2" x14ac:dyDescent="0.35">
      <c r="A21" t="s">
        <v>2700</v>
      </c>
      <c r="B21">
        <v>0</v>
      </c>
    </row>
    <row r="22" spans="1:2" x14ac:dyDescent="0.35">
      <c r="A22" t="s">
        <v>2701</v>
      </c>
      <c r="B22">
        <v>0</v>
      </c>
    </row>
    <row r="23" spans="1:2" x14ac:dyDescent="0.35">
      <c r="A23" t="s">
        <v>2702</v>
      </c>
      <c r="B23">
        <v>0</v>
      </c>
    </row>
    <row r="24" spans="1:2" x14ac:dyDescent="0.35">
      <c r="A24" t="s">
        <v>2703</v>
      </c>
      <c r="B24">
        <v>0</v>
      </c>
    </row>
    <row r="25" spans="1:2" x14ac:dyDescent="0.35">
      <c r="A25" t="s">
        <v>2704</v>
      </c>
      <c r="B25">
        <v>0</v>
      </c>
    </row>
    <row r="26" spans="1:2" x14ac:dyDescent="0.35">
      <c r="A26" t="s">
        <v>2705</v>
      </c>
      <c r="B26">
        <v>0</v>
      </c>
    </row>
    <row r="27" spans="1:2" x14ac:dyDescent="0.35">
      <c r="A27" t="s">
        <v>2706</v>
      </c>
      <c r="B27">
        <v>0</v>
      </c>
    </row>
    <row r="28" spans="1:2" x14ac:dyDescent="0.35">
      <c r="A28" t="s">
        <v>2707</v>
      </c>
      <c r="B28">
        <v>0</v>
      </c>
    </row>
    <row r="29" spans="1:2" x14ac:dyDescent="0.35">
      <c r="A29" t="s">
        <v>2708</v>
      </c>
      <c r="B29">
        <v>0</v>
      </c>
    </row>
    <row r="30" spans="1:2" x14ac:dyDescent="0.35">
      <c r="A30" t="s">
        <v>2709</v>
      </c>
      <c r="B30">
        <v>0</v>
      </c>
    </row>
    <row r="31" spans="1:2" x14ac:dyDescent="0.35">
      <c r="A31" t="s">
        <v>2710</v>
      </c>
      <c r="B31">
        <v>0</v>
      </c>
    </row>
    <row r="32" spans="1:2" x14ac:dyDescent="0.35">
      <c r="A32" t="s">
        <v>2711</v>
      </c>
      <c r="B32">
        <v>0</v>
      </c>
    </row>
    <row r="33" spans="1:2" x14ac:dyDescent="0.35">
      <c r="A33" t="s">
        <v>2712</v>
      </c>
      <c r="B33">
        <v>0</v>
      </c>
    </row>
    <row r="34" spans="1:2" x14ac:dyDescent="0.35">
      <c r="A34" t="s">
        <v>2713</v>
      </c>
      <c r="B34">
        <v>0</v>
      </c>
    </row>
    <row r="35" spans="1:2" x14ac:dyDescent="0.35">
      <c r="A35" t="s">
        <v>2714</v>
      </c>
      <c r="B35">
        <v>0</v>
      </c>
    </row>
    <row r="36" spans="1:2" x14ac:dyDescent="0.35">
      <c r="A36" t="s">
        <v>2715</v>
      </c>
      <c r="B36">
        <v>0</v>
      </c>
    </row>
    <row r="37" spans="1:2" x14ac:dyDescent="0.35">
      <c r="A37" t="s">
        <v>2716</v>
      </c>
      <c r="B37" t="s">
        <v>176</v>
      </c>
    </row>
    <row r="38" spans="1:2" x14ac:dyDescent="0.35">
      <c r="A38" t="s">
        <v>2717</v>
      </c>
      <c r="B38">
        <v>0</v>
      </c>
    </row>
    <row r="39" spans="1:2" x14ac:dyDescent="0.35">
      <c r="A39" t="s">
        <v>2718</v>
      </c>
      <c r="B39">
        <v>0</v>
      </c>
    </row>
    <row r="40" spans="1:2" x14ac:dyDescent="0.35">
      <c r="A40" t="s">
        <v>2719</v>
      </c>
      <c r="B40">
        <v>0</v>
      </c>
    </row>
    <row r="41" spans="1:2" x14ac:dyDescent="0.35">
      <c r="A41" t="s">
        <v>2720</v>
      </c>
      <c r="B41">
        <v>0</v>
      </c>
    </row>
    <row r="42" spans="1:2" x14ac:dyDescent="0.35">
      <c r="A42" t="s">
        <v>2721</v>
      </c>
      <c r="B42">
        <v>0</v>
      </c>
    </row>
    <row r="43" spans="1:2" x14ac:dyDescent="0.35">
      <c r="A43" t="s">
        <v>2722</v>
      </c>
      <c r="B43">
        <v>0</v>
      </c>
    </row>
    <row r="44" spans="1:2" x14ac:dyDescent="0.35">
      <c r="A44" t="s">
        <v>2723</v>
      </c>
      <c r="B44">
        <v>0</v>
      </c>
    </row>
    <row r="45" spans="1:2" x14ac:dyDescent="0.35">
      <c r="A45" t="s">
        <v>2724</v>
      </c>
      <c r="B45">
        <v>0</v>
      </c>
    </row>
    <row r="46" spans="1:2" x14ac:dyDescent="0.35">
      <c r="A46" t="s">
        <v>2725</v>
      </c>
      <c r="B46">
        <v>0</v>
      </c>
    </row>
    <row r="47" spans="1:2" x14ac:dyDescent="0.35">
      <c r="A47" t="s">
        <v>2726</v>
      </c>
      <c r="B47">
        <v>0</v>
      </c>
    </row>
    <row r="48" spans="1:2" x14ac:dyDescent="0.35">
      <c r="A48" t="s">
        <v>2727</v>
      </c>
      <c r="B48">
        <v>0</v>
      </c>
    </row>
    <row r="49" spans="1:2" x14ac:dyDescent="0.35">
      <c r="A49" t="s">
        <v>2728</v>
      </c>
      <c r="B49">
        <v>0</v>
      </c>
    </row>
    <row r="50" spans="1:2" x14ac:dyDescent="0.35">
      <c r="A50" t="s">
        <v>2729</v>
      </c>
      <c r="B50">
        <v>0</v>
      </c>
    </row>
    <row r="51" spans="1:2" x14ac:dyDescent="0.35">
      <c r="A51" t="s">
        <v>2730</v>
      </c>
      <c r="B51">
        <v>0</v>
      </c>
    </row>
    <row r="52" spans="1:2" x14ac:dyDescent="0.35">
      <c r="A52" t="s">
        <v>2731</v>
      </c>
      <c r="B52">
        <v>0</v>
      </c>
    </row>
    <row r="53" spans="1:2" x14ac:dyDescent="0.35">
      <c r="A53" t="s">
        <v>2732</v>
      </c>
      <c r="B53">
        <v>0</v>
      </c>
    </row>
    <row r="54" spans="1:2" x14ac:dyDescent="0.35">
      <c r="A54" t="s">
        <v>2733</v>
      </c>
      <c r="B54">
        <v>0</v>
      </c>
    </row>
    <row r="55" spans="1:2" x14ac:dyDescent="0.35">
      <c r="A55" t="s">
        <v>2734</v>
      </c>
      <c r="B55">
        <v>0</v>
      </c>
    </row>
    <row r="56" spans="1:2" x14ac:dyDescent="0.35">
      <c r="A56" t="s">
        <v>2735</v>
      </c>
      <c r="B56">
        <v>0</v>
      </c>
    </row>
    <row r="57" spans="1:2" x14ac:dyDescent="0.35">
      <c r="A57" t="s">
        <v>2736</v>
      </c>
      <c r="B57">
        <v>0</v>
      </c>
    </row>
    <row r="58" spans="1:2" x14ac:dyDescent="0.35">
      <c r="A58" t="s">
        <v>2737</v>
      </c>
      <c r="B58">
        <v>0</v>
      </c>
    </row>
    <row r="59" spans="1:2" x14ac:dyDescent="0.35">
      <c r="A59" t="s">
        <v>2738</v>
      </c>
      <c r="B59">
        <v>0</v>
      </c>
    </row>
    <row r="60" spans="1:2" x14ac:dyDescent="0.35">
      <c r="A60" t="s">
        <v>2739</v>
      </c>
      <c r="B60">
        <v>0</v>
      </c>
    </row>
    <row r="61" spans="1:2" x14ac:dyDescent="0.35">
      <c r="A61" t="s">
        <v>2740</v>
      </c>
      <c r="B61">
        <v>0</v>
      </c>
    </row>
    <row r="62" spans="1:2" x14ac:dyDescent="0.35">
      <c r="A62" t="s">
        <v>2741</v>
      </c>
      <c r="B62">
        <v>0</v>
      </c>
    </row>
    <row r="63" spans="1:2" x14ac:dyDescent="0.35">
      <c r="A63" t="s">
        <v>2742</v>
      </c>
      <c r="B63">
        <v>0</v>
      </c>
    </row>
    <row r="64" spans="1:2" x14ac:dyDescent="0.35">
      <c r="A64" t="s">
        <v>2743</v>
      </c>
      <c r="B64">
        <v>0</v>
      </c>
    </row>
    <row r="65" spans="1:2" x14ac:dyDescent="0.35">
      <c r="A65" t="s">
        <v>2744</v>
      </c>
      <c r="B65">
        <v>0</v>
      </c>
    </row>
    <row r="66" spans="1:2" x14ac:dyDescent="0.35">
      <c r="A66" t="s">
        <v>2745</v>
      </c>
      <c r="B66">
        <v>0</v>
      </c>
    </row>
    <row r="67" spans="1:2" x14ac:dyDescent="0.35">
      <c r="A67" t="s">
        <v>2746</v>
      </c>
      <c r="B67">
        <v>3</v>
      </c>
    </row>
    <row r="68" spans="1:2" x14ac:dyDescent="0.35">
      <c r="A68" t="s">
        <v>2747</v>
      </c>
      <c r="B68">
        <v>0</v>
      </c>
    </row>
    <row r="69" spans="1:2" x14ac:dyDescent="0.35">
      <c r="A69" t="s">
        <v>2748</v>
      </c>
      <c r="B69">
        <v>0</v>
      </c>
    </row>
    <row r="70" spans="1:2" x14ac:dyDescent="0.35">
      <c r="A70" t="s">
        <v>2749</v>
      </c>
      <c r="B70">
        <v>0</v>
      </c>
    </row>
    <row r="71" spans="1:2" x14ac:dyDescent="0.35">
      <c r="A71" t="s">
        <v>2750</v>
      </c>
      <c r="B71">
        <v>0</v>
      </c>
    </row>
    <row r="72" spans="1:2" x14ac:dyDescent="0.35">
      <c r="A72" t="s">
        <v>2751</v>
      </c>
      <c r="B72">
        <v>0</v>
      </c>
    </row>
    <row r="73" spans="1:2" x14ac:dyDescent="0.35">
      <c r="A73" t="s">
        <v>2752</v>
      </c>
      <c r="B73">
        <v>0</v>
      </c>
    </row>
    <row r="74" spans="1:2" x14ac:dyDescent="0.35">
      <c r="A74" t="s">
        <v>2753</v>
      </c>
      <c r="B74">
        <v>0</v>
      </c>
    </row>
    <row r="75" spans="1:2" x14ac:dyDescent="0.35">
      <c r="A75" t="s">
        <v>2754</v>
      </c>
      <c r="B75">
        <v>0</v>
      </c>
    </row>
    <row r="76" spans="1:2" x14ac:dyDescent="0.35">
      <c r="A76" t="s">
        <v>2755</v>
      </c>
      <c r="B76">
        <v>0</v>
      </c>
    </row>
    <row r="77" spans="1:2" x14ac:dyDescent="0.35">
      <c r="A77" t="s">
        <v>2756</v>
      </c>
      <c r="B77">
        <v>0</v>
      </c>
    </row>
    <row r="78" spans="1:2" x14ac:dyDescent="0.35">
      <c r="A78" t="s">
        <v>2757</v>
      </c>
      <c r="B78">
        <v>0</v>
      </c>
    </row>
    <row r="79" spans="1:2" x14ac:dyDescent="0.35">
      <c r="A79" t="s">
        <v>2758</v>
      </c>
      <c r="B79">
        <v>0</v>
      </c>
    </row>
    <row r="80" spans="1:2" x14ac:dyDescent="0.35">
      <c r="A80" t="s">
        <v>2759</v>
      </c>
      <c r="B80">
        <v>0</v>
      </c>
    </row>
    <row r="81" spans="1:2" x14ac:dyDescent="0.35">
      <c r="A81" t="s">
        <v>2760</v>
      </c>
      <c r="B81">
        <v>0</v>
      </c>
    </row>
    <row r="82" spans="1:2" x14ac:dyDescent="0.35">
      <c r="A82" t="s">
        <v>2761</v>
      </c>
      <c r="B82">
        <v>0</v>
      </c>
    </row>
    <row r="83" spans="1:2" x14ac:dyDescent="0.35">
      <c r="A83" t="s">
        <v>2762</v>
      </c>
      <c r="B83">
        <v>0</v>
      </c>
    </row>
    <row r="84" spans="1:2" x14ac:dyDescent="0.35">
      <c r="A84" t="s">
        <v>2763</v>
      </c>
      <c r="B84">
        <v>0</v>
      </c>
    </row>
    <row r="85" spans="1:2" x14ac:dyDescent="0.35">
      <c r="A85" t="s">
        <v>2764</v>
      </c>
      <c r="B85">
        <v>0</v>
      </c>
    </row>
    <row r="86" spans="1:2" x14ac:dyDescent="0.35">
      <c r="A86" t="s">
        <v>2765</v>
      </c>
      <c r="B86">
        <v>0</v>
      </c>
    </row>
    <row r="87" spans="1:2" x14ac:dyDescent="0.35">
      <c r="A87" t="s">
        <v>2766</v>
      </c>
      <c r="B87">
        <v>0</v>
      </c>
    </row>
    <row r="88" spans="1:2" x14ac:dyDescent="0.35">
      <c r="A88" t="s">
        <v>2767</v>
      </c>
      <c r="B88">
        <v>0</v>
      </c>
    </row>
    <row r="89" spans="1:2" x14ac:dyDescent="0.35">
      <c r="A89" t="s">
        <v>2768</v>
      </c>
      <c r="B89">
        <v>0</v>
      </c>
    </row>
    <row r="90" spans="1:2" x14ac:dyDescent="0.35">
      <c r="A90" t="s">
        <v>2769</v>
      </c>
      <c r="B90">
        <v>0</v>
      </c>
    </row>
    <row r="91" spans="1:2" x14ac:dyDescent="0.35">
      <c r="A91" t="s">
        <v>2770</v>
      </c>
      <c r="B91">
        <v>0</v>
      </c>
    </row>
    <row r="92" spans="1:2" x14ac:dyDescent="0.35">
      <c r="A92" t="s">
        <v>2771</v>
      </c>
      <c r="B92">
        <v>0</v>
      </c>
    </row>
    <row r="93" spans="1:2" x14ac:dyDescent="0.35">
      <c r="A93" t="s">
        <v>2772</v>
      </c>
      <c r="B93">
        <v>0</v>
      </c>
    </row>
    <row r="94" spans="1:2" x14ac:dyDescent="0.35">
      <c r="A94" t="s">
        <v>2773</v>
      </c>
      <c r="B94">
        <v>0</v>
      </c>
    </row>
    <row r="95" spans="1:2" x14ac:dyDescent="0.35">
      <c r="A95" t="s">
        <v>2774</v>
      </c>
      <c r="B95">
        <v>0</v>
      </c>
    </row>
    <row r="96" spans="1:2" x14ac:dyDescent="0.35">
      <c r="A96" t="s">
        <v>2775</v>
      </c>
      <c r="B96">
        <v>0</v>
      </c>
    </row>
    <row r="97" spans="1:2" x14ac:dyDescent="0.35">
      <c r="A97" t="s">
        <v>2776</v>
      </c>
      <c r="B97">
        <v>0</v>
      </c>
    </row>
    <row r="98" spans="1:2" x14ac:dyDescent="0.35">
      <c r="A98" t="s">
        <v>2777</v>
      </c>
      <c r="B98">
        <v>0</v>
      </c>
    </row>
    <row r="99" spans="1:2" x14ac:dyDescent="0.35">
      <c r="A99" t="s">
        <v>2778</v>
      </c>
      <c r="B99">
        <v>0</v>
      </c>
    </row>
    <row r="100" spans="1:2" x14ac:dyDescent="0.35">
      <c r="A100" t="s">
        <v>2779</v>
      </c>
      <c r="B100">
        <v>0</v>
      </c>
    </row>
    <row r="101" spans="1:2" x14ac:dyDescent="0.35">
      <c r="A101" t="s">
        <v>2780</v>
      </c>
      <c r="B101">
        <v>0</v>
      </c>
    </row>
    <row r="102" spans="1:2" x14ac:dyDescent="0.35">
      <c r="A102" t="s">
        <v>2781</v>
      </c>
      <c r="B102">
        <v>0</v>
      </c>
    </row>
    <row r="103" spans="1:2" x14ac:dyDescent="0.35">
      <c r="A103" t="s">
        <v>2782</v>
      </c>
      <c r="B103">
        <v>0</v>
      </c>
    </row>
    <row r="104" spans="1:2" x14ac:dyDescent="0.35">
      <c r="A104" t="s">
        <v>2783</v>
      </c>
      <c r="B104">
        <v>0</v>
      </c>
    </row>
    <row r="105" spans="1:2" x14ac:dyDescent="0.35">
      <c r="A105" t="s">
        <v>2784</v>
      </c>
      <c r="B105">
        <v>0</v>
      </c>
    </row>
    <row r="106" spans="1:2" x14ac:dyDescent="0.35">
      <c r="A106" t="s">
        <v>2785</v>
      </c>
      <c r="B106">
        <v>0</v>
      </c>
    </row>
    <row r="107" spans="1:2" x14ac:dyDescent="0.35">
      <c r="A107" t="s">
        <v>2786</v>
      </c>
      <c r="B107">
        <v>0</v>
      </c>
    </row>
    <row r="108" spans="1:2" x14ac:dyDescent="0.35">
      <c r="A108" t="s">
        <v>2787</v>
      </c>
      <c r="B108">
        <v>0</v>
      </c>
    </row>
    <row r="109" spans="1:2" x14ac:dyDescent="0.35">
      <c r="A109" t="s">
        <v>2788</v>
      </c>
      <c r="B109">
        <v>0</v>
      </c>
    </row>
    <row r="110" spans="1:2" x14ac:dyDescent="0.35">
      <c r="A110" t="s">
        <v>2789</v>
      </c>
      <c r="B110">
        <v>0</v>
      </c>
    </row>
    <row r="111" spans="1:2" x14ac:dyDescent="0.35">
      <c r="A111" t="s">
        <v>2790</v>
      </c>
      <c r="B111">
        <v>0</v>
      </c>
    </row>
    <row r="112" spans="1:2" x14ac:dyDescent="0.35">
      <c r="A112" t="s">
        <v>2791</v>
      </c>
      <c r="B112">
        <v>0</v>
      </c>
    </row>
    <row r="113" spans="1:2" x14ac:dyDescent="0.35">
      <c r="A113" t="s">
        <v>2792</v>
      </c>
      <c r="B113">
        <v>0</v>
      </c>
    </row>
    <row r="114" spans="1:2" x14ac:dyDescent="0.35">
      <c r="A114" t="s">
        <v>2793</v>
      </c>
      <c r="B114">
        <v>0</v>
      </c>
    </row>
    <row r="115" spans="1:2" x14ac:dyDescent="0.35">
      <c r="A115" t="s">
        <v>2794</v>
      </c>
      <c r="B115">
        <v>0</v>
      </c>
    </row>
    <row r="116" spans="1:2" x14ac:dyDescent="0.35">
      <c r="A116" t="s">
        <v>2795</v>
      </c>
      <c r="B116">
        <v>0</v>
      </c>
    </row>
    <row r="117" spans="1:2" x14ac:dyDescent="0.35">
      <c r="A117" t="s">
        <v>2796</v>
      </c>
      <c r="B117">
        <v>0</v>
      </c>
    </row>
    <row r="118" spans="1:2" x14ac:dyDescent="0.35">
      <c r="A118" t="s">
        <v>2797</v>
      </c>
      <c r="B118">
        <v>0</v>
      </c>
    </row>
    <row r="119" spans="1:2" x14ac:dyDescent="0.35">
      <c r="A119" t="s">
        <v>2798</v>
      </c>
      <c r="B119">
        <v>0</v>
      </c>
    </row>
    <row r="120" spans="1:2" x14ac:dyDescent="0.35">
      <c r="A120" t="s">
        <v>2799</v>
      </c>
      <c r="B120">
        <v>0</v>
      </c>
    </row>
    <row r="121" spans="1:2" x14ac:dyDescent="0.35">
      <c r="A121" t="s">
        <v>2800</v>
      </c>
      <c r="B121">
        <v>0</v>
      </c>
    </row>
    <row r="122" spans="1:2" x14ac:dyDescent="0.35">
      <c r="A122" t="s">
        <v>2801</v>
      </c>
      <c r="B122">
        <v>0</v>
      </c>
    </row>
    <row r="123" spans="1:2" x14ac:dyDescent="0.35">
      <c r="A123" t="s">
        <v>2802</v>
      </c>
      <c r="B123">
        <v>0</v>
      </c>
    </row>
    <row r="124" spans="1:2" x14ac:dyDescent="0.35">
      <c r="A124" t="s">
        <v>2803</v>
      </c>
      <c r="B124">
        <v>0</v>
      </c>
    </row>
    <row r="125" spans="1:2" x14ac:dyDescent="0.35">
      <c r="A125" t="s">
        <v>2804</v>
      </c>
      <c r="B125">
        <v>0</v>
      </c>
    </row>
    <row r="126" spans="1:2" x14ac:dyDescent="0.35">
      <c r="A126" t="s">
        <v>2805</v>
      </c>
      <c r="B126">
        <v>0</v>
      </c>
    </row>
    <row r="127" spans="1:2" x14ac:dyDescent="0.35">
      <c r="A127" t="s">
        <v>2806</v>
      </c>
      <c r="B127" t="s">
        <v>4180</v>
      </c>
    </row>
    <row r="128" spans="1:2" x14ac:dyDescent="0.35">
      <c r="A128" t="s">
        <v>2807</v>
      </c>
      <c r="B128">
        <v>0</v>
      </c>
    </row>
    <row r="129" spans="1:2" x14ac:dyDescent="0.35">
      <c r="A129" t="s">
        <v>2808</v>
      </c>
      <c r="B129">
        <v>0</v>
      </c>
    </row>
    <row r="130" spans="1:2" x14ac:dyDescent="0.35">
      <c r="A130" t="s">
        <v>2809</v>
      </c>
      <c r="B130">
        <v>0</v>
      </c>
    </row>
    <row r="131" spans="1:2" x14ac:dyDescent="0.35">
      <c r="A131" t="s">
        <v>2810</v>
      </c>
      <c r="B131">
        <v>0</v>
      </c>
    </row>
    <row r="132" spans="1:2" x14ac:dyDescent="0.35">
      <c r="A132" t="s">
        <v>2811</v>
      </c>
      <c r="B132">
        <v>0</v>
      </c>
    </row>
    <row r="133" spans="1:2" x14ac:dyDescent="0.35">
      <c r="A133" t="s">
        <v>2812</v>
      </c>
      <c r="B133">
        <v>0</v>
      </c>
    </row>
    <row r="134" spans="1:2" x14ac:dyDescent="0.35">
      <c r="A134" t="s">
        <v>2813</v>
      </c>
      <c r="B134">
        <v>0</v>
      </c>
    </row>
    <row r="135" spans="1:2" x14ac:dyDescent="0.35">
      <c r="A135" t="s">
        <v>2814</v>
      </c>
      <c r="B135">
        <v>0</v>
      </c>
    </row>
    <row r="136" spans="1:2" x14ac:dyDescent="0.35">
      <c r="A136" t="s">
        <v>2815</v>
      </c>
      <c r="B136">
        <v>0</v>
      </c>
    </row>
    <row r="137" spans="1:2" x14ac:dyDescent="0.35">
      <c r="A137" t="s">
        <v>2816</v>
      </c>
      <c r="B137">
        <v>0</v>
      </c>
    </row>
    <row r="138" spans="1:2" x14ac:dyDescent="0.35">
      <c r="A138" t="s">
        <v>2817</v>
      </c>
      <c r="B138">
        <v>0</v>
      </c>
    </row>
    <row r="139" spans="1:2" x14ac:dyDescent="0.35">
      <c r="A139" t="s">
        <v>2818</v>
      </c>
      <c r="B139">
        <v>0</v>
      </c>
    </row>
    <row r="140" spans="1:2" x14ac:dyDescent="0.35">
      <c r="A140" t="s">
        <v>2819</v>
      </c>
      <c r="B140">
        <v>0</v>
      </c>
    </row>
    <row r="141" spans="1:2" x14ac:dyDescent="0.35">
      <c r="A141" t="s">
        <v>2820</v>
      </c>
      <c r="B141">
        <v>0</v>
      </c>
    </row>
    <row r="142" spans="1:2" x14ac:dyDescent="0.35">
      <c r="A142" t="s">
        <v>2821</v>
      </c>
      <c r="B142">
        <v>0</v>
      </c>
    </row>
    <row r="143" spans="1:2" x14ac:dyDescent="0.35">
      <c r="A143" t="s">
        <v>2822</v>
      </c>
      <c r="B143">
        <v>0</v>
      </c>
    </row>
    <row r="144" spans="1:2" x14ac:dyDescent="0.35">
      <c r="A144" t="s">
        <v>2823</v>
      </c>
      <c r="B144">
        <v>0</v>
      </c>
    </row>
    <row r="145" spans="1:2" x14ac:dyDescent="0.35">
      <c r="A145" t="s">
        <v>2824</v>
      </c>
      <c r="B145">
        <v>0</v>
      </c>
    </row>
    <row r="146" spans="1:2" x14ac:dyDescent="0.35">
      <c r="A146" t="s">
        <v>2825</v>
      </c>
      <c r="B146">
        <v>0</v>
      </c>
    </row>
    <row r="147" spans="1:2" x14ac:dyDescent="0.35">
      <c r="A147" t="s">
        <v>2826</v>
      </c>
      <c r="B147">
        <v>0</v>
      </c>
    </row>
    <row r="148" spans="1:2" x14ac:dyDescent="0.35">
      <c r="A148" t="s">
        <v>2827</v>
      </c>
      <c r="B148">
        <v>0</v>
      </c>
    </row>
    <row r="149" spans="1:2" x14ac:dyDescent="0.35">
      <c r="A149" t="s">
        <v>2828</v>
      </c>
      <c r="B149">
        <v>0</v>
      </c>
    </row>
    <row r="150" spans="1:2" x14ac:dyDescent="0.35">
      <c r="A150" t="s">
        <v>2829</v>
      </c>
      <c r="B150">
        <v>0</v>
      </c>
    </row>
    <row r="151" spans="1:2" x14ac:dyDescent="0.35">
      <c r="A151" t="s">
        <v>2830</v>
      </c>
      <c r="B151">
        <v>0</v>
      </c>
    </row>
    <row r="152" spans="1:2" x14ac:dyDescent="0.35">
      <c r="A152" t="s">
        <v>2831</v>
      </c>
      <c r="B152">
        <v>0</v>
      </c>
    </row>
    <row r="153" spans="1:2" x14ac:dyDescent="0.35">
      <c r="A153" t="s">
        <v>2832</v>
      </c>
      <c r="B153">
        <v>0</v>
      </c>
    </row>
    <row r="154" spans="1:2" x14ac:dyDescent="0.35">
      <c r="A154" t="s">
        <v>2833</v>
      </c>
      <c r="B154">
        <v>0</v>
      </c>
    </row>
    <row r="155" spans="1:2" x14ac:dyDescent="0.35">
      <c r="A155" t="s">
        <v>2834</v>
      </c>
      <c r="B155">
        <v>0</v>
      </c>
    </row>
    <row r="156" spans="1:2" x14ac:dyDescent="0.35">
      <c r="A156" t="s">
        <v>2835</v>
      </c>
      <c r="B156">
        <v>0</v>
      </c>
    </row>
    <row r="157" spans="1:2" x14ac:dyDescent="0.35">
      <c r="A157" t="s">
        <v>2836</v>
      </c>
      <c r="B157">
        <v>121967</v>
      </c>
    </row>
    <row r="158" spans="1:2" x14ac:dyDescent="0.35">
      <c r="A158" t="s">
        <v>2837</v>
      </c>
      <c r="B158">
        <v>0</v>
      </c>
    </row>
    <row r="159" spans="1:2" x14ac:dyDescent="0.35">
      <c r="A159" t="s">
        <v>2838</v>
      </c>
      <c r="B159">
        <v>0</v>
      </c>
    </row>
    <row r="160" spans="1:2" x14ac:dyDescent="0.35">
      <c r="A160" t="s">
        <v>2839</v>
      </c>
      <c r="B160">
        <v>0</v>
      </c>
    </row>
    <row r="161" spans="1:2" x14ac:dyDescent="0.35">
      <c r="A161" t="s">
        <v>2840</v>
      </c>
      <c r="B161">
        <v>0</v>
      </c>
    </row>
    <row r="162" spans="1:2" x14ac:dyDescent="0.35">
      <c r="A162" t="s">
        <v>2841</v>
      </c>
      <c r="B162">
        <v>0</v>
      </c>
    </row>
    <row r="163" spans="1:2" x14ac:dyDescent="0.35">
      <c r="A163" t="s">
        <v>2842</v>
      </c>
      <c r="B163">
        <v>0</v>
      </c>
    </row>
    <row r="164" spans="1:2" x14ac:dyDescent="0.35">
      <c r="A164" t="s">
        <v>2843</v>
      </c>
      <c r="B164">
        <v>0</v>
      </c>
    </row>
    <row r="165" spans="1:2" x14ac:dyDescent="0.35">
      <c r="A165" t="s">
        <v>2844</v>
      </c>
      <c r="B165">
        <v>0</v>
      </c>
    </row>
    <row r="166" spans="1:2" x14ac:dyDescent="0.35">
      <c r="A166" t="s">
        <v>2845</v>
      </c>
      <c r="B166">
        <v>0</v>
      </c>
    </row>
    <row r="167" spans="1:2" x14ac:dyDescent="0.35">
      <c r="A167" t="s">
        <v>2846</v>
      </c>
      <c r="B167">
        <v>0</v>
      </c>
    </row>
    <row r="168" spans="1:2" x14ac:dyDescent="0.35">
      <c r="A168" t="s">
        <v>2847</v>
      </c>
      <c r="B168">
        <v>0</v>
      </c>
    </row>
    <row r="169" spans="1:2" x14ac:dyDescent="0.35">
      <c r="A169" t="s">
        <v>2848</v>
      </c>
      <c r="B169">
        <v>0</v>
      </c>
    </row>
    <row r="170" spans="1:2" x14ac:dyDescent="0.35">
      <c r="A170" t="s">
        <v>2849</v>
      </c>
      <c r="B170">
        <v>0</v>
      </c>
    </row>
    <row r="171" spans="1:2" x14ac:dyDescent="0.35">
      <c r="A171" t="s">
        <v>2850</v>
      </c>
      <c r="B171">
        <v>0</v>
      </c>
    </row>
    <row r="172" spans="1:2" x14ac:dyDescent="0.35">
      <c r="A172" t="s">
        <v>2851</v>
      </c>
      <c r="B172">
        <v>0</v>
      </c>
    </row>
    <row r="173" spans="1:2" x14ac:dyDescent="0.35">
      <c r="A173" t="s">
        <v>2852</v>
      </c>
      <c r="B173">
        <v>0</v>
      </c>
    </row>
    <row r="174" spans="1:2" x14ac:dyDescent="0.35">
      <c r="A174" t="s">
        <v>2853</v>
      </c>
      <c r="B174">
        <v>0</v>
      </c>
    </row>
    <row r="175" spans="1:2" x14ac:dyDescent="0.35">
      <c r="A175" t="s">
        <v>2854</v>
      </c>
      <c r="B175">
        <v>0</v>
      </c>
    </row>
    <row r="176" spans="1:2" x14ac:dyDescent="0.35">
      <c r="A176" t="s">
        <v>2855</v>
      </c>
      <c r="B176">
        <v>0</v>
      </c>
    </row>
    <row r="177" spans="1:2" x14ac:dyDescent="0.35">
      <c r="A177" t="s">
        <v>2856</v>
      </c>
      <c r="B177">
        <v>0</v>
      </c>
    </row>
    <row r="178" spans="1:2" x14ac:dyDescent="0.35">
      <c r="A178" t="s">
        <v>2857</v>
      </c>
      <c r="B178">
        <v>0</v>
      </c>
    </row>
    <row r="179" spans="1:2" x14ac:dyDescent="0.35">
      <c r="A179" t="s">
        <v>2858</v>
      </c>
      <c r="B179">
        <v>0</v>
      </c>
    </row>
    <row r="180" spans="1:2" x14ac:dyDescent="0.35">
      <c r="A180" t="s">
        <v>2859</v>
      </c>
      <c r="B180">
        <v>0</v>
      </c>
    </row>
    <row r="181" spans="1:2" x14ac:dyDescent="0.35">
      <c r="A181" t="s">
        <v>2860</v>
      </c>
      <c r="B181">
        <v>0</v>
      </c>
    </row>
    <row r="182" spans="1:2" x14ac:dyDescent="0.35">
      <c r="A182" t="s">
        <v>2861</v>
      </c>
      <c r="B182">
        <v>0</v>
      </c>
    </row>
    <row r="183" spans="1:2" x14ac:dyDescent="0.35">
      <c r="A183" t="s">
        <v>2862</v>
      </c>
      <c r="B183">
        <v>0</v>
      </c>
    </row>
    <row r="184" spans="1:2" x14ac:dyDescent="0.35">
      <c r="A184" t="s">
        <v>2863</v>
      </c>
      <c r="B184">
        <v>0</v>
      </c>
    </row>
    <row r="185" spans="1:2" x14ac:dyDescent="0.35">
      <c r="A185" t="s">
        <v>2864</v>
      </c>
      <c r="B185">
        <v>0</v>
      </c>
    </row>
    <row r="186" spans="1:2" x14ac:dyDescent="0.35">
      <c r="A186" t="s">
        <v>2865</v>
      </c>
      <c r="B186">
        <v>0</v>
      </c>
    </row>
    <row r="187" spans="1:2" x14ac:dyDescent="0.35">
      <c r="A187" t="s">
        <v>2866</v>
      </c>
      <c r="B187">
        <v>0</v>
      </c>
    </row>
    <row r="188" spans="1:2" x14ac:dyDescent="0.35">
      <c r="A188" t="s">
        <v>2867</v>
      </c>
      <c r="B188">
        <v>0</v>
      </c>
    </row>
    <row r="189" spans="1:2" x14ac:dyDescent="0.35">
      <c r="A189" t="s">
        <v>2868</v>
      </c>
      <c r="B189">
        <v>0</v>
      </c>
    </row>
    <row r="190" spans="1:2" x14ac:dyDescent="0.35">
      <c r="A190" t="s">
        <v>2869</v>
      </c>
      <c r="B190">
        <v>0</v>
      </c>
    </row>
    <row r="191" spans="1:2" x14ac:dyDescent="0.35">
      <c r="A191" t="s">
        <v>2870</v>
      </c>
      <c r="B191">
        <v>0</v>
      </c>
    </row>
    <row r="192" spans="1:2" x14ac:dyDescent="0.35">
      <c r="A192" t="s">
        <v>2871</v>
      </c>
      <c r="B192">
        <v>0</v>
      </c>
    </row>
    <row r="193" spans="1:2" x14ac:dyDescent="0.35">
      <c r="A193" t="s">
        <v>2872</v>
      </c>
      <c r="B193">
        <v>0</v>
      </c>
    </row>
    <row r="194" spans="1:2" x14ac:dyDescent="0.35">
      <c r="A194" t="s">
        <v>2873</v>
      </c>
      <c r="B194">
        <v>0</v>
      </c>
    </row>
    <row r="195" spans="1:2" x14ac:dyDescent="0.35">
      <c r="A195" t="s">
        <v>2874</v>
      </c>
      <c r="B195">
        <v>0</v>
      </c>
    </row>
    <row r="196" spans="1:2" x14ac:dyDescent="0.35">
      <c r="A196" t="s">
        <v>2875</v>
      </c>
      <c r="B196">
        <v>0</v>
      </c>
    </row>
    <row r="197" spans="1:2" x14ac:dyDescent="0.35">
      <c r="A197" t="s">
        <v>2876</v>
      </c>
      <c r="B197">
        <v>0</v>
      </c>
    </row>
    <row r="198" spans="1:2" x14ac:dyDescent="0.35">
      <c r="A198" t="s">
        <v>2877</v>
      </c>
      <c r="B198">
        <v>0</v>
      </c>
    </row>
    <row r="199" spans="1:2" x14ac:dyDescent="0.35">
      <c r="A199" t="s">
        <v>2878</v>
      </c>
      <c r="B199">
        <v>0</v>
      </c>
    </row>
    <row r="200" spans="1:2" x14ac:dyDescent="0.35">
      <c r="A200" t="s">
        <v>2879</v>
      </c>
      <c r="B200">
        <v>0</v>
      </c>
    </row>
    <row r="201" spans="1:2" x14ac:dyDescent="0.35">
      <c r="A201" t="s">
        <v>2880</v>
      </c>
      <c r="B201">
        <v>0</v>
      </c>
    </row>
    <row r="202" spans="1:2" x14ac:dyDescent="0.35">
      <c r="A202" t="s">
        <v>2881</v>
      </c>
      <c r="B202">
        <v>0</v>
      </c>
    </row>
    <row r="203" spans="1:2" x14ac:dyDescent="0.35">
      <c r="A203" t="s">
        <v>2882</v>
      </c>
      <c r="B203">
        <v>0</v>
      </c>
    </row>
    <row r="204" spans="1:2" x14ac:dyDescent="0.35">
      <c r="A204" t="s">
        <v>2883</v>
      </c>
      <c r="B204">
        <v>0</v>
      </c>
    </row>
    <row r="205" spans="1:2" x14ac:dyDescent="0.35">
      <c r="A205" t="s">
        <v>2884</v>
      </c>
      <c r="B205">
        <v>0</v>
      </c>
    </row>
    <row r="206" spans="1:2" x14ac:dyDescent="0.35">
      <c r="A206" t="s">
        <v>2885</v>
      </c>
      <c r="B206">
        <v>0</v>
      </c>
    </row>
    <row r="207" spans="1:2" x14ac:dyDescent="0.35">
      <c r="A207" t="s">
        <v>2886</v>
      </c>
      <c r="B207">
        <v>0</v>
      </c>
    </row>
    <row r="208" spans="1:2" x14ac:dyDescent="0.35">
      <c r="A208" t="s">
        <v>2887</v>
      </c>
      <c r="B208">
        <v>0</v>
      </c>
    </row>
    <row r="209" spans="1:2" x14ac:dyDescent="0.35">
      <c r="A209" t="s">
        <v>2888</v>
      </c>
      <c r="B209">
        <v>0</v>
      </c>
    </row>
    <row r="210" spans="1:2" x14ac:dyDescent="0.35">
      <c r="A210" t="s">
        <v>2889</v>
      </c>
      <c r="B210">
        <v>0</v>
      </c>
    </row>
    <row r="211" spans="1:2" x14ac:dyDescent="0.35">
      <c r="A211" t="s">
        <v>2890</v>
      </c>
      <c r="B211">
        <v>0</v>
      </c>
    </row>
    <row r="212" spans="1:2" x14ac:dyDescent="0.35">
      <c r="A212" t="s">
        <v>2891</v>
      </c>
      <c r="B212">
        <v>0</v>
      </c>
    </row>
    <row r="213" spans="1:2" x14ac:dyDescent="0.35">
      <c r="A213" t="s">
        <v>2892</v>
      </c>
      <c r="B213">
        <v>0</v>
      </c>
    </row>
    <row r="214" spans="1:2" x14ac:dyDescent="0.35">
      <c r="A214" t="s">
        <v>2893</v>
      </c>
      <c r="B214">
        <v>0</v>
      </c>
    </row>
    <row r="215" spans="1:2" x14ac:dyDescent="0.35">
      <c r="A215" t="s">
        <v>2894</v>
      </c>
      <c r="B215">
        <v>0</v>
      </c>
    </row>
    <row r="216" spans="1:2" x14ac:dyDescent="0.35">
      <c r="A216" t="s">
        <v>2895</v>
      </c>
      <c r="B216">
        <v>0</v>
      </c>
    </row>
    <row r="217" spans="1:2" x14ac:dyDescent="0.35">
      <c r="A217" t="s">
        <v>2896</v>
      </c>
      <c r="B217">
        <v>0</v>
      </c>
    </row>
    <row r="218" spans="1:2" x14ac:dyDescent="0.35">
      <c r="A218" t="s">
        <v>2897</v>
      </c>
      <c r="B218">
        <v>0</v>
      </c>
    </row>
    <row r="219" spans="1:2" x14ac:dyDescent="0.35">
      <c r="A219" t="s">
        <v>2898</v>
      </c>
      <c r="B219">
        <v>0</v>
      </c>
    </row>
    <row r="220" spans="1:2" x14ac:dyDescent="0.35">
      <c r="A220" t="s">
        <v>2899</v>
      </c>
      <c r="B220">
        <v>0</v>
      </c>
    </row>
    <row r="221" spans="1:2" x14ac:dyDescent="0.35">
      <c r="A221" t="s">
        <v>2900</v>
      </c>
      <c r="B221">
        <v>0</v>
      </c>
    </row>
    <row r="222" spans="1:2" x14ac:dyDescent="0.35">
      <c r="A222" t="s">
        <v>2901</v>
      </c>
      <c r="B222">
        <v>0</v>
      </c>
    </row>
    <row r="223" spans="1:2" x14ac:dyDescent="0.35">
      <c r="A223" t="s">
        <v>2902</v>
      </c>
      <c r="B223">
        <v>0</v>
      </c>
    </row>
    <row r="224" spans="1:2" x14ac:dyDescent="0.35">
      <c r="A224" t="s">
        <v>2903</v>
      </c>
      <c r="B224">
        <v>0</v>
      </c>
    </row>
    <row r="225" spans="1:2" x14ac:dyDescent="0.35">
      <c r="A225" t="s">
        <v>2904</v>
      </c>
      <c r="B225">
        <v>0</v>
      </c>
    </row>
    <row r="226" spans="1:2" x14ac:dyDescent="0.35">
      <c r="A226" t="s">
        <v>2905</v>
      </c>
      <c r="B226">
        <v>0</v>
      </c>
    </row>
    <row r="227" spans="1:2" x14ac:dyDescent="0.35">
      <c r="A227" t="s">
        <v>2906</v>
      </c>
      <c r="B227">
        <v>0</v>
      </c>
    </row>
    <row r="228" spans="1:2" x14ac:dyDescent="0.35">
      <c r="A228" t="s">
        <v>2907</v>
      </c>
      <c r="B228">
        <v>0</v>
      </c>
    </row>
    <row r="229" spans="1:2" x14ac:dyDescent="0.35">
      <c r="A229" t="s">
        <v>2908</v>
      </c>
      <c r="B229">
        <v>0</v>
      </c>
    </row>
    <row r="230" spans="1:2" x14ac:dyDescent="0.35">
      <c r="A230" t="s">
        <v>2909</v>
      </c>
      <c r="B230">
        <v>0</v>
      </c>
    </row>
    <row r="231" spans="1:2" x14ac:dyDescent="0.35">
      <c r="A231" t="s">
        <v>2910</v>
      </c>
      <c r="B231">
        <v>0</v>
      </c>
    </row>
    <row r="232" spans="1:2" x14ac:dyDescent="0.35">
      <c r="A232" t="s">
        <v>2911</v>
      </c>
      <c r="B232">
        <v>0</v>
      </c>
    </row>
    <row r="233" spans="1:2" x14ac:dyDescent="0.35">
      <c r="A233" t="s">
        <v>2912</v>
      </c>
      <c r="B233">
        <v>0</v>
      </c>
    </row>
    <row r="234" spans="1:2" x14ac:dyDescent="0.35">
      <c r="A234" t="s">
        <v>2913</v>
      </c>
      <c r="B234">
        <v>0</v>
      </c>
    </row>
    <row r="235" spans="1:2" x14ac:dyDescent="0.35">
      <c r="A235" t="s">
        <v>2914</v>
      </c>
      <c r="B235">
        <v>0</v>
      </c>
    </row>
    <row r="236" spans="1:2" x14ac:dyDescent="0.35">
      <c r="A236" t="s">
        <v>2915</v>
      </c>
      <c r="B236">
        <v>0</v>
      </c>
    </row>
    <row r="237" spans="1:2" x14ac:dyDescent="0.35">
      <c r="A237" t="s">
        <v>2916</v>
      </c>
      <c r="B237">
        <v>0</v>
      </c>
    </row>
    <row r="238" spans="1:2" x14ac:dyDescent="0.35">
      <c r="A238" t="s">
        <v>2917</v>
      </c>
      <c r="B238">
        <v>0</v>
      </c>
    </row>
    <row r="239" spans="1:2" x14ac:dyDescent="0.35">
      <c r="A239" t="s">
        <v>2918</v>
      </c>
      <c r="B239">
        <v>0</v>
      </c>
    </row>
    <row r="240" spans="1:2" x14ac:dyDescent="0.35">
      <c r="A240" t="s">
        <v>2919</v>
      </c>
      <c r="B240">
        <v>0</v>
      </c>
    </row>
    <row r="241" spans="1:2" x14ac:dyDescent="0.35">
      <c r="A241" t="s">
        <v>2920</v>
      </c>
      <c r="B241">
        <v>0</v>
      </c>
    </row>
    <row r="242" spans="1:2" x14ac:dyDescent="0.35">
      <c r="A242" t="s">
        <v>2921</v>
      </c>
      <c r="B242">
        <v>0</v>
      </c>
    </row>
    <row r="243" spans="1:2" x14ac:dyDescent="0.35">
      <c r="A243" t="s">
        <v>2922</v>
      </c>
      <c r="B243">
        <v>0</v>
      </c>
    </row>
    <row r="244" spans="1:2" x14ac:dyDescent="0.35">
      <c r="A244" t="s">
        <v>2923</v>
      </c>
      <c r="B244">
        <v>0</v>
      </c>
    </row>
    <row r="245" spans="1:2" x14ac:dyDescent="0.35">
      <c r="A245" t="s">
        <v>2924</v>
      </c>
      <c r="B245">
        <v>0</v>
      </c>
    </row>
    <row r="246" spans="1:2" x14ac:dyDescent="0.35">
      <c r="A246" t="s">
        <v>2925</v>
      </c>
      <c r="B246">
        <v>0</v>
      </c>
    </row>
    <row r="247" spans="1:2" x14ac:dyDescent="0.35">
      <c r="A247" t="s">
        <v>2926</v>
      </c>
      <c r="B247" t="s">
        <v>4179</v>
      </c>
    </row>
    <row r="248" spans="1:2" x14ac:dyDescent="0.35">
      <c r="A248" t="s">
        <v>2927</v>
      </c>
      <c r="B248">
        <v>0</v>
      </c>
    </row>
    <row r="249" spans="1:2" x14ac:dyDescent="0.35">
      <c r="A249" t="s">
        <v>2928</v>
      </c>
      <c r="B249">
        <v>0</v>
      </c>
    </row>
    <row r="250" spans="1:2" x14ac:dyDescent="0.35">
      <c r="A250" t="s">
        <v>2929</v>
      </c>
      <c r="B250">
        <v>0</v>
      </c>
    </row>
    <row r="251" spans="1:2" x14ac:dyDescent="0.35">
      <c r="A251" t="s">
        <v>2930</v>
      </c>
      <c r="B251">
        <v>0</v>
      </c>
    </row>
    <row r="252" spans="1:2" x14ac:dyDescent="0.35">
      <c r="A252" t="s">
        <v>2931</v>
      </c>
      <c r="B252">
        <v>0</v>
      </c>
    </row>
    <row r="253" spans="1:2" x14ac:dyDescent="0.35">
      <c r="A253" t="s">
        <v>2932</v>
      </c>
      <c r="B253">
        <v>0</v>
      </c>
    </row>
    <row r="254" spans="1:2" x14ac:dyDescent="0.35">
      <c r="A254" t="s">
        <v>2933</v>
      </c>
      <c r="B254">
        <v>0</v>
      </c>
    </row>
    <row r="255" spans="1:2" x14ac:dyDescent="0.35">
      <c r="A255" t="s">
        <v>2934</v>
      </c>
      <c r="B255">
        <v>0</v>
      </c>
    </row>
    <row r="256" spans="1:2" x14ac:dyDescent="0.35">
      <c r="A256" t="s">
        <v>2935</v>
      </c>
      <c r="B256">
        <v>0</v>
      </c>
    </row>
    <row r="257" spans="1:2" x14ac:dyDescent="0.35">
      <c r="A257" t="s">
        <v>2936</v>
      </c>
      <c r="B257">
        <v>0</v>
      </c>
    </row>
    <row r="258" spans="1:2" x14ac:dyDescent="0.35">
      <c r="A258" t="s">
        <v>2937</v>
      </c>
      <c r="B258">
        <v>0</v>
      </c>
    </row>
    <row r="259" spans="1:2" x14ac:dyDescent="0.35">
      <c r="A259" t="s">
        <v>2938</v>
      </c>
      <c r="B259">
        <v>0</v>
      </c>
    </row>
    <row r="260" spans="1:2" x14ac:dyDescent="0.35">
      <c r="A260" t="s">
        <v>2939</v>
      </c>
      <c r="B260">
        <v>0</v>
      </c>
    </row>
    <row r="261" spans="1:2" x14ac:dyDescent="0.35">
      <c r="A261" t="s">
        <v>2940</v>
      </c>
      <c r="B261">
        <v>0</v>
      </c>
    </row>
    <row r="262" spans="1:2" x14ac:dyDescent="0.35">
      <c r="A262" t="s">
        <v>2941</v>
      </c>
      <c r="B262">
        <v>0</v>
      </c>
    </row>
    <row r="263" spans="1:2" x14ac:dyDescent="0.35">
      <c r="A263" t="s">
        <v>2942</v>
      </c>
      <c r="B263">
        <v>0</v>
      </c>
    </row>
    <row r="264" spans="1:2" x14ac:dyDescent="0.35">
      <c r="A264" t="s">
        <v>2943</v>
      </c>
      <c r="B264">
        <v>0</v>
      </c>
    </row>
    <row r="265" spans="1:2" x14ac:dyDescent="0.35">
      <c r="A265" t="s">
        <v>2944</v>
      </c>
      <c r="B265">
        <v>0</v>
      </c>
    </row>
    <row r="266" spans="1:2" x14ac:dyDescent="0.35">
      <c r="A266" t="s">
        <v>2945</v>
      </c>
      <c r="B266">
        <v>0</v>
      </c>
    </row>
    <row r="267" spans="1:2" x14ac:dyDescent="0.35">
      <c r="A267" t="s">
        <v>2946</v>
      </c>
      <c r="B267">
        <v>0</v>
      </c>
    </row>
    <row r="268" spans="1:2" x14ac:dyDescent="0.35">
      <c r="A268" t="s">
        <v>2947</v>
      </c>
      <c r="B268">
        <v>0</v>
      </c>
    </row>
    <row r="269" spans="1:2" x14ac:dyDescent="0.35">
      <c r="A269" t="s">
        <v>2948</v>
      </c>
      <c r="B269">
        <v>0</v>
      </c>
    </row>
    <row r="270" spans="1:2" x14ac:dyDescent="0.35">
      <c r="A270" t="s">
        <v>2949</v>
      </c>
      <c r="B270">
        <v>0</v>
      </c>
    </row>
    <row r="271" spans="1:2" x14ac:dyDescent="0.35">
      <c r="A271" t="s">
        <v>2950</v>
      </c>
      <c r="B271">
        <v>0</v>
      </c>
    </row>
    <row r="272" spans="1:2" x14ac:dyDescent="0.35">
      <c r="A272" t="s">
        <v>2951</v>
      </c>
      <c r="B272">
        <v>0</v>
      </c>
    </row>
    <row r="273" spans="1:2" x14ac:dyDescent="0.35">
      <c r="A273" t="s">
        <v>2952</v>
      </c>
      <c r="B273">
        <v>0</v>
      </c>
    </row>
    <row r="274" spans="1:2" x14ac:dyDescent="0.35">
      <c r="A274" t="s">
        <v>2953</v>
      </c>
      <c r="B274">
        <v>0</v>
      </c>
    </row>
    <row r="275" spans="1:2" x14ac:dyDescent="0.35">
      <c r="A275" t="s">
        <v>2954</v>
      </c>
      <c r="B275">
        <v>0</v>
      </c>
    </row>
    <row r="276" spans="1:2" x14ac:dyDescent="0.35">
      <c r="A276" t="s">
        <v>2955</v>
      </c>
      <c r="B276">
        <v>0</v>
      </c>
    </row>
    <row r="277" spans="1:2" x14ac:dyDescent="0.35">
      <c r="A277" t="s">
        <v>2956</v>
      </c>
      <c r="B277">
        <v>0</v>
      </c>
    </row>
    <row r="278" spans="1:2" x14ac:dyDescent="0.35">
      <c r="A278" t="s">
        <v>2957</v>
      </c>
      <c r="B278">
        <v>0</v>
      </c>
    </row>
    <row r="279" spans="1:2" x14ac:dyDescent="0.35">
      <c r="A279" t="s">
        <v>2958</v>
      </c>
      <c r="B279">
        <v>0</v>
      </c>
    </row>
    <row r="280" spans="1:2" x14ac:dyDescent="0.35">
      <c r="A280" t="s">
        <v>2959</v>
      </c>
      <c r="B280">
        <v>0</v>
      </c>
    </row>
    <row r="281" spans="1:2" x14ac:dyDescent="0.35">
      <c r="A281" t="s">
        <v>2960</v>
      </c>
      <c r="B281">
        <v>0</v>
      </c>
    </row>
    <row r="282" spans="1:2" x14ac:dyDescent="0.35">
      <c r="A282" t="s">
        <v>2961</v>
      </c>
      <c r="B282">
        <v>0</v>
      </c>
    </row>
    <row r="283" spans="1:2" x14ac:dyDescent="0.35">
      <c r="A283" t="s">
        <v>2962</v>
      </c>
      <c r="B283">
        <v>0</v>
      </c>
    </row>
    <row r="284" spans="1:2" x14ac:dyDescent="0.35">
      <c r="A284" t="s">
        <v>2963</v>
      </c>
      <c r="B284">
        <v>0</v>
      </c>
    </row>
    <row r="285" spans="1:2" x14ac:dyDescent="0.35">
      <c r="A285" t="s">
        <v>2964</v>
      </c>
      <c r="B285">
        <v>0</v>
      </c>
    </row>
    <row r="286" spans="1:2" x14ac:dyDescent="0.35">
      <c r="A286" t="s">
        <v>2965</v>
      </c>
      <c r="B286">
        <v>0</v>
      </c>
    </row>
    <row r="287" spans="1:2" x14ac:dyDescent="0.35">
      <c r="A287" t="s">
        <v>2966</v>
      </c>
      <c r="B287">
        <v>0</v>
      </c>
    </row>
    <row r="288" spans="1:2" x14ac:dyDescent="0.35">
      <c r="A288" t="s">
        <v>2967</v>
      </c>
      <c r="B288">
        <v>0</v>
      </c>
    </row>
    <row r="289" spans="1:2" x14ac:dyDescent="0.35">
      <c r="A289" t="s">
        <v>2968</v>
      </c>
      <c r="B289">
        <v>0</v>
      </c>
    </row>
    <row r="290" spans="1:2" x14ac:dyDescent="0.35">
      <c r="A290" t="s">
        <v>2969</v>
      </c>
      <c r="B290">
        <v>0</v>
      </c>
    </row>
    <row r="291" spans="1:2" x14ac:dyDescent="0.35">
      <c r="A291" t="s">
        <v>2970</v>
      </c>
      <c r="B291">
        <v>0</v>
      </c>
    </row>
    <row r="292" spans="1:2" x14ac:dyDescent="0.35">
      <c r="A292" t="s">
        <v>2971</v>
      </c>
      <c r="B292">
        <v>0</v>
      </c>
    </row>
    <row r="293" spans="1:2" x14ac:dyDescent="0.35">
      <c r="A293" t="s">
        <v>2972</v>
      </c>
      <c r="B293">
        <v>0</v>
      </c>
    </row>
    <row r="294" spans="1:2" x14ac:dyDescent="0.35">
      <c r="A294" t="s">
        <v>2973</v>
      </c>
      <c r="B294">
        <v>0</v>
      </c>
    </row>
    <row r="295" spans="1:2" x14ac:dyDescent="0.35">
      <c r="A295" t="s">
        <v>2974</v>
      </c>
      <c r="B295">
        <v>0</v>
      </c>
    </row>
    <row r="296" spans="1:2" x14ac:dyDescent="0.35">
      <c r="A296" t="s">
        <v>2975</v>
      </c>
      <c r="B296">
        <v>0</v>
      </c>
    </row>
    <row r="297" spans="1:2" x14ac:dyDescent="0.35">
      <c r="A297" t="s">
        <v>2976</v>
      </c>
      <c r="B297">
        <v>0</v>
      </c>
    </row>
    <row r="298" spans="1:2" x14ac:dyDescent="0.35">
      <c r="A298" t="s">
        <v>2977</v>
      </c>
      <c r="B298">
        <v>0</v>
      </c>
    </row>
    <row r="299" spans="1:2" x14ac:dyDescent="0.35">
      <c r="A299" t="s">
        <v>2978</v>
      </c>
      <c r="B299">
        <v>0</v>
      </c>
    </row>
    <row r="300" spans="1:2" x14ac:dyDescent="0.35">
      <c r="A300" t="s">
        <v>2979</v>
      </c>
      <c r="B300">
        <v>0</v>
      </c>
    </row>
    <row r="301" spans="1:2" x14ac:dyDescent="0.35">
      <c r="A301" t="s">
        <v>2980</v>
      </c>
      <c r="B301">
        <v>0</v>
      </c>
    </row>
    <row r="302" spans="1:2" x14ac:dyDescent="0.35">
      <c r="A302" t="s">
        <v>2981</v>
      </c>
      <c r="B302">
        <v>0</v>
      </c>
    </row>
    <row r="303" spans="1:2" x14ac:dyDescent="0.35">
      <c r="A303" t="s">
        <v>2982</v>
      </c>
      <c r="B303">
        <v>0</v>
      </c>
    </row>
    <row r="304" spans="1:2" x14ac:dyDescent="0.35">
      <c r="A304" t="s">
        <v>2983</v>
      </c>
      <c r="B304">
        <v>0</v>
      </c>
    </row>
    <row r="305" spans="1:2" x14ac:dyDescent="0.35">
      <c r="A305" t="s">
        <v>2984</v>
      </c>
      <c r="B305">
        <v>0</v>
      </c>
    </row>
    <row r="306" spans="1:2" x14ac:dyDescent="0.35">
      <c r="A306" t="s">
        <v>2985</v>
      </c>
      <c r="B306">
        <v>0</v>
      </c>
    </row>
    <row r="307" spans="1:2" x14ac:dyDescent="0.35">
      <c r="A307" t="s">
        <v>2986</v>
      </c>
      <c r="B307">
        <v>0</v>
      </c>
    </row>
    <row r="308" spans="1:2" x14ac:dyDescent="0.35">
      <c r="A308" t="s">
        <v>2987</v>
      </c>
      <c r="B308">
        <v>0</v>
      </c>
    </row>
    <row r="309" spans="1:2" x14ac:dyDescent="0.35">
      <c r="A309" t="s">
        <v>2988</v>
      </c>
      <c r="B309">
        <v>0</v>
      </c>
    </row>
    <row r="310" spans="1:2" x14ac:dyDescent="0.35">
      <c r="A310" t="s">
        <v>2989</v>
      </c>
      <c r="B310">
        <v>0</v>
      </c>
    </row>
    <row r="311" spans="1:2" x14ac:dyDescent="0.35">
      <c r="A311" t="s">
        <v>2990</v>
      </c>
      <c r="B311">
        <v>0</v>
      </c>
    </row>
    <row r="312" spans="1:2" x14ac:dyDescent="0.35">
      <c r="A312" t="s">
        <v>2991</v>
      </c>
      <c r="B312">
        <v>0</v>
      </c>
    </row>
    <row r="313" spans="1:2" x14ac:dyDescent="0.35">
      <c r="A313" t="s">
        <v>2992</v>
      </c>
      <c r="B313">
        <v>0</v>
      </c>
    </row>
    <row r="314" spans="1:2" x14ac:dyDescent="0.35">
      <c r="A314" t="s">
        <v>2993</v>
      </c>
      <c r="B314">
        <v>0</v>
      </c>
    </row>
    <row r="315" spans="1:2" x14ac:dyDescent="0.35">
      <c r="A315" t="s">
        <v>2994</v>
      </c>
      <c r="B315">
        <v>0</v>
      </c>
    </row>
    <row r="316" spans="1:2" x14ac:dyDescent="0.35">
      <c r="A316" t="s">
        <v>2995</v>
      </c>
      <c r="B316">
        <v>0</v>
      </c>
    </row>
    <row r="317" spans="1:2" x14ac:dyDescent="0.35">
      <c r="A317" t="s">
        <v>2996</v>
      </c>
      <c r="B317">
        <v>0</v>
      </c>
    </row>
    <row r="318" spans="1:2" x14ac:dyDescent="0.35">
      <c r="A318" t="s">
        <v>2997</v>
      </c>
      <c r="B318">
        <v>0</v>
      </c>
    </row>
    <row r="319" spans="1:2" x14ac:dyDescent="0.35">
      <c r="A319" t="s">
        <v>2998</v>
      </c>
      <c r="B319">
        <v>0</v>
      </c>
    </row>
    <row r="320" spans="1:2" x14ac:dyDescent="0.35">
      <c r="A320" t="s">
        <v>2999</v>
      </c>
      <c r="B320">
        <v>0</v>
      </c>
    </row>
    <row r="321" spans="1:2" x14ac:dyDescent="0.35">
      <c r="A321" t="s">
        <v>3000</v>
      </c>
      <c r="B321">
        <v>0</v>
      </c>
    </row>
    <row r="322" spans="1:2" x14ac:dyDescent="0.35">
      <c r="A322" t="s">
        <v>3001</v>
      </c>
      <c r="B322">
        <v>0</v>
      </c>
    </row>
    <row r="323" spans="1:2" x14ac:dyDescent="0.35">
      <c r="A323" t="s">
        <v>3002</v>
      </c>
      <c r="B323">
        <v>0</v>
      </c>
    </row>
    <row r="324" spans="1:2" x14ac:dyDescent="0.35">
      <c r="A324" t="s">
        <v>3003</v>
      </c>
      <c r="B324">
        <v>0</v>
      </c>
    </row>
    <row r="325" spans="1:2" x14ac:dyDescent="0.35">
      <c r="A325" t="s">
        <v>3004</v>
      </c>
      <c r="B325">
        <v>0</v>
      </c>
    </row>
    <row r="326" spans="1:2" x14ac:dyDescent="0.35">
      <c r="A326" t="s">
        <v>3005</v>
      </c>
      <c r="B326">
        <v>0</v>
      </c>
    </row>
    <row r="327" spans="1:2" x14ac:dyDescent="0.35">
      <c r="A327" t="s">
        <v>3006</v>
      </c>
      <c r="B327">
        <v>0</v>
      </c>
    </row>
    <row r="328" spans="1:2" x14ac:dyDescent="0.35">
      <c r="A328" t="s">
        <v>3007</v>
      </c>
      <c r="B328">
        <v>0</v>
      </c>
    </row>
    <row r="329" spans="1:2" x14ac:dyDescent="0.35">
      <c r="A329" t="s">
        <v>3008</v>
      </c>
      <c r="B329">
        <v>0</v>
      </c>
    </row>
    <row r="330" spans="1:2" x14ac:dyDescent="0.35">
      <c r="A330" t="s">
        <v>3009</v>
      </c>
      <c r="B330">
        <v>0</v>
      </c>
    </row>
    <row r="331" spans="1:2" x14ac:dyDescent="0.35">
      <c r="A331" t="s">
        <v>3010</v>
      </c>
      <c r="B331">
        <v>0</v>
      </c>
    </row>
    <row r="332" spans="1:2" x14ac:dyDescent="0.35">
      <c r="A332" t="s">
        <v>3011</v>
      </c>
      <c r="B332">
        <v>0</v>
      </c>
    </row>
    <row r="333" spans="1:2" x14ac:dyDescent="0.35">
      <c r="A333" t="s">
        <v>3012</v>
      </c>
      <c r="B333">
        <v>0</v>
      </c>
    </row>
    <row r="334" spans="1:2" x14ac:dyDescent="0.35">
      <c r="A334" t="s">
        <v>3013</v>
      </c>
      <c r="B334">
        <v>0</v>
      </c>
    </row>
    <row r="335" spans="1:2" x14ac:dyDescent="0.35">
      <c r="A335" t="s">
        <v>3014</v>
      </c>
      <c r="B335">
        <v>0</v>
      </c>
    </row>
    <row r="336" spans="1:2" x14ac:dyDescent="0.35">
      <c r="A336" t="s">
        <v>3015</v>
      </c>
      <c r="B336">
        <v>0</v>
      </c>
    </row>
    <row r="337" spans="1:2" x14ac:dyDescent="0.35">
      <c r="A337" t="s">
        <v>3016</v>
      </c>
      <c r="B337">
        <v>0</v>
      </c>
    </row>
    <row r="338" spans="1:2" x14ac:dyDescent="0.35">
      <c r="A338" t="s">
        <v>3017</v>
      </c>
      <c r="B338">
        <v>0</v>
      </c>
    </row>
    <row r="339" spans="1:2" x14ac:dyDescent="0.35">
      <c r="A339" t="s">
        <v>3018</v>
      </c>
      <c r="B339">
        <v>0</v>
      </c>
    </row>
    <row r="340" spans="1:2" x14ac:dyDescent="0.35">
      <c r="A340" t="s">
        <v>3019</v>
      </c>
      <c r="B340">
        <v>0</v>
      </c>
    </row>
    <row r="341" spans="1:2" x14ac:dyDescent="0.35">
      <c r="A341" t="s">
        <v>3020</v>
      </c>
      <c r="B341">
        <v>0</v>
      </c>
    </row>
    <row r="342" spans="1:2" x14ac:dyDescent="0.35">
      <c r="A342" t="s">
        <v>3021</v>
      </c>
      <c r="B342">
        <v>0</v>
      </c>
    </row>
    <row r="343" spans="1:2" x14ac:dyDescent="0.35">
      <c r="A343" t="s">
        <v>3022</v>
      </c>
      <c r="B343">
        <v>0</v>
      </c>
    </row>
    <row r="344" spans="1:2" x14ac:dyDescent="0.35">
      <c r="A344" t="s">
        <v>3023</v>
      </c>
      <c r="B344">
        <v>0</v>
      </c>
    </row>
    <row r="345" spans="1:2" x14ac:dyDescent="0.35">
      <c r="A345" t="s">
        <v>3024</v>
      </c>
      <c r="B345">
        <v>0</v>
      </c>
    </row>
    <row r="346" spans="1:2" x14ac:dyDescent="0.35">
      <c r="A346" t="s">
        <v>3025</v>
      </c>
      <c r="B346">
        <v>0</v>
      </c>
    </row>
    <row r="347" spans="1:2" x14ac:dyDescent="0.35">
      <c r="A347" t="s">
        <v>3026</v>
      </c>
      <c r="B347">
        <v>0</v>
      </c>
    </row>
    <row r="348" spans="1:2" x14ac:dyDescent="0.35">
      <c r="A348" t="s">
        <v>3027</v>
      </c>
      <c r="B348">
        <v>0</v>
      </c>
    </row>
    <row r="349" spans="1:2" x14ac:dyDescent="0.35">
      <c r="A349" t="s">
        <v>3028</v>
      </c>
      <c r="B349">
        <v>0</v>
      </c>
    </row>
    <row r="350" spans="1:2" x14ac:dyDescent="0.35">
      <c r="A350" t="s">
        <v>3029</v>
      </c>
      <c r="B350">
        <v>0</v>
      </c>
    </row>
    <row r="351" spans="1:2" x14ac:dyDescent="0.35">
      <c r="A351" t="s">
        <v>3030</v>
      </c>
      <c r="B351">
        <v>0</v>
      </c>
    </row>
    <row r="352" spans="1:2" x14ac:dyDescent="0.35">
      <c r="A352" t="s">
        <v>3031</v>
      </c>
      <c r="B352">
        <v>0</v>
      </c>
    </row>
    <row r="353" spans="1:2" x14ac:dyDescent="0.35">
      <c r="A353" t="s">
        <v>3032</v>
      </c>
      <c r="B353">
        <v>0</v>
      </c>
    </row>
    <row r="354" spans="1:2" x14ac:dyDescent="0.35">
      <c r="A354" t="s">
        <v>3033</v>
      </c>
      <c r="B354">
        <v>0</v>
      </c>
    </row>
    <row r="355" spans="1:2" x14ac:dyDescent="0.35">
      <c r="A355" t="s">
        <v>3034</v>
      </c>
      <c r="B355">
        <v>0</v>
      </c>
    </row>
    <row r="356" spans="1:2" x14ac:dyDescent="0.35">
      <c r="A356" t="s">
        <v>3035</v>
      </c>
      <c r="B356">
        <v>0</v>
      </c>
    </row>
    <row r="357" spans="1:2" x14ac:dyDescent="0.35">
      <c r="A357" t="s">
        <v>3036</v>
      </c>
      <c r="B357">
        <v>0</v>
      </c>
    </row>
    <row r="358" spans="1:2" x14ac:dyDescent="0.35">
      <c r="A358" t="s">
        <v>3037</v>
      </c>
      <c r="B358">
        <v>0</v>
      </c>
    </row>
    <row r="359" spans="1:2" x14ac:dyDescent="0.35">
      <c r="A359" t="s">
        <v>3038</v>
      </c>
      <c r="B359">
        <v>0</v>
      </c>
    </row>
    <row r="360" spans="1:2" x14ac:dyDescent="0.35">
      <c r="A360" t="s">
        <v>3039</v>
      </c>
      <c r="B360">
        <v>0</v>
      </c>
    </row>
    <row r="361" spans="1:2" x14ac:dyDescent="0.35">
      <c r="A361" t="s">
        <v>3040</v>
      </c>
      <c r="B361">
        <v>0</v>
      </c>
    </row>
    <row r="362" spans="1:2" x14ac:dyDescent="0.35">
      <c r="A362" t="s">
        <v>3041</v>
      </c>
      <c r="B362">
        <v>0</v>
      </c>
    </row>
    <row r="363" spans="1:2" x14ac:dyDescent="0.35">
      <c r="A363" t="s">
        <v>3042</v>
      </c>
      <c r="B363">
        <v>0</v>
      </c>
    </row>
    <row r="364" spans="1:2" x14ac:dyDescent="0.35">
      <c r="A364" t="s">
        <v>3043</v>
      </c>
      <c r="B364">
        <v>0</v>
      </c>
    </row>
    <row r="365" spans="1:2" x14ac:dyDescent="0.35">
      <c r="A365" t="s">
        <v>3044</v>
      </c>
      <c r="B365">
        <v>0</v>
      </c>
    </row>
    <row r="366" spans="1:2" x14ac:dyDescent="0.35">
      <c r="A366" t="s">
        <v>3045</v>
      </c>
      <c r="B366">
        <v>0</v>
      </c>
    </row>
    <row r="367" spans="1:2" x14ac:dyDescent="0.35">
      <c r="A367" t="s">
        <v>3046</v>
      </c>
      <c r="B367">
        <v>10</v>
      </c>
    </row>
    <row r="368" spans="1:2" x14ac:dyDescent="0.35">
      <c r="A368" t="s">
        <v>3047</v>
      </c>
      <c r="B368">
        <v>0</v>
      </c>
    </row>
    <row r="369" spans="1:2" x14ac:dyDescent="0.35">
      <c r="A369" t="s">
        <v>3048</v>
      </c>
      <c r="B369">
        <v>0</v>
      </c>
    </row>
    <row r="370" spans="1:2" x14ac:dyDescent="0.35">
      <c r="A370" t="s">
        <v>3049</v>
      </c>
      <c r="B370">
        <v>0</v>
      </c>
    </row>
    <row r="371" spans="1:2" x14ac:dyDescent="0.35">
      <c r="A371" t="s">
        <v>3050</v>
      </c>
      <c r="B371">
        <v>0</v>
      </c>
    </row>
    <row r="372" spans="1:2" x14ac:dyDescent="0.35">
      <c r="A372" t="s">
        <v>3051</v>
      </c>
      <c r="B372">
        <v>0</v>
      </c>
    </row>
    <row r="373" spans="1:2" x14ac:dyDescent="0.35">
      <c r="A373" t="s">
        <v>3052</v>
      </c>
      <c r="B373">
        <v>0</v>
      </c>
    </row>
    <row r="374" spans="1:2" x14ac:dyDescent="0.35">
      <c r="A374" t="s">
        <v>3053</v>
      </c>
      <c r="B374">
        <v>0</v>
      </c>
    </row>
    <row r="375" spans="1:2" x14ac:dyDescent="0.35">
      <c r="A375" t="s">
        <v>3054</v>
      </c>
      <c r="B375">
        <v>0</v>
      </c>
    </row>
    <row r="376" spans="1:2" x14ac:dyDescent="0.35">
      <c r="A376" t="s">
        <v>3055</v>
      </c>
      <c r="B376">
        <v>0</v>
      </c>
    </row>
    <row r="377" spans="1:2" x14ac:dyDescent="0.35">
      <c r="A377" t="s">
        <v>3056</v>
      </c>
      <c r="B377">
        <v>0</v>
      </c>
    </row>
    <row r="378" spans="1:2" x14ac:dyDescent="0.35">
      <c r="A378" t="s">
        <v>3057</v>
      </c>
      <c r="B378">
        <v>0</v>
      </c>
    </row>
    <row r="379" spans="1:2" x14ac:dyDescent="0.35">
      <c r="A379" t="s">
        <v>3058</v>
      </c>
      <c r="B379">
        <v>0</v>
      </c>
    </row>
    <row r="380" spans="1:2" x14ac:dyDescent="0.35">
      <c r="A380" t="s">
        <v>3059</v>
      </c>
      <c r="B380">
        <v>0</v>
      </c>
    </row>
    <row r="381" spans="1:2" x14ac:dyDescent="0.35">
      <c r="A381" t="s">
        <v>3060</v>
      </c>
      <c r="B381">
        <v>0</v>
      </c>
    </row>
    <row r="382" spans="1:2" x14ac:dyDescent="0.35">
      <c r="A382" t="s">
        <v>3061</v>
      </c>
      <c r="B382">
        <v>0</v>
      </c>
    </row>
    <row r="383" spans="1:2" x14ac:dyDescent="0.35">
      <c r="A383" t="s">
        <v>3062</v>
      </c>
      <c r="B383">
        <v>0</v>
      </c>
    </row>
    <row r="384" spans="1:2" x14ac:dyDescent="0.35">
      <c r="A384" t="s">
        <v>3063</v>
      </c>
      <c r="B384">
        <v>0</v>
      </c>
    </row>
    <row r="385" spans="1:2" x14ac:dyDescent="0.35">
      <c r="A385" t="s">
        <v>3064</v>
      </c>
      <c r="B385">
        <v>0</v>
      </c>
    </row>
    <row r="386" spans="1:2" x14ac:dyDescent="0.35">
      <c r="A386" t="s">
        <v>3065</v>
      </c>
      <c r="B386">
        <v>0</v>
      </c>
    </row>
    <row r="387" spans="1:2" x14ac:dyDescent="0.35">
      <c r="A387" t="s">
        <v>3066</v>
      </c>
      <c r="B387">
        <v>0</v>
      </c>
    </row>
    <row r="388" spans="1:2" x14ac:dyDescent="0.35">
      <c r="A388" t="s">
        <v>3067</v>
      </c>
      <c r="B388">
        <v>0</v>
      </c>
    </row>
    <row r="389" spans="1:2" x14ac:dyDescent="0.35">
      <c r="A389" t="s">
        <v>3068</v>
      </c>
      <c r="B389">
        <v>0</v>
      </c>
    </row>
    <row r="390" spans="1:2" x14ac:dyDescent="0.35">
      <c r="A390" t="s">
        <v>3069</v>
      </c>
      <c r="B390">
        <v>0</v>
      </c>
    </row>
    <row r="391" spans="1:2" x14ac:dyDescent="0.35">
      <c r="A391" t="s">
        <v>3070</v>
      </c>
      <c r="B391">
        <v>0</v>
      </c>
    </row>
    <row r="392" spans="1:2" x14ac:dyDescent="0.35">
      <c r="A392" t="s">
        <v>3071</v>
      </c>
      <c r="B392">
        <v>0</v>
      </c>
    </row>
    <row r="393" spans="1:2" x14ac:dyDescent="0.35">
      <c r="A393" t="s">
        <v>3072</v>
      </c>
      <c r="B393">
        <v>0</v>
      </c>
    </row>
    <row r="394" spans="1:2" x14ac:dyDescent="0.35">
      <c r="A394" t="s">
        <v>3073</v>
      </c>
      <c r="B394">
        <v>0</v>
      </c>
    </row>
    <row r="395" spans="1:2" x14ac:dyDescent="0.35">
      <c r="A395" t="s">
        <v>3074</v>
      </c>
      <c r="B395">
        <v>0</v>
      </c>
    </row>
    <row r="396" spans="1:2" x14ac:dyDescent="0.35">
      <c r="A396" t="s">
        <v>3075</v>
      </c>
      <c r="B396">
        <v>0</v>
      </c>
    </row>
    <row r="397" spans="1:2" x14ac:dyDescent="0.35">
      <c r="A397" t="s">
        <v>3076</v>
      </c>
      <c r="B397">
        <v>0</v>
      </c>
    </row>
    <row r="398" spans="1:2" x14ac:dyDescent="0.35">
      <c r="A398" t="s">
        <v>3077</v>
      </c>
      <c r="B398">
        <v>0</v>
      </c>
    </row>
    <row r="399" spans="1:2" x14ac:dyDescent="0.35">
      <c r="A399" t="s">
        <v>3078</v>
      </c>
      <c r="B399">
        <v>0</v>
      </c>
    </row>
    <row r="400" spans="1:2" x14ac:dyDescent="0.35">
      <c r="A400" t="s">
        <v>3079</v>
      </c>
      <c r="B400">
        <v>0</v>
      </c>
    </row>
    <row r="401" spans="1:2" x14ac:dyDescent="0.35">
      <c r="A401" t="s">
        <v>3080</v>
      </c>
      <c r="B401">
        <v>0</v>
      </c>
    </row>
    <row r="402" spans="1:2" x14ac:dyDescent="0.35">
      <c r="A402" t="s">
        <v>3081</v>
      </c>
      <c r="B402">
        <v>0</v>
      </c>
    </row>
    <row r="403" spans="1:2" x14ac:dyDescent="0.35">
      <c r="A403" t="s">
        <v>3082</v>
      </c>
      <c r="B403">
        <v>0</v>
      </c>
    </row>
    <row r="404" spans="1:2" x14ac:dyDescent="0.35">
      <c r="A404" t="s">
        <v>3083</v>
      </c>
      <c r="B404">
        <v>0</v>
      </c>
    </row>
    <row r="405" spans="1:2" x14ac:dyDescent="0.35">
      <c r="A405" t="s">
        <v>3084</v>
      </c>
      <c r="B405">
        <v>0</v>
      </c>
    </row>
    <row r="406" spans="1:2" x14ac:dyDescent="0.35">
      <c r="A406" t="s">
        <v>3085</v>
      </c>
      <c r="B406">
        <v>0</v>
      </c>
    </row>
    <row r="407" spans="1:2" x14ac:dyDescent="0.35">
      <c r="A407" t="s">
        <v>3086</v>
      </c>
      <c r="B407">
        <v>0</v>
      </c>
    </row>
    <row r="408" spans="1:2" x14ac:dyDescent="0.35">
      <c r="A408" t="s">
        <v>3087</v>
      </c>
      <c r="B408">
        <v>0</v>
      </c>
    </row>
    <row r="409" spans="1:2" x14ac:dyDescent="0.35">
      <c r="A409" t="s">
        <v>3088</v>
      </c>
      <c r="B409">
        <v>0</v>
      </c>
    </row>
    <row r="410" spans="1:2" x14ac:dyDescent="0.35">
      <c r="A410" t="s">
        <v>3089</v>
      </c>
      <c r="B410">
        <v>0</v>
      </c>
    </row>
    <row r="411" spans="1:2" x14ac:dyDescent="0.35">
      <c r="A411" t="s">
        <v>3090</v>
      </c>
      <c r="B411">
        <v>0</v>
      </c>
    </row>
    <row r="412" spans="1:2" x14ac:dyDescent="0.35">
      <c r="A412" t="s">
        <v>3091</v>
      </c>
      <c r="B412">
        <v>0</v>
      </c>
    </row>
    <row r="413" spans="1:2" x14ac:dyDescent="0.35">
      <c r="A413" t="s">
        <v>3092</v>
      </c>
      <c r="B413">
        <v>0</v>
      </c>
    </row>
    <row r="414" spans="1:2" x14ac:dyDescent="0.35">
      <c r="A414" t="s">
        <v>3093</v>
      </c>
      <c r="B414">
        <v>0</v>
      </c>
    </row>
    <row r="415" spans="1:2" x14ac:dyDescent="0.35">
      <c r="A415" t="s">
        <v>3094</v>
      </c>
      <c r="B415">
        <v>0</v>
      </c>
    </row>
    <row r="416" spans="1:2" x14ac:dyDescent="0.35">
      <c r="A416" t="s">
        <v>3095</v>
      </c>
      <c r="B416">
        <v>0</v>
      </c>
    </row>
    <row r="417" spans="1:2" x14ac:dyDescent="0.35">
      <c r="A417" t="s">
        <v>3096</v>
      </c>
      <c r="B417">
        <v>0</v>
      </c>
    </row>
    <row r="418" spans="1:2" x14ac:dyDescent="0.35">
      <c r="A418" t="s">
        <v>3097</v>
      </c>
      <c r="B418">
        <v>0</v>
      </c>
    </row>
    <row r="419" spans="1:2" x14ac:dyDescent="0.35">
      <c r="A419" t="s">
        <v>3098</v>
      </c>
      <c r="B419">
        <v>0</v>
      </c>
    </row>
    <row r="420" spans="1:2" x14ac:dyDescent="0.35">
      <c r="A420" t="s">
        <v>3099</v>
      </c>
      <c r="B420">
        <v>0</v>
      </c>
    </row>
    <row r="421" spans="1:2" x14ac:dyDescent="0.35">
      <c r="A421" t="s">
        <v>3100</v>
      </c>
      <c r="B421">
        <v>0</v>
      </c>
    </row>
    <row r="422" spans="1:2" x14ac:dyDescent="0.35">
      <c r="A422" t="s">
        <v>3101</v>
      </c>
      <c r="B422">
        <v>0</v>
      </c>
    </row>
    <row r="423" spans="1:2" x14ac:dyDescent="0.35">
      <c r="A423" t="s">
        <v>3102</v>
      </c>
      <c r="B423">
        <v>0</v>
      </c>
    </row>
    <row r="424" spans="1:2" x14ac:dyDescent="0.35">
      <c r="A424" t="s">
        <v>3103</v>
      </c>
      <c r="B424">
        <v>0</v>
      </c>
    </row>
    <row r="425" spans="1:2" x14ac:dyDescent="0.35">
      <c r="A425" t="s">
        <v>3104</v>
      </c>
      <c r="B425">
        <v>0</v>
      </c>
    </row>
    <row r="426" spans="1:2" x14ac:dyDescent="0.35">
      <c r="A426" t="s">
        <v>3105</v>
      </c>
      <c r="B426">
        <v>0</v>
      </c>
    </row>
    <row r="427" spans="1:2" x14ac:dyDescent="0.35">
      <c r="A427" t="s">
        <v>3106</v>
      </c>
      <c r="B427">
        <v>0</v>
      </c>
    </row>
    <row r="428" spans="1:2" x14ac:dyDescent="0.35">
      <c r="A428" t="s">
        <v>3107</v>
      </c>
      <c r="B428">
        <v>0</v>
      </c>
    </row>
    <row r="429" spans="1:2" x14ac:dyDescent="0.35">
      <c r="A429" t="s">
        <v>3108</v>
      </c>
      <c r="B429">
        <v>0</v>
      </c>
    </row>
    <row r="430" spans="1:2" x14ac:dyDescent="0.35">
      <c r="A430" t="s">
        <v>3109</v>
      </c>
      <c r="B430">
        <v>0</v>
      </c>
    </row>
    <row r="431" spans="1:2" x14ac:dyDescent="0.35">
      <c r="A431" t="s">
        <v>3110</v>
      </c>
      <c r="B431">
        <v>0</v>
      </c>
    </row>
    <row r="432" spans="1:2" x14ac:dyDescent="0.35">
      <c r="A432" t="s">
        <v>3111</v>
      </c>
      <c r="B432">
        <v>0</v>
      </c>
    </row>
    <row r="433" spans="1:2" x14ac:dyDescent="0.35">
      <c r="A433" t="s">
        <v>3112</v>
      </c>
      <c r="B433">
        <v>0</v>
      </c>
    </row>
    <row r="434" spans="1:2" x14ac:dyDescent="0.35">
      <c r="A434" t="s">
        <v>3113</v>
      </c>
      <c r="B434">
        <v>0</v>
      </c>
    </row>
    <row r="435" spans="1:2" x14ac:dyDescent="0.35">
      <c r="A435" t="s">
        <v>3114</v>
      </c>
      <c r="B435">
        <v>0</v>
      </c>
    </row>
    <row r="436" spans="1:2" x14ac:dyDescent="0.35">
      <c r="A436" t="s">
        <v>3115</v>
      </c>
      <c r="B436">
        <v>0</v>
      </c>
    </row>
    <row r="437" spans="1:2" x14ac:dyDescent="0.35">
      <c r="A437" t="s">
        <v>3116</v>
      </c>
      <c r="B437">
        <v>0</v>
      </c>
    </row>
    <row r="438" spans="1:2" x14ac:dyDescent="0.35">
      <c r="A438" t="s">
        <v>3117</v>
      </c>
      <c r="B438">
        <v>0</v>
      </c>
    </row>
    <row r="439" spans="1:2" x14ac:dyDescent="0.35">
      <c r="A439" t="s">
        <v>3118</v>
      </c>
      <c r="B439">
        <v>0</v>
      </c>
    </row>
    <row r="440" spans="1:2" x14ac:dyDescent="0.35">
      <c r="A440" t="s">
        <v>3119</v>
      </c>
      <c r="B440">
        <v>0</v>
      </c>
    </row>
    <row r="441" spans="1:2" x14ac:dyDescent="0.35">
      <c r="A441" t="s">
        <v>3120</v>
      </c>
      <c r="B441">
        <v>0</v>
      </c>
    </row>
    <row r="442" spans="1:2" x14ac:dyDescent="0.35">
      <c r="A442" t="s">
        <v>3121</v>
      </c>
      <c r="B442">
        <v>0</v>
      </c>
    </row>
    <row r="443" spans="1:2" x14ac:dyDescent="0.35">
      <c r="A443" t="s">
        <v>3122</v>
      </c>
      <c r="B443">
        <v>0</v>
      </c>
    </row>
    <row r="444" spans="1:2" x14ac:dyDescent="0.35">
      <c r="A444" t="s">
        <v>3123</v>
      </c>
      <c r="B444">
        <v>0</v>
      </c>
    </row>
    <row r="445" spans="1:2" x14ac:dyDescent="0.35">
      <c r="A445" t="s">
        <v>3124</v>
      </c>
      <c r="B445">
        <v>0</v>
      </c>
    </row>
    <row r="446" spans="1:2" x14ac:dyDescent="0.35">
      <c r="A446" t="s">
        <v>3125</v>
      </c>
      <c r="B446">
        <v>0</v>
      </c>
    </row>
    <row r="447" spans="1:2" x14ac:dyDescent="0.35">
      <c r="A447" t="s">
        <v>3126</v>
      </c>
      <c r="B447">
        <v>0</v>
      </c>
    </row>
    <row r="448" spans="1:2" x14ac:dyDescent="0.35">
      <c r="A448" t="s">
        <v>3127</v>
      </c>
      <c r="B448">
        <v>0</v>
      </c>
    </row>
    <row r="449" spans="1:2" x14ac:dyDescent="0.35">
      <c r="A449" t="s">
        <v>3128</v>
      </c>
      <c r="B449">
        <v>0</v>
      </c>
    </row>
    <row r="450" spans="1:2" x14ac:dyDescent="0.35">
      <c r="A450" t="s">
        <v>3129</v>
      </c>
      <c r="B450">
        <v>0</v>
      </c>
    </row>
    <row r="451" spans="1:2" x14ac:dyDescent="0.35">
      <c r="A451" t="s">
        <v>3130</v>
      </c>
      <c r="B451">
        <v>0</v>
      </c>
    </row>
    <row r="452" spans="1:2" x14ac:dyDescent="0.35">
      <c r="A452" t="s">
        <v>3131</v>
      </c>
      <c r="B452">
        <v>0</v>
      </c>
    </row>
    <row r="453" spans="1:2" x14ac:dyDescent="0.35">
      <c r="A453" t="s">
        <v>3132</v>
      </c>
      <c r="B453">
        <v>0</v>
      </c>
    </row>
    <row r="454" spans="1:2" x14ac:dyDescent="0.35">
      <c r="A454" t="s">
        <v>3133</v>
      </c>
      <c r="B454">
        <v>0</v>
      </c>
    </row>
    <row r="455" spans="1:2" x14ac:dyDescent="0.35">
      <c r="A455" t="s">
        <v>3134</v>
      </c>
      <c r="B455">
        <v>0</v>
      </c>
    </row>
    <row r="456" spans="1:2" x14ac:dyDescent="0.35">
      <c r="A456" t="s">
        <v>3135</v>
      </c>
      <c r="B456">
        <v>0</v>
      </c>
    </row>
    <row r="457" spans="1:2" x14ac:dyDescent="0.35">
      <c r="A457" t="s">
        <v>3136</v>
      </c>
      <c r="B457">
        <v>7</v>
      </c>
    </row>
    <row r="458" spans="1:2" x14ac:dyDescent="0.35">
      <c r="A458" t="s">
        <v>3137</v>
      </c>
      <c r="B458">
        <v>1</v>
      </c>
    </row>
    <row r="459" spans="1:2" x14ac:dyDescent="0.35">
      <c r="A459" t="s">
        <v>3138</v>
      </c>
      <c r="B459">
        <v>1</v>
      </c>
    </row>
    <row r="460" spans="1:2" x14ac:dyDescent="0.35">
      <c r="A460" t="s">
        <v>3139</v>
      </c>
      <c r="B460">
        <v>1</v>
      </c>
    </row>
    <row r="461" spans="1:2" x14ac:dyDescent="0.35">
      <c r="A461" t="s">
        <v>3140</v>
      </c>
      <c r="B461">
        <v>1</v>
      </c>
    </row>
    <row r="462" spans="1:2" x14ac:dyDescent="0.35">
      <c r="A462" t="s">
        <v>3141</v>
      </c>
      <c r="B462">
        <v>1</v>
      </c>
    </row>
    <row r="463" spans="1:2" x14ac:dyDescent="0.35">
      <c r="A463" t="s">
        <v>3142</v>
      </c>
      <c r="B463">
        <v>1</v>
      </c>
    </row>
    <row r="464" spans="1:2" x14ac:dyDescent="0.35">
      <c r="A464" t="s">
        <v>3143</v>
      </c>
      <c r="B464">
        <v>1</v>
      </c>
    </row>
    <row r="465" spans="1:2" x14ac:dyDescent="0.35">
      <c r="A465" t="s">
        <v>3144</v>
      </c>
      <c r="B465">
        <v>1</v>
      </c>
    </row>
    <row r="466" spans="1:2" x14ac:dyDescent="0.35">
      <c r="A466" t="s">
        <v>3145</v>
      </c>
      <c r="B466">
        <v>1</v>
      </c>
    </row>
    <row r="467" spans="1:2" x14ac:dyDescent="0.35">
      <c r="A467" t="s">
        <v>3146</v>
      </c>
      <c r="B467">
        <v>1</v>
      </c>
    </row>
    <row r="468" spans="1:2" x14ac:dyDescent="0.35">
      <c r="A468" t="s">
        <v>3147</v>
      </c>
      <c r="B468">
        <v>1</v>
      </c>
    </row>
    <row r="469" spans="1:2" x14ac:dyDescent="0.35">
      <c r="A469" t="s">
        <v>3148</v>
      </c>
      <c r="B469">
        <v>1</v>
      </c>
    </row>
    <row r="470" spans="1:2" x14ac:dyDescent="0.35">
      <c r="A470" t="s">
        <v>3149</v>
      </c>
      <c r="B470">
        <v>1</v>
      </c>
    </row>
    <row r="471" spans="1:2" x14ac:dyDescent="0.35">
      <c r="A471" t="s">
        <v>3150</v>
      </c>
      <c r="B471">
        <v>1</v>
      </c>
    </row>
    <row r="472" spans="1:2" x14ac:dyDescent="0.35">
      <c r="A472" t="s">
        <v>3151</v>
      </c>
      <c r="B472">
        <v>1</v>
      </c>
    </row>
    <row r="473" spans="1:2" x14ac:dyDescent="0.35">
      <c r="A473" t="s">
        <v>3152</v>
      </c>
      <c r="B473">
        <v>1</v>
      </c>
    </row>
    <row r="474" spans="1:2" x14ac:dyDescent="0.35">
      <c r="A474" t="s">
        <v>3153</v>
      </c>
      <c r="B474">
        <v>1</v>
      </c>
    </row>
    <row r="475" spans="1:2" x14ac:dyDescent="0.35">
      <c r="A475" t="s">
        <v>3154</v>
      </c>
      <c r="B475">
        <v>1</v>
      </c>
    </row>
    <row r="476" spans="1:2" x14ac:dyDescent="0.35">
      <c r="A476" t="s">
        <v>3155</v>
      </c>
      <c r="B476">
        <v>1</v>
      </c>
    </row>
    <row r="477" spans="1:2" x14ac:dyDescent="0.35">
      <c r="A477" t="s">
        <v>3156</v>
      </c>
      <c r="B477">
        <v>1</v>
      </c>
    </row>
    <row r="478" spans="1:2" x14ac:dyDescent="0.35">
      <c r="A478" t="s">
        <v>3157</v>
      </c>
      <c r="B478">
        <v>1</v>
      </c>
    </row>
    <row r="479" spans="1:2" x14ac:dyDescent="0.35">
      <c r="A479" t="s">
        <v>3158</v>
      </c>
      <c r="B479">
        <v>1</v>
      </c>
    </row>
    <row r="480" spans="1:2" x14ac:dyDescent="0.35">
      <c r="A480" t="s">
        <v>3159</v>
      </c>
      <c r="B480">
        <v>1</v>
      </c>
    </row>
    <row r="481" spans="1:2" x14ac:dyDescent="0.35">
      <c r="A481" t="s">
        <v>3160</v>
      </c>
      <c r="B481">
        <v>1</v>
      </c>
    </row>
    <row r="482" spans="1:2" x14ac:dyDescent="0.35">
      <c r="A482" t="s">
        <v>3161</v>
      </c>
      <c r="B482">
        <v>1</v>
      </c>
    </row>
    <row r="483" spans="1:2" x14ac:dyDescent="0.35">
      <c r="A483" t="s">
        <v>3162</v>
      </c>
      <c r="B483">
        <v>1</v>
      </c>
    </row>
    <row r="484" spans="1:2" x14ac:dyDescent="0.35">
      <c r="A484" t="s">
        <v>3163</v>
      </c>
      <c r="B484">
        <v>1</v>
      </c>
    </row>
    <row r="485" spans="1:2" x14ac:dyDescent="0.35">
      <c r="A485" t="s">
        <v>3164</v>
      </c>
      <c r="B485">
        <v>1</v>
      </c>
    </row>
    <row r="486" spans="1:2" x14ac:dyDescent="0.35">
      <c r="A486" t="s">
        <v>3165</v>
      </c>
      <c r="B486">
        <v>1</v>
      </c>
    </row>
    <row r="487" spans="1:2" x14ac:dyDescent="0.35">
      <c r="A487" t="s">
        <v>3166</v>
      </c>
      <c r="B487" t="s">
        <v>96</v>
      </c>
    </row>
    <row r="488" spans="1:2" x14ac:dyDescent="0.35">
      <c r="A488" t="s">
        <v>3167</v>
      </c>
      <c r="B488">
        <v>0</v>
      </c>
    </row>
    <row r="489" spans="1:2" x14ac:dyDescent="0.35">
      <c r="A489" t="s">
        <v>3168</v>
      </c>
      <c r="B489">
        <v>0</v>
      </c>
    </row>
    <row r="490" spans="1:2" x14ac:dyDescent="0.35">
      <c r="A490" t="s">
        <v>3169</v>
      </c>
      <c r="B490">
        <v>0</v>
      </c>
    </row>
    <row r="491" spans="1:2" x14ac:dyDescent="0.35">
      <c r="A491" t="s">
        <v>3170</v>
      </c>
      <c r="B491">
        <v>0</v>
      </c>
    </row>
    <row r="492" spans="1:2" x14ac:dyDescent="0.35">
      <c r="A492" t="s">
        <v>3171</v>
      </c>
      <c r="B492">
        <v>0</v>
      </c>
    </row>
    <row r="493" spans="1:2" x14ac:dyDescent="0.35">
      <c r="A493" t="s">
        <v>3172</v>
      </c>
      <c r="B493">
        <v>0</v>
      </c>
    </row>
    <row r="494" spans="1:2" x14ac:dyDescent="0.35">
      <c r="A494" t="s">
        <v>3173</v>
      </c>
      <c r="B494">
        <v>0</v>
      </c>
    </row>
    <row r="495" spans="1:2" x14ac:dyDescent="0.35">
      <c r="A495" t="s">
        <v>3174</v>
      </c>
      <c r="B495">
        <v>0</v>
      </c>
    </row>
    <row r="496" spans="1:2" x14ac:dyDescent="0.35">
      <c r="A496" t="s">
        <v>3175</v>
      </c>
      <c r="B496">
        <v>0</v>
      </c>
    </row>
    <row r="497" spans="1:2" x14ac:dyDescent="0.35">
      <c r="A497" t="s">
        <v>3176</v>
      </c>
      <c r="B497">
        <v>0</v>
      </c>
    </row>
    <row r="498" spans="1:2" x14ac:dyDescent="0.35">
      <c r="A498" t="s">
        <v>3177</v>
      </c>
      <c r="B498">
        <v>0</v>
      </c>
    </row>
    <row r="499" spans="1:2" x14ac:dyDescent="0.35">
      <c r="A499" t="s">
        <v>3178</v>
      </c>
      <c r="B499">
        <v>0</v>
      </c>
    </row>
    <row r="500" spans="1:2" x14ac:dyDescent="0.35">
      <c r="A500" t="s">
        <v>3179</v>
      </c>
      <c r="B500">
        <v>0</v>
      </c>
    </row>
    <row r="501" spans="1:2" x14ac:dyDescent="0.35">
      <c r="A501" t="s">
        <v>3180</v>
      </c>
      <c r="B501">
        <v>0</v>
      </c>
    </row>
    <row r="502" spans="1:2" x14ac:dyDescent="0.35">
      <c r="A502" t="s">
        <v>3181</v>
      </c>
      <c r="B502">
        <v>0</v>
      </c>
    </row>
    <row r="503" spans="1:2" x14ac:dyDescent="0.35">
      <c r="A503" t="s">
        <v>3182</v>
      </c>
      <c r="B503">
        <v>0</v>
      </c>
    </row>
    <row r="504" spans="1:2" x14ac:dyDescent="0.35">
      <c r="A504" t="s">
        <v>3183</v>
      </c>
      <c r="B504">
        <v>0</v>
      </c>
    </row>
    <row r="505" spans="1:2" x14ac:dyDescent="0.35">
      <c r="A505" t="s">
        <v>3184</v>
      </c>
      <c r="B505">
        <v>0</v>
      </c>
    </row>
    <row r="506" spans="1:2" x14ac:dyDescent="0.35">
      <c r="A506" t="s">
        <v>3185</v>
      </c>
      <c r="B506">
        <v>0</v>
      </c>
    </row>
    <row r="507" spans="1:2" x14ac:dyDescent="0.35">
      <c r="A507" t="s">
        <v>3186</v>
      </c>
      <c r="B507">
        <v>0</v>
      </c>
    </row>
    <row r="508" spans="1:2" x14ac:dyDescent="0.35">
      <c r="A508" t="s">
        <v>3187</v>
      </c>
      <c r="B508">
        <v>0</v>
      </c>
    </row>
    <row r="509" spans="1:2" x14ac:dyDescent="0.35">
      <c r="A509" t="s">
        <v>3188</v>
      </c>
      <c r="B509">
        <v>0</v>
      </c>
    </row>
    <row r="510" spans="1:2" x14ac:dyDescent="0.35">
      <c r="A510" t="s">
        <v>3189</v>
      </c>
      <c r="B510">
        <v>0</v>
      </c>
    </row>
    <row r="511" spans="1:2" x14ac:dyDescent="0.35">
      <c r="A511" t="s">
        <v>3190</v>
      </c>
      <c r="B511">
        <v>0</v>
      </c>
    </row>
    <row r="512" spans="1:2" x14ac:dyDescent="0.35">
      <c r="A512" t="s">
        <v>3191</v>
      </c>
      <c r="B512">
        <v>0</v>
      </c>
    </row>
    <row r="513" spans="1:2" x14ac:dyDescent="0.35">
      <c r="A513" t="s">
        <v>3192</v>
      </c>
      <c r="B513">
        <v>0</v>
      </c>
    </row>
    <row r="514" spans="1:2" x14ac:dyDescent="0.35">
      <c r="A514" t="s">
        <v>3193</v>
      </c>
      <c r="B514">
        <v>0</v>
      </c>
    </row>
    <row r="515" spans="1:2" x14ac:dyDescent="0.35">
      <c r="A515" t="s">
        <v>3194</v>
      </c>
      <c r="B515">
        <v>0</v>
      </c>
    </row>
    <row r="516" spans="1:2" x14ac:dyDescent="0.35">
      <c r="A516" t="s">
        <v>3195</v>
      </c>
      <c r="B516">
        <v>0</v>
      </c>
    </row>
    <row r="517" spans="1:2" x14ac:dyDescent="0.35">
      <c r="A517" t="s">
        <v>3225</v>
      </c>
      <c r="B517">
        <v>0</v>
      </c>
    </row>
    <row r="518" spans="1:2" x14ac:dyDescent="0.35">
      <c r="A518" t="s">
        <v>3227</v>
      </c>
      <c r="B518">
        <v>0</v>
      </c>
    </row>
    <row r="519" spans="1:2" x14ac:dyDescent="0.35">
      <c r="A519" t="s">
        <v>3229</v>
      </c>
      <c r="B519">
        <v>5000</v>
      </c>
    </row>
    <row r="520" spans="1:2" x14ac:dyDescent="0.35">
      <c r="A520" t="s">
        <v>3230</v>
      </c>
      <c r="B520">
        <v>1</v>
      </c>
    </row>
    <row r="521" spans="1:2" x14ac:dyDescent="0.35">
      <c r="A521" t="s">
        <v>3232</v>
      </c>
      <c r="B521">
        <v>2</v>
      </c>
    </row>
    <row r="522" spans="1:2" x14ac:dyDescent="0.35">
      <c r="A522" t="s">
        <v>3235</v>
      </c>
      <c r="B522">
        <v>0</v>
      </c>
    </row>
    <row r="523" spans="1:2" x14ac:dyDescent="0.35">
      <c r="A523" t="s">
        <v>3236</v>
      </c>
      <c r="B523">
        <v>0</v>
      </c>
    </row>
    <row r="524" spans="1:2" x14ac:dyDescent="0.35">
      <c r="A524" t="s">
        <v>3238</v>
      </c>
      <c r="B524">
        <v>2</v>
      </c>
    </row>
    <row r="525" spans="1:2" x14ac:dyDescent="0.35">
      <c r="A525" t="s">
        <v>3241</v>
      </c>
      <c r="B525">
        <v>0</v>
      </c>
    </row>
    <row r="526" spans="1:2" x14ac:dyDescent="0.35">
      <c r="A526" t="s">
        <v>3242</v>
      </c>
      <c r="B526">
        <v>0</v>
      </c>
    </row>
    <row r="527" spans="1:2" x14ac:dyDescent="0.35">
      <c r="A527" t="s">
        <v>3244</v>
      </c>
      <c r="B527">
        <v>5000</v>
      </c>
    </row>
    <row r="528" spans="1:2" x14ac:dyDescent="0.35">
      <c r="A528" t="s">
        <v>3246</v>
      </c>
      <c r="B528">
        <v>5000</v>
      </c>
    </row>
    <row r="529" spans="1:2" x14ac:dyDescent="0.35">
      <c r="A529" t="s">
        <v>3359</v>
      </c>
      <c r="B529">
        <v>1</v>
      </c>
    </row>
    <row r="530" spans="1:2" x14ac:dyDescent="0.35">
      <c r="A530" t="s">
        <v>3248</v>
      </c>
      <c r="B530">
        <v>5000</v>
      </c>
    </row>
    <row r="531" spans="1:2" x14ac:dyDescent="0.35">
      <c r="A531" t="s">
        <v>3258</v>
      </c>
      <c r="B531">
        <v>1</v>
      </c>
    </row>
    <row r="532" spans="1:2" x14ac:dyDescent="0.35">
      <c r="A532" t="s">
        <v>3259</v>
      </c>
      <c r="B532">
        <v>1</v>
      </c>
    </row>
    <row r="533" spans="1:2" x14ac:dyDescent="0.35">
      <c r="A533" t="s">
        <v>3260</v>
      </c>
      <c r="B533">
        <v>1</v>
      </c>
    </row>
    <row r="534" spans="1:2" x14ac:dyDescent="0.35">
      <c r="A534" t="s">
        <v>3261</v>
      </c>
      <c r="B534">
        <v>1</v>
      </c>
    </row>
    <row r="535" spans="1:2" x14ac:dyDescent="0.35">
      <c r="A535" t="s">
        <v>3262</v>
      </c>
      <c r="B535">
        <v>1</v>
      </c>
    </row>
    <row r="536" spans="1:2" x14ac:dyDescent="0.35">
      <c r="A536" t="s">
        <v>3263</v>
      </c>
      <c r="B536">
        <v>1</v>
      </c>
    </row>
    <row r="537" spans="1:2" x14ac:dyDescent="0.35">
      <c r="A537" t="s">
        <v>3264</v>
      </c>
      <c r="B537">
        <v>1</v>
      </c>
    </row>
    <row r="538" spans="1:2" x14ac:dyDescent="0.35">
      <c r="A538" t="s">
        <v>3265</v>
      </c>
      <c r="B538">
        <v>1</v>
      </c>
    </row>
    <row r="539" spans="1:2" x14ac:dyDescent="0.35">
      <c r="A539" t="s">
        <v>3266</v>
      </c>
      <c r="B539">
        <v>1</v>
      </c>
    </row>
    <row r="540" spans="1:2" x14ac:dyDescent="0.35">
      <c r="A540" t="s">
        <v>3276</v>
      </c>
      <c r="B540">
        <v>0</v>
      </c>
    </row>
    <row r="541" spans="1:2" x14ac:dyDescent="0.35">
      <c r="A541" t="s">
        <v>3277</v>
      </c>
      <c r="B541">
        <v>0</v>
      </c>
    </row>
    <row r="542" spans="1:2" x14ac:dyDescent="0.35">
      <c r="A542" t="s">
        <v>3278</v>
      </c>
      <c r="B542">
        <v>0</v>
      </c>
    </row>
    <row r="543" spans="1:2" x14ac:dyDescent="0.35">
      <c r="A543" t="s">
        <v>3279</v>
      </c>
      <c r="B543">
        <v>0</v>
      </c>
    </row>
    <row r="544" spans="1:2" x14ac:dyDescent="0.35">
      <c r="A544" t="s">
        <v>3280</v>
      </c>
      <c r="B544">
        <v>0</v>
      </c>
    </row>
    <row r="545" spans="1:2" x14ac:dyDescent="0.35">
      <c r="A545" t="s">
        <v>3281</v>
      </c>
      <c r="B545">
        <v>0</v>
      </c>
    </row>
    <row r="546" spans="1:2" x14ac:dyDescent="0.35">
      <c r="A546" t="s">
        <v>3282</v>
      </c>
      <c r="B546">
        <v>0</v>
      </c>
    </row>
    <row r="547" spans="1:2" x14ac:dyDescent="0.35">
      <c r="A547" t="s">
        <v>3283</v>
      </c>
      <c r="B547">
        <v>0</v>
      </c>
    </row>
    <row r="548" spans="1:2" x14ac:dyDescent="0.35">
      <c r="A548" t="s">
        <v>3284</v>
      </c>
      <c r="B548">
        <v>0</v>
      </c>
    </row>
    <row r="549" spans="1:2" x14ac:dyDescent="0.35">
      <c r="A549" t="s">
        <v>3287</v>
      </c>
      <c r="B549">
        <v>0</v>
      </c>
    </row>
    <row r="550" spans="1:2" x14ac:dyDescent="0.35">
      <c r="A550" t="s">
        <v>3288</v>
      </c>
      <c r="B550">
        <v>0</v>
      </c>
    </row>
    <row r="551" spans="1:2" x14ac:dyDescent="0.35">
      <c r="A551" t="s">
        <v>3290</v>
      </c>
      <c r="B551">
        <v>5000</v>
      </c>
    </row>
    <row r="552" spans="1:2" x14ac:dyDescent="0.35">
      <c r="A552" t="s">
        <v>3291</v>
      </c>
      <c r="B552">
        <v>5000</v>
      </c>
    </row>
    <row r="553" spans="1:2" x14ac:dyDescent="0.35">
      <c r="A553" t="s">
        <v>3293</v>
      </c>
      <c r="B553">
        <v>5000</v>
      </c>
    </row>
    <row r="554" spans="1:2" x14ac:dyDescent="0.35">
      <c r="A554" t="s">
        <v>3303</v>
      </c>
      <c r="B554">
        <v>0</v>
      </c>
    </row>
    <row r="555" spans="1:2" x14ac:dyDescent="0.35">
      <c r="A555" t="s">
        <v>3304</v>
      </c>
      <c r="B555">
        <v>0</v>
      </c>
    </row>
    <row r="556" spans="1:2" x14ac:dyDescent="0.35">
      <c r="A556" t="s">
        <v>3305</v>
      </c>
      <c r="B556">
        <v>0</v>
      </c>
    </row>
    <row r="557" spans="1:2" x14ac:dyDescent="0.35">
      <c r="A557" t="s">
        <v>3306</v>
      </c>
      <c r="B557">
        <v>0</v>
      </c>
    </row>
    <row r="558" spans="1:2" x14ac:dyDescent="0.35">
      <c r="A558" t="s">
        <v>3307</v>
      </c>
      <c r="B558">
        <v>0</v>
      </c>
    </row>
    <row r="559" spans="1:2" x14ac:dyDescent="0.35">
      <c r="A559" t="s">
        <v>3308</v>
      </c>
      <c r="B559">
        <v>0</v>
      </c>
    </row>
    <row r="560" spans="1:2" x14ac:dyDescent="0.35">
      <c r="A560" t="s">
        <v>3309</v>
      </c>
      <c r="B560">
        <v>0</v>
      </c>
    </row>
    <row r="561" spans="1:2" x14ac:dyDescent="0.35">
      <c r="A561" t="s">
        <v>3310</v>
      </c>
      <c r="B561">
        <v>0</v>
      </c>
    </row>
    <row r="562" spans="1:2" x14ac:dyDescent="0.35">
      <c r="A562" t="s">
        <v>3311</v>
      </c>
      <c r="B562">
        <v>0</v>
      </c>
    </row>
    <row r="563" spans="1:2" x14ac:dyDescent="0.35">
      <c r="A563" t="s">
        <v>3327</v>
      </c>
      <c r="B563">
        <v>1</v>
      </c>
    </row>
    <row r="564" spans="1:2" x14ac:dyDescent="0.35">
      <c r="A564" t="s">
        <v>3328</v>
      </c>
      <c r="B564">
        <v>1</v>
      </c>
    </row>
    <row r="565" spans="1:2" x14ac:dyDescent="0.35">
      <c r="A565" t="s">
        <v>3329</v>
      </c>
      <c r="B565">
        <v>1</v>
      </c>
    </row>
    <row r="566" spans="1:2" x14ac:dyDescent="0.35">
      <c r="A566" t="s">
        <v>3330</v>
      </c>
      <c r="B566">
        <v>1</v>
      </c>
    </row>
    <row r="567" spans="1:2" x14ac:dyDescent="0.35">
      <c r="A567" t="s">
        <v>3331</v>
      </c>
      <c r="B567">
        <v>1</v>
      </c>
    </row>
    <row r="568" spans="1:2" x14ac:dyDescent="0.35">
      <c r="A568" t="s">
        <v>3332</v>
      </c>
      <c r="B568">
        <v>1</v>
      </c>
    </row>
    <row r="569" spans="1:2" x14ac:dyDescent="0.35">
      <c r="A569" t="s">
        <v>3333</v>
      </c>
      <c r="B569">
        <v>1</v>
      </c>
    </row>
    <row r="570" spans="1:2" x14ac:dyDescent="0.35">
      <c r="A570" t="s">
        <v>3334</v>
      </c>
      <c r="B570">
        <v>1</v>
      </c>
    </row>
    <row r="571" spans="1:2" x14ac:dyDescent="0.35">
      <c r="A571" t="s">
        <v>3335</v>
      </c>
      <c r="B571">
        <v>1</v>
      </c>
    </row>
    <row r="572" spans="1:2" x14ac:dyDescent="0.35">
      <c r="A572" t="s">
        <v>3324</v>
      </c>
      <c r="B572">
        <v>1</v>
      </c>
    </row>
    <row r="573" spans="1:2" x14ac:dyDescent="0.35">
      <c r="A573" t="s">
        <v>3325</v>
      </c>
      <c r="B573">
        <v>1</v>
      </c>
    </row>
    <row r="574" spans="1:2" x14ac:dyDescent="0.35">
      <c r="A574" t="s">
        <v>3326</v>
      </c>
      <c r="B574">
        <v>1</v>
      </c>
    </row>
    <row r="575" spans="1:2" x14ac:dyDescent="0.35">
      <c r="A575" t="s">
        <v>3337</v>
      </c>
      <c r="B575" t="b">
        <v>0</v>
      </c>
    </row>
    <row r="576" spans="1:2" x14ac:dyDescent="0.35">
      <c r="A576" t="s">
        <v>3347</v>
      </c>
      <c r="B576">
        <v>1</v>
      </c>
    </row>
    <row r="577" spans="1:2" x14ac:dyDescent="0.35">
      <c r="A577" t="s">
        <v>3348</v>
      </c>
      <c r="B577">
        <v>1</v>
      </c>
    </row>
    <row r="578" spans="1:2" x14ac:dyDescent="0.35">
      <c r="A578" t="s">
        <v>3349</v>
      </c>
      <c r="B578">
        <v>1</v>
      </c>
    </row>
    <row r="579" spans="1:2" x14ac:dyDescent="0.35">
      <c r="A579" t="s">
        <v>3350</v>
      </c>
      <c r="B579">
        <v>1</v>
      </c>
    </row>
    <row r="580" spans="1:2" x14ac:dyDescent="0.35">
      <c r="A580" t="s">
        <v>3351</v>
      </c>
      <c r="B580">
        <v>1</v>
      </c>
    </row>
    <row r="581" spans="1:2" x14ac:dyDescent="0.35">
      <c r="A581" t="s">
        <v>3352</v>
      </c>
      <c r="B581">
        <v>1</v>
      </c>
    </row>
    <row r="582" spans="1:2" x14ac:dyDescent="0.35">
      <c r="A582" t="s">
        <v>3353</v>
      </c>
      <c r="B582">
        <v>1</v>
      </c>
    </row>
    <row r="583" spans="1:2" x14ac:dyDescent="0.35">
      <c r="A583" t="s">
        <v>3354</v>
      </c>
      <c r="B583">
        <v>1</v>
      </c>
    </row>
    <row r="584" spans="1:2" x14ac:dyDescent="0.35">
      <c r="A584" t="s">
        <v>3355</v>
      </c>
      <c r="B584">
        <v>1</v>
      </c>
    </row>
    <row r="585" spans="1:2" x14ac:dyDescent="0.35">
      <c r="A585" t="s">
        <v>3357</v>
      </c>
      <c r="B585">
        <v>5000</v>
      </c>
    </row>
    <row r="586" spans="1:2" x14ac:dyDescent="0.35">
      <c r="A586" t="s">
        <v>3361</v>
      </c>
      <c r="B586">
        <v>5000</v>
      </c>
    </row>
    <row r="587" spans="1:2" x14ac:dyDescent="0.35">
      <c r="A587" t="s">
        <v>3363</v>
      </c>
      <c r="B587">
        <v>5000</v>
      </c>
    </row>
    <row r="588" spans="1:2" x14ac:dyDescent="0.35">
      <c r="A588" t="s">
        <v>3379</v>
      </c>
      <c r="B588">
        <v>0</v>
      </c>
    </row>
    <row r="589" spans="1:2" x14ac:dyDescent="0.35">
      <c r="A589" t="s">
        <v>3380</v>
      </c>
      <c r="B589">
        <v>0</v>
      </c>
    </row>
    <row r="590" spans="1:2" x14ac:dyDescent="0.35">
      <c r="A590" t="s">
        <v>3381</v>
      </c>
      <c r="B590">
        <v>0</v>
      </c>
    </row>
    <row r="591" spans="1:2" x14ac:dyDescent="0.35">
      <c r="A591" t="s">
        <v>3382</v>
      </c>
      <c r="B591">
        <v>0</v>
      </c>
    </row>
    <row r="592" spans="1:2" x14ac:dyDescent="0.35">
      <c r="A592" t="s">
        <v>3383</v>
      </c>
      <c r="B592">
        <v>0</v>
      </c>
    </row>
    <row r="593" spans="1:2" x14ac:dyDescent="0.35">
      <c r="A593" t="s">
        <v>3384</v>
      </c>
      <c r="B593">
        <v>0</v>
      </c>
    </row>
    <row r="594" spans="1:2" x14ac:dyDescent="0.35">
      <c r="A594" t="s">
        <v>3385</v>
      </c>
      <c r="B594">
        <v>0</v>
      </c>
    </row>
    <row r="595" spans="1:2" x14ac:dyDescent="0.35">
      <c r="A595" t="s">
        <v>3386</v>
      </c>
      <c r="B595">
        <v>0</v>
      </c>
    </row>
    <row r="596" spans="1:2" x14ac:dyDescent="0.35">
      <c r="A596" t="s">
        <v>3387</v>
      </c>
      <c r="B596">
        <v>0</v>
      </c>
    </row>
    <row r="597" spans="1:2" x14ac:dyDescent="0.35">
      <c r="A597" t="s">
        <v>3376</v>
      </c>
      <c r="B597">
        <v>0</v>
      </c>
    </row>
    <row r="598" spans="1:2" x14ac:dyDescent="0.35">
      <c r="A598" t="s">
        <v>3377</v>
      </c>
      <c r="B598">
        <v>0</v>
      </c>
    </row>
    <row r="599" spans="1:2" x14ac:dyDescent="0.35">
      <c r="A599" t="s">
        <v>3378</v>
      </c>
      <c r="B599">
        <v>0</v>
      </c>
    </row>
    <row r="600" spans="1:2" x14ac:dyDescent="0.35">
      <c r="A600" t="s">
        <v>3398</v>
      </c>
      <c r="B600">
        <v>0</v>
      </c>
    </row>
    <row r="601" spans="1:2" x14ac:dyDescent="0.35">
      <c r="A601" t="s">
        <v>3408</v>
      </c>
      <c r="B601">
        <v>2</v>
      </c>
    </row>
    <row r="602" spans="1:2" x14ac:dyDescent="0.35">
      <c r="A602" t="s">
        <v>3409</v>
      </c>
      <c r="B602">
        <v>1</v>
      </c>
    </row>
    <row r="603" spans="1:2" x14ac:dyDescent="0.35">
      <c r="A603" t="s">
        <v>3410</v>
      </c>
      <c r="B603">
        <v>1</v>
      </c>
    </row>
    <row r="604" spans="1:2" x14ac:dyDescent="0.35">
      <c r="A604" t="s">
        <v>3411</v>
      </c>
      <c r="B604">
        <v>1</v>
      </c>
    </row>
    <row r="605" spans="1:2" x14ac:dyDescent="0.35">
      <c r="A605" t="s">
        <v>3412</v>
      </c>
      <c r="B605">
        <v>1</v>
      </c>
    </row>
    <row r="606" spans="1:2" x14ac:dyDescent="0.35">
      <c r="A606" t="s">
        <v>3413</v>
      </c>
      <c r="B606">
        <v>1</v>
      </c>
    </row>
    <row r="607" spans="1:2" x14ac:dyDescent="0.35">
      <c r="A607" t="s">
        <v>3414</v>
      </c>
      <c r="B607">
        <v>1</v>
      </c>
    </row>
    <row r="608" spans="1:2" x14ac:dyDescent="0.35">
      <c r="A608" t="s">
        <v>3415</v>
      </c>
      <c r="B608">
        <v>1</v>
      </c>
    </row>
    <row r="609" spans="1:2" x14ac:dyDescent="0.35">
      <c r="A609" t="s">
        <v>3416</v>
      </c>
      <c r="B609">
        <v>1</v>
      </c>
    </row>
    <row r="610" spans="1:2" x14ac:dyDescent="0.35">
      <c r="A610" t="s">
        <v>3210</v>
      </c>
      <c r="B610">
        <v>1</v>
      </c>
    </row>
    <row r="611" spans="1:2" x14ac:dyDescent="0.35">
      <c r="A611" t="s">
        <v>3211</v>
      </c>
      <c r="B611">
        <v>0</v>
      </c>
    </row>
    <row r="612" spans="1:2" x14ac:dyDescent="0.35">
      <c r="A612" t="s">
        <v>3216</v>
      </c>
      <c r="B612">
        <v>0</v>
      </c>
    </row>
    <row r="613" spans="1:2" x14ac:dyDescent="0.35">
      <c r="A613" t="s">
        <v>3217</v>
      </c>
      <c r="B613">
        <v>0</v>
      </c>
    </row>
    <row r="614" spans="1:2" x14ac:dyDescent="0.35">
      <c r="A614" t="s">
        <v>3218</v>
      </c>
      <c r="B614">
        <v>0</v>
      </c>
    </row>
    <row r="615" spans="1:2" x14ac:dyDescent="0.35">
      <c r="A615" t="s">
        <v>3219</v>
      </c>
      <c r="B615">
        <v>0</v>
      </c>
    </row>
    <row r="616" spans="1:2" x14ac:dyDescent="0.35">
      <c r="A616" t="s">
        <v>3220</v>
      </c>
      <c r="B616">
        <v>0</v>
      </c>
    </row>
    <row r="617" spans="1:2" x14ac:dyDescent="0.35">
      <c r="A617" t="s">
        <v>3221</v>
      </c>
      <c r="B617">
        <v>0</v>
      </c>
    </row>
    <row r="618" spans="1:2" x14ac:dyDescent="0.35">
      <c r="A618" t="s">
        <v>3222</v>
      </c>
      <c r="B618">
        <v>0</v>
      </c>
    </row>
    <row r="619" spans="1:2" x14ac:dyDescent="0.35">
      <c r="A619" t="s">
        <v>3223</v>
      </c>
      <c r="B619">
        <v>0</v>
      </c>
    </row>
    <row r="620" spans="1:2" x14ac:dyDescent="0.35">
      <c r="A620" t="s">
        <v>3212</v>
      </c>
      <c r="B620" t="b">
        <v>0</v>
      </c>
    </row>
    <row r="621" spans="1:2" x14ac:dyDescent="0.35">
      <c r="A621" t="s">
        <v>3213</v>
      </c>
      <c r="B621" t="b">
        <v>0</v>
      </c>
    </row>
    <row r="622" spans="1:2" x14ac:dyDescent="0.35">
      <c r="A622" t="s">
        <v>3214</v>
      </c>
      <c r="B622" t="b">
        <v>0</v>
      </c>
    </row>
    <row r="623" spans="1:2" x14ac:dyDescent="0.35">
      <c r="A623" t="s">
        <v>3215</v>
      </c>
      <c r="B623" t="b">
        <v>0</v>
      </c>
    </row>
    <row r="624" spans="1:2" x14ac:dyDescent="0.35">
      <c r="A624" t="s">
        <v>3420</v>
      </c>
      <c r="B624">
        <v>1</v>
      </c>
    </row>
    <row r="625" spans="1:2" x14ac:dyDescent="0.35">
      <c r="A625" t="s">
        <v>2364</v>
      </c>
      <c r="B625">
        <v>0</v>
      </c>
    </row>
    <row r="626" spans="1:2" x14ac:dyDescent="0.35">
      <c r="A626" t="s">
        <v>2365</v>
      </c>
      <c r="B626">
        <v>0</v>
      </c>
    </row>
    <row r="627" spans="1:2" x14ac:dyDescent="0.35">
      <c r="A627" t="s">
        <v>2366</v>
      </c>
      <c r="B627">
        <v>0</v>
      </c>
    </row>
    <row r="628" spans="1:2" x14ac:dyDescent="0.35">
      <c r="A628" t="s">
        <v>2367</v>
      </c>
      <c r="B628">
        <v>0</v>
      </c>
    </row>
    <row r="629" spans="1:2" x14ac:dyDescent="0.35">
      <c r="A629" t="s">
        <v>2368</v>
      </c>
      <c r="B629">
        <v>0</v>
      </c>
    </row>
    <row r="630" spans="1:2" x14ac:dyDescent="0.35">
      <c r="A630" t="s">
        <v>2369</v>
      </c>
      <c r="B630">
        <v>0</v>
      </c>
    </row>
    <row r="631" spans="1:2" x14ac:dyDescent="0.35">
      <c r="A631" t="s">
        <v>2370</v>
      </c>
      <c r="B631">
        <v>0</v>
      </c>
    </row>
    <row r="632" spans="1:2" x14ac:dyDescent="0.35">
      <c r="A632" t="s">
        <v>2371</v>
      </c>
      <c r="B632">
        <v>0</v>
      </c>
    </row>
    <row r="633" spans="1:2" x14ac:dyDescent="0.35">
      <c r="A633" t="s">
        <v>2372</v>
      </c>
      <c r="B633">
        <v>0</v>
      </c>
    </row>
    <row r="634" spans="1:2" x14ac:dyDescent="0.35">
      <c r="A634" t="s">
        <v>2373</v>
      </c>
      <c r="B634">
        <v>0</v>
      </c>
    </row>
    <row r="635" spans="1:2" x14ac:dyDescent="0.35">
      <c r="A635" t="s">
        <v>2374</v>
      </c>
      <c r="B635">
        <v>0</v>
      </c>
    </row>
    <row r="636" spans="1:2" x14ac:dyDescent="0.35">
      <c r="A636" t="s">
        <v>2375</v>
      </c>
      <c r="B636">
        <v>0</v>
      </c>
    </row>
    <row r="637" spans="1:2" x14ac:dyDescent="0.35">
      <c r="A637" t="s">
        <v>2376</v>
      </c>
      <c r="B637">
        <v>0</v>
      </c>
    </row>
    <row r="638" spans="1:2" x14ac:dyDescent="0.35">
      <c r="A638" t="s">
        <v>2377</v>
      </c>
      <c r="B638">
        <v>0</v>
      </c>
    </row>
    <row r="639" spans="1:2" x14ac:dyDescent="0.35">
      <c r="A639" t="s">
        <v>2378</v>
      </c>
      <c r="B639">
        <v>0</v>
      </c>
    </row>
    <row r="640" spans="1:2" x14ac:dyDescent="0.35">
      <c r="A640" t="s">
        <v>2379</v>
      </c>
      <c r="B640">
        <v>0</v>
      </c>
    </row>
    <row r="641" spans="1:2" x14ac:dyDescent="0.35">
      <c r="A641" t="s">
        <v>2380</v>
      </c>
      <c r="B641">
        <v>0</v>
      </c>
    </row>
    <row r="642" spans="1:2" x14ac:dyDescent="0.35">
      <c r="A642" t="s">
        <v>2381</v>
      </c>
      <c r="B642">
        <v>0</v>
      </c>
    </row>
    <row r="643" spans="1:2" x14ac:dyDescent="0.35">
      <c r="A643" t="s">
        <v>2382</v>
      </c>
      <c r="B643">
        <v>0</v>
      </c>
    </row>
    <row r="644" spans="1:2" x14ac:dyDescent="0.35">
      <c r="A644" t="s">
        <v>2383</v>
      </c>
      <c r="B644">
        <v>0</v>
      </c>
    </row>
    <row r="645" spans="1:2" x14ac:dyDescent="0.35">
      <c r="A645" t="s">
        <v>2384</v>
      </c>
      <c r="B645">
        <v>0</v>
      </c>
    </row>
    <row r="646" spans="1:2" x14ac:dyDescent="0.35">
      <c r="A646" t="s">
        <v>2385</v>
      </c>
      <c r="B646">
        <v>0</v>
      </c>
    </row>
    <row r="647" spans="1:2" x14ac:dyDescent="0.35">
      <c r="A647" t="s">
        <v>2386</v>
      </c>
      <c r="B647">
        <v>0</v>
      </c>
    </row>
    <row r="648" spans="1:2" x14ac:dyDescent="0.35">
      <c r="A648" t="s">
        <v>2387</v>
      </c>
      <c r="B648">
        <v>0</v>
      </c>
    </row>
    <row r="649" spans="1:2" x14ac:dyDescent="0.35">
      <c r="A649" t="s">
        <v>2388</v>
      </c>
      <c r="B649">
        <v>0</v>
      </c>
    </row>
    <row r="650" spans="1:2" x14ac:dyDescent="0.35">
      <c r="A650" t="s">
        <v>2389</v>
      </c>
      <c r="B650">
        <v>0</v>
      </c>
    </row>
    <row r="651" spans="1:2" x14ac:dyDescent="0.35">
      <c r="A651" t="s">
        <v>2390</v>
      </c>
      <c r="B651">
        <v>0</v>
      </c>
    </row>
    <row r="652" spans="1:2" x14ac:dyDescent="0.35">
      <c r="A652" t="s">
        <v>2391</v>
      </c>
      <c r="B652">
        <v>0</v>
      </c>
    </row>
    <row r="653" spans="1:2" x14ac:dyDescent="0.35">
      <c r="A653" t="s">
        <v>2392</v>
      </c>
      <c r="B653">
        <v>0</v>
      </c>
    </row>
    <row r="654" spans="1:2" x14ac:dyDescent="0.35">
      <c r="A654" t="s">
        <v>2393</v>
      </c>
      <c r="B654">
        <v>0</v>
      </c>
    </row>
    <row r="655" spans="1:2" x14ac:dyDescent="0.35">
      <c r="A655" t="s">
        <v>2394</v>
      </c>
      <c r="B655">
        <v>0</v>
      </c>
    </row>
    <row r="656" spans="1:2" x14ac:dyDescent="0.35">
      <c r="A656" t="s">
        <v>2395</v>
      </c>
      <c r="B656">
        <v>0</v>
      </c>
    </row>
    <row r="657" spans="1:2" x14ac:dyDescent="0.35">
      <c r="A657" t="s">
        <v>2396</v>
      </c>
      <c r="B657">
        <v>0</v>
      </c>
    </row>
    <row r="658" spans="1:2" x14ac:dyDescent="0.35">
      <c r="A658" t="s">
        <v>2397</v>
      </c>
      <c r="B658">
        <v>0</v>
      </c>
    </row>
    <row r="659" spans="1:2" x14ac:dyDescent="0.35">
      <c r="A659" t="s">
        <v>2398</v>
      </c>
      <c r="B659">
        <v>0</v>
      </c>
    </row>
    <row r="660" spans="1:2" x14ac:dyDescent="0.35">
      <c r="A660" t="s">
        <v>2399</v>
      </c>
      <c r="B660">
        <v>0</v>
      </c>
    </row>
    <row r="661" spans="1:2" x14ac:dyDescent="0.35">
      <c r="A661" t="s">
        <v>2400</v>
      </c>
      <c r="B661">
        <v>0</v>
      </c>
    </row>
    <row r="662" spans="1:2" x14ac:dyDescent="0.35">
      <c r="A662" t="s">
        <v>2401</v>
      </c>
      <c r="B662">
        <v>0</v>
      </c>
    </row>
    <row r="663" spans="1:2" x14ac:dyDescent="0.35">
      <c r="A663" t="s">
        <v>2402</v>
      </c>
      <c r="B663">
        <v>0</v>
      </c>
    </row>
    <row r="664" spans="1:2" x14ac:dyDescent="0.35">
      <c r="A664" t="s">
        <v>2403</v>
      </c>
      <c r="B664">
        <v>0</v>
      </c>
    </row>
    <row r="665" spans="1:2" x14ac:dyDescent="0.35">
      <c r="A665" t="s">
        <v>2404</v>
      </c>
      <c r="B665">
        <v>0</v>
      </c>
    </row>
    <row r="666" spans="1:2" x14ac:dyDescent="0.35">
      <c r="A666" t="s">
        <v>2405</v>
      </c>
      <c r="B666">
        <v>0</v>
      </c>
    </row>
    <row r="667" spans="1:2" x14ac:dyDescent="0.35">
      <c r="A667" t="s">
        <v>2406</v>
      </c>
      <c r="B667">
        <v>0</v>
      </c>
    </row>
    <row r="668" spans="1:2" x14ac:dyDescent="0.35">
      <c r="A668" t="s">
        <v>2407</v>
      </c>
      <c r="B668">
        <v>0</v>
      </c>
    </row>
    <row r="669" spans="1:2" x14ac:dyDescent="0.35">
      <c r="A669" t="s">
        <v>2408</v>
      </c>
      <c r="B669">
        <v>0</v>
      </c>
    </row>
    <row r="670" spans="1:2" x14ac:dyDescent="0.35">
      <c r="A670" t="s">
        <v>2409</v>
      </c>
      <c r="B670">
        <v>0</v>
      </c>
    </row>
    <row r="671" spans="1:2" x14ac:dyDescent="0.35">
      <c r="A671" t="s">
        <v>2410</v>
      </c>
      <c r="B671">
        <v>0</v>
      </c>
    </row>
    <row r="672" spans="1:2" x14ac:dyDescent="0.35">
      <c r="A672" t="s">
        <v>2411</v>
      </c>
      <c r="B672">
        <v>0</v>
      </c>
    </row>
    <row r="673" spans="1:2" x14ac:dyDescent="0.35">
      <c r="A673" t="s">
        <v>2412</v>
      </c>
      <c r="B673">
        <v>0</v>
      </c>
    </row>
    <row r="674" spans="1:2" x14ac:dyDescent="0.35">
      <c r="A674" t="s">
        <v>2413</v>
      </c>
      <c r="B674">
        <v>0</v>
      </c>
    </row>
    <row r="675" spans="1:2" x14ac:dyDescent="0.35">
      <c r="A675" t="s">
        <v>2414</v>
      </c>
      <c r="B675">
        <v>0</v>
      </c>
    </row>
    <row r="676" spans="1:2" x14ac:dyDescent="0.35">
      <c r="A676" t="s">
        <v>2415</v>
      </c>
      <c r="B676">
        <v>0</v>
      </c>
    </row>
    <row r="677" spans="1:2" x14ac:dyDescent="0.35">
      <c r="A677" t="s">
        <v>2416</v>
      </c>
      <c r="B677">
        <v>0</v>
      </c>
    </row>
    <row r="678" spans="1:2" x14ac:dyDescent="0.35">
      <c r="A678" t="s">
        <v>2417</v>
      </c>
      <c r="B678">
        <v>0</v>
      </c>
    </row>
    <row r="679" spans="1:2" x14ac:dyDescent="0.35">
      <c r="A679" t="s">
        <v>2418</v>
      </c>
      <c r="B679">
        <v>0</v>
      </c>
    </row>
    <row r="680" spans="1:2" x14ac:dyDescent="0.35">
      <c r="A680" t="s">
        <v>2419</v>
      </c>
      <c r="B680">
        <v>0</v>
      </c>
    </row>
    <row r="681" spans="1:2" x14ac:dyDescent="0.35">
      <c r="A681" t="s">
        <v>2420</v>
      </c>
      <c r="B681">
        <v>0</v>
      </c>
    </row>
    <row r="682" spans="1:2" x14ac:dyDescent="0.35">
      <c r="A682" t="s">
        <v>2421</v>
      </c>
      <c r="B682">
        <v>0</v>
      </c>
    </row>
    <row r="683" spans="1:2" x14ac:dyDescent="0.35">
      <c r="A683" t="s">
        <v>2422</v>
      </c>
      <c r="B683">
        <v>0</v>
      </c>
    </row>
    <row r="684" spans="1:2" x14ac:dyDescent="0.35">
      <c r="A684" t="s">
        <v>2423</v>
      </c>
      <c r="B684">
        <v>0</v>
      </c>
    </row>
    <row r="685" spans="1:2" x14ac:dyDescent="0.35">
      <c r="A685" t="s">
        <v>2424</v>
      </c>
      <c r="B685">
        <v>0</v>
      </c>
    </row>
    <row r="686" spans="1:2" x14ac:dyDescent="0.35">
      <c r="A686" t="s">
        <v>2425</v>
      </c>
      <c r="B686">
        <v>0</v>
      </c>
    </row>
    <row r="687" spans="1:2" x14ac:dyDescent="0.35">
      <c r="A687" t="s">
        <v>2426</v>
      </c>
      <c r="B687">
        <v>0</v>
      </c>
    </row>
    <row r="688" spans="1:2" x14ac:dyDescent="0.35">
      <c r="A688" t="s">
        <v>2427</v>
      </c>
      <c r="B688">
        <v>0</v>
      </c>
    </row>
    <row r="689" spans="1:2" x14ac:dyDescent="0.35">
      <c r="A689" t="s">
        <v>2428</v>
      </c>
      <c r="B689">
        <v>0</v>
      </c>
    </row>
    <row r="690" spans="1:2" x14ac:dyDescent="0.35">
      <c r="A690" t="s">
        <v>2429</v>
      </c>
      <c r="B690">
        <v>0</v>
      </c>
    </row>
    <row r="691" spans="1:2" x14ac:dyDescent="0.35">
      <c r="A691" t="s">
        <v>2430</v>
      </c>
      <c r="B691">
        <v>0</v>
      </c>
    </row>
    <row r="692" spans="1:2" x14ac:dyDescent="0.35">
      <c r="A692" t="s">
        <v>2431</v>
      </c>
      <c r="B692">
        <v>0</v>
      </c>
    </row>
    <row r="693" spans="1:2" x14ac:dyDescent="0.35">
      <c r="A693" t="s">
        <v>2432</v>
      </c>
      <c r="B693">
        <v>0</v>
      </c>
    </row>
    <row r="694" spans="1:2" x14ac:dyDescent="0.35">
      <c r="A694" t="s">
        <v>2433</v>
      </c>
      <c r="B694">
        <v>0</v>
      </c>
    </row>
    <row r="695" spans="1:2" x14ac:dyDescent="0.35">
      <c r="A695" t="s">
        <v>2434</v>
      </c>
      <c r="B695">
        <v>0</v>
      </c>
    </row>
    <row r="696" spans="1:2" x14ac:dyDescent="0.35">
      <c r="A696" t="s">
        <v>2435</v>
      </c>
      <c r="B696">
        <v>0</v>
      </c>
    </row>
    <row r="697" spans="1:2" x14ac:dyDescent="0.35">
      <c r="A697" t="s">
        <v>2436</v>
      </c>
      <c r="B697">
        <v>0</v>
      </c>
    </row>
    <row r="698" spans="1:2" x14ac:dyDescent="0.35">
      <c r="A698" t="s">
        <v>2437</v>
      </c>
      <c r="B698">
        <v>0</v>
      </c>
    </row>
    <row r="699" spans="1:2" x14ac:dyDescent="0.35">
      <c r="A699" t="s">
        <v>2438</v>
      </c>
      <c r="B699">
        <v>0</v>
      </c>
    </row>
    <row r="700" spans="1:2" x14ac:dyDescent="0.35">
      <c r="A700" t="s">
        <v>2439</v>
      </c>
      <c r="B700">
        <v>0</v>
      </c>
    </row>
    <row r="701" spans="1:2" x14ac:dyDescent="0.35">
      <c r="A701" t="s">
        <v>2440</v>
      </c>
      <c r="B701">
        <v>0</v>
      </c>
    </row>
    <row r="702" spans="1:2" x14ac:dyDescent="0.35">
      <c r="A702" t="s">
        <v>2441</v>
      </c>
      <c r="B702">
        <v>0</v>
      </c>
    </row>
    <row r="703" spans="1:2" x14ac:dyDescent="0.35">
      <c r="A703" t="s">
        <v>2442</v>
      </c>
      <c r="B703">
        <v>0</v>
      </c>
    </row>
    <row r="704" spans="1:2" x14ac:dyDescent="0.35">
      <c r="A704" t="s">
        <v>2443</v>
      </c>
      <c r="B704">
        <v>0</v>
      </c>
    </row>
    <row r="705" spans="1:2" x14ac:dyDescent="0.35">
      <c r="A705" t="s">
        <v>2444</v>
      </c>
      <c r="B705">
        <v>0</v>
      </c>
    </row>
    <row r="706" spans="1:2" x14ac:dyDescent="0.35">
      <c r="A706" t="s">
        <v>2445</v>
      </c>
      <c r="B706">
        <v>0</v>
      </c>
    </row>
    <row r="707" spans="1:2" x14ac:dyDescent="0.35">
      <c r="A707" t="s">
        <v>2446</v>
      </c>
      <c r="B707">
        <v>0</v>
      </c>
    </row>
    <row r="708" spans="1:2" x14ac:dyDescent="0.35">
      <c r="A708" t="s">
        <v>2447</v>
      </c>
      <c r="B708">
        <v>0</v>
      </c>
    </row>
    <row r="709" spans="1:2" x14ac:dyDescent="0.35">
      <c r="A709" t="s">
        <v>2448</v>
      </c>
      <c r="B709">
        <v>0</v>
      </c>
    </row>
    <row r="710" spans="1:2" x14ac:dyDescent="0.35">
      <c r="A710" t="s">
        <v>2449</v>
      </c>
      <c r="B710">
        <v>0</v>
      </c>
    </row>
    <row r="711" spans="1:2" x14ac:dyDescent="0.35">
      <c r="A711" t="s">
        <v>2363</v>
      </c>
      <c r="B711">
        <v>0</v>
      </c>
    </row>
    <row r="712" spans="1:2" x14ac:dyDescent="0.35">
      <c r="A712" t="s">
        <v>2450</v>
      </c>
      <c r="B712">
        <v>0</v>
      </c>
    </row>
    <row r="713" spans="1:2" x14ac:dyDescent="0.35">
      <c r="A713" t="s">
        <v>2451</v>
      </c>
      <c r="B713">
        <v>0</v>
      </c>
    </row>
    <row r="714" spans="1:2" x14ac:dyDescent="0.35">
      <c r="A714" t="s">
        <v>2452</v>
      </c>
      <c r="B714">
        <v>0</v>
      </c>
    </row>
    <row r="715" spans="1:2" x14ac:dyDescent="0.35">
      <c r="A715" t="s">
        <v>2453</v>
      </c>
      <c r="B715">
        <v>0</v>
      </c>
    </row>
    <row r="716" spans="1:2" x14ac:dyDescent="0.35">
      <c r="A716" t="s">
        <v>2454</v>
      </c>
      <c r="B716">
        <v>0</v>
      </c>
    </row>
    <row r="717" spans="1:2" x14ac:dyDescent="0.35">
      <c r="A717" t="s">
        <v>2455</v>
      </c>
      <c r="B717">
        <v>0</v>
      </c>
    </row>
    <row r="718" spans="1:2" x14ac:dyDescent="0.35">
      <c r="A718" t="s">
        <v>2456</v>
      </c>
      <c r="B718">
        <v>0</v>
      </c>
    </row>
    <row r="719" spans="1:2" x14ac:dyDescent="0.35">
      <c r="A719" t="s">
        <v>2457</v>
      </c>
      <c r="B719">
        <v>0</v>
      </c>
    </row>
    <row r="720" spans="1:2" x14ac:dyDescent="0.35">
      <c r="A720" t="s">
        <v>2458</v>
      </c>
      <c r="B720">
        <v>0</v>
      </c>
    </row>
    <row r="721" spans="1:2" x14ac:dyDescent="0.35">
      <c r="A721" t="s">
        <v>2459</v>
      </c>
      <c r="B721">
        <v>0</v>
      </c>
    </row>
    <row r="722" spans="1:2" x14ac:dyDescent="0.35">
      <c r="A722" t="s">
        <v>2460</v>
      </c>
      <c r="B722">
        <v>0</v>
      </c>
    </row>
    <row r="723" spans="1:2" x14ac:dyDescent="0.35">
      <c r="A723" t="s">
        <v>2461</v>
      </c>
      <c r="B723">
        <v>0</v>
      </c>
    </row>
    <row r="724" spans="1:2" x14ac:dyDescent="0.35">
      <c r="A724" t="s">
        <v>2462</v>
      </c>
      <c r="B724">
        <v>0</v>
      </c>
    </row>
    <row r="725" spans="1:2" x14ac:dyDescent="0.35">
      <c r="A725" t="s">
        <v>2463</v>
      </c>
      <c r="B725">
        <v>0</v>
      </c>
    </row>
    <row r="726" spans="1:2" x14ac:dyDescent="0.35">
      <c r="A726" t="s">
        <v>2464</v>
      </c>
      <c r="B726">
        <v>0</v>
      </c>
    </row>
    <row r="727" spans="1:2" x14ac:dyDescent="0.35">
      <c r="A727" t="s">
        <v>2465</v>
      </c>
      <c r="B727">
        <v>0</v>
      </c>
    </row>
    <row r="728" spans="1:2" x14ac:dyDescent="0.35">
      <c r="A728" t="s">
        <v>2466</v>
      </c>
      <c r="B728">
        <v>0</v>
      </c>
    </row>
    <row r="729" spans="1:2" x14ac:dyDescent="0.35">
      <c r="A729" t="s">
        <v>2467</v>
      </c>
      <c r="B729">
        <v>0</v>
      </c>
    </row>
    <row r="730" spans="1:2" x14ac:dyDescent="0.35">
      <c r="A730" t="s">
        <v>2468</v>
      </c>
      <c r="B730">
        <v>0</v>
      </c>
    </row>
    <row r="731" spans="1:2" x14ac:dyDescent="0.35">
      <c r="A731" t="s">
        <v>2469</v>
      </c>
      <c r="B731">
        <v>0</v>
      </c>
    </row>
    <row r="732" spans="1:2" x14ac:dyDescent="0.35">
      <c r="A732" t="s">
        <v>2470</v>
      </c>
      <c r="B732">
        <v>0</v>
      </c>
    </row>
    <row r="733" spans="1:2" x14ac:dyDescent="0.35">
      <c r="A733" t="s">
        <v>2471</v>
      </c>
      <c r="B733">
        <v>0</v>
      </c>
    </row>
    <row r="734" spans="1:2" x14ac:dyDescent="0.35">
      <c r="A734" t="s">
        <v>2472</v>
      </c>
      <c r="B734">
        <v>0</v>
      </c>
    </row>
    <row r="735" spans="1:2" x14ac:dyDescent="0.35">
      <c r="A735" t="s">
        <v>2473</v>
      </c>
      <c r="B735">
        <v>0</v>
      </c>
    </row>
    <row r="736" spans="1:2" x14ac:dyDescent="0.35">
      <c r="A736" t="s">
        <v>2474</v>
      </c>
      <c r="B736">
        <v>0</v>
      </c>
    </row>
    <row r="737" spans="1:2" x14ac:dyDescent="0.35">
      <c r="A737" t="s">
        <v>2475</v>
      </c>
      <c r="B737">
        <v>50</v>
      </c>
    </row>
    <row r="738" spans="1:2" x14ac:dyDescent="0.35">
      <c r="A738" t="s">
        <v>2476</v>
      </c>
      <c r="B738">
        <v>0</v>
      </c>
    </row>
    <row r="739" spans="1:2" x14ac:dyDescent="0.35">
      <c r="A739" t="s">
        <v>2328</v>
      </c>
      <c r="B739">
        <v>50</v>
      </c>
    </row>
    <row r="740" spans="1:2" x14ac:dyDescent="0.35">
      <c r="A740" t="s">
        <v>3224</v>
      </c>
      <c r="B740">
        <v>0</v>
      </c>
    </row>
    <row r="741" spans="1:2" x14ac:dyDescent="0.35">
      <c r="A741" t="s">
        <v>3226</v>
      </c>
      <c r="B741">
        <v>0</v>
      </c>
    </row>
    <row r="742" spans="1:2" x14ac:dyDescent="0.35">
      <c r="A742" t="s">
        <v>3228</v>
      </c>
      <c r="B742">
        <v>1</v>
      </c>
    </row>
    <row r="743" spans="1:2" x14ac:dyDescent="0.35">
      <c r="A743" t="s">
        <v>3231</v>
      </c>
      <c r="B743">
        <v>2</v>
      </c>
    </row>
    <row r="744" spans="1:2" x14ac:dyDescent="0.35">
      <c r="A744" t="s">
        <v>3233</v>
      </c>
      <c r="B744">
        <v>0</v>
      </c>
    </row>
    <row r="745" spans="1:2" x14ac:dyDescent="0.35">
      <c r="A745" t="s">
        <v>3234</v>
      </c>
      <c r="B745">
        <v>0</v>
      </c>
    </row>
    <row r="746" spans="1:2" x14ac:dyDescent="0.35">
      <c r="A746" t="s">
        <v>3237</v>
      </c>
      <c r="B746">
        <v>2</v>
      </c>
    </row>
    <row r="747" spans="1:2" x14ac:dyDescent="0.35">
      <c r="A747" t="s">
        <v>3239</v>
      </c>
      <c r="B747">
        <v>0</v>
      </c>
    </row>
    <row r="748" spans="1:2" x14ac:dyDescent="0.35">
      <c r="A748" t="s">
        <v>3240</v>
      </c>
      <c r="B748">
        <v>0</v>
      </c>
    </row>
    <row r="749" spans="1:2" x14ac:dyDescent="0.35">
      <c r="A749" t="s">
        <v>3243</v>
      </c>
      <c r="B749">
        <v>5000</v>
      </c>
    </row>
    <row r="750" spans="1:2" x14ac:dyDescent="0.35">
      <c r="A750" t="s">
        <v>3245</v>
      </c>
      <c r="B750">
        <v>5000</v>
      </c>
    </row>
    <row r="751" spans="1:2" x14ac:dyDescent="0.35">
      <c r="A751" t="s">
        <v>3358</v>
      </c>
      <c r="B751">
        <v>1</v>
      </c>
    </row>
    <row r="752" spans="1:2" x14ac:dyDescent="0.35">
      <c r="A752" t="s">
        <v>3247</v>
      </c>
      <c r="B752">
        <v>5000</v>
      </c>
    </row>
    <row r="753" spans="1:2" x14ac:dyDescent="0.35">
      <c r="A753" t="s">
        <v>3249</v>
      </c>
      <c r="B753">
        <v>1</v>
      </c>
    </row>
    <row r="754" spans="1:2" x14ac:dyDescent="0.35">
      <c r="A754" t="s">
        <v>3250</v>
      </c>
      <c r="B754">
        <v>1</v>
      </c>
    </row>
    <row r="755" spans="1:2" x14ac:dyDescent="0.35">
      <c r="A755" t="s">
        <v>3251</v>
      </c>
      <c r="B755">
        <v>1</v>
      </c>
    </row>
    <row r="756" spans="1:2" x14ac:dyDescent="0.35">
      <c r="A756" t="s">
        <v>3252</v>
      </c>
      <c r="B756">
        <v>1</v>
      </c>
    </row>
    <row r="757" spans="1:2" x14ac:dyDescent="0.35">
      <c r="A757" t="s">
        <v>3253</v>
      </c>
      <c r="B757">
        <v>1</v>
      </c>
    </row>
    <row r="758" spans="1:2" x14ac:dyDescent="0.35">
      <c r="A758" t="s">
        <v>3254</v>
      </c>
      <c r="B758">
        <v>1</v>
      </c>
    </row>
    <row r="759" spans="1:2" x14ac:dyDescent="0.35">
      <c r="A759" t="s">
        <v>3255</v>
      </c>
      <c r="B759">
        <v>1</v>
      </c>
    </row>
    <row r="760" spans="1:2" x14ac:dyDescent="0.35">
      <c r="A760" t="s">
        <v>3256</v>
      </c>
      <c r="B760">
        <v>1</v>
      </c>
    </row>
    <row r="761" spans="1:2" x14ac:dyDescent="0.35">
      <c r="A761" t="s">
        <v>3257</v>
      </c>
      <c r="B761">
        <v>1</v>
      </c>
    </row>
    <row r="762" spans="1:2" x14ac:dyDescent="0.35">
      <c r="A762" t="s">
        <v>3267</v>
      </c>
      <c r="B762">
        <v>0</v>
      </c>
    </row>
    <row r="763" spans="1:2" x14ac:dyDescent="0.35">
      <c r="A763" t="s">
        <v>3268</v>
      </c>
      <c r="B763">
        <v>0</v>
      </c>
    </row>
    <row r="764" spans="1:2" x14ac:dyDescent="0.35">
      <c r="A764" t="s">
        <v>3269</v>
      </c>
      <c r="B764">
        <v>0</v>
      </c>
    </row>
    <row r="765" spans="1:2" x14ac:dyDescent="0.35">
      <c r="A765" t="s">
        <v>3270</v>
      </c>
      <c r="B765">
        <v>0</v>
      </c>
    </row>
    <row r="766" spans="1:2" x14ac:dyDescent="0.35">
      <c r="A766" t="s">
        <v>3271</v>
      </c>
      <c r="B766">
        <v>0</v>
      </c>
    </row>
    <row r="767" spans="1:2" x14ac:dyDescent="0.35">
      <c r="A767" t="s">
        <v>3272</v>
      </c>
      <c r="B767">
        <v>0</v>
      </c>
    </row>
    <row r="768" spans="1:2" x14ac:dyDescent="0.35">
      <c r="A768" t="s">
        <v>3273</v>
      </c>
      <c r="B768">
        <v>0</v>
      </c>
    </row>
    <row r="769" spans="1:2" x14ac:dyDescent="0.35">
      <c r="A769" t="s">
        <v>3274</v>
      </c>
      <c r="B769">
        <v>0</v>
      </c>
    </row>
    <row r="770" spans="1:2" x14ac:dyDescent="0.35">
      <c r="A770" t="s">
        <v>3275</v>
      </c>
      <c r="B770">
        <v>0</v>
      </c>
    </row>
    <row r="771" spans="1:2" x14ac:dyDescent="0.35">
      <c r="A771" t="s">
        <v>3285</v>
      </c>
      <c r="B771">
        <v>0</v>
      </c>
    </row>
    <row r="772" spans="1:2" x14ac:dyDescent="0.35">
      <c r="A772" t="s">
        <v>3286</v>
      </c>
      <c r="B772">
        <v>0</v>
      </c>
    </row>
    <row r="773" spans="1:2" x14ac:dyDescent="0.35">
      <c r="A773" t="s">
        <v>3289</v>
      </c>
      <c r="B773">
        <v>5000</v>
      </c>
    </row>
    <row r="774" spans="1:2" x14ac:dyDescent="0.35">
      <c r="A774" t="s">
        <v>3292</v>
      </c>
      <c r="B774">
        <v>5000</v>
      </c>
    </row>
    <row r="775" spans="1:2" x14ac:dyDescent="0.35">
      <c r="A775" t="s">
        <v>3294</v>
      </c>
      <c r="B775">
        <v>0</v>
      </c>
    </row>
    <row r="776" spans="1:2" x14ac:dyDescent="0.35">
      <c r="A776" t="s">
        <v>3295</v>
      </c>
      <c r="B776">
        <v>0</v>
      </c>
    </row>
    <row r="777" spans="1:2" x14ac:dyDescent="0.35">
      <c r="A777" t="s">
        <v>3296</v>
      </c>
      <c r="B777">
        <v>0</v>
      </c>
    </row>
    <row r="778" spans="1:2" x14ac:dyDescent="0.35">
      <c r="A778" t="s">
        <v>3297</v>
      </c>
      <c r="B778">
        <v>0</v>
      </c>
    </row>
    <row r="779" spans="1:2" x14ac:dyDescent="0.35">
      <c r="A779" t="s">
        <v>3298</v>
      </c>
      <c r="B779">
        <v>0</v>
      </c>
    </row>
    <row r="780" spans="1:2" x14ac:dyDescent="0.35">
      <c r="A780" t="s">
        <v>3299</v>
      </c>
      <c r="B780">
        <v>0</v>
      </c>
    </row>
    <row r="781" spans="1:2" x14ac:dyDescent="0.35">
      <c r="A781" t="s">
        <v>3300</v>
      </c>
      <c r="B781">
        <v>0</v>
      </c>
    </row>
    <row r="782" spans="1:2" x14ac:dyDescent="0.35">
      <c r="A782" t="s">
        <v>3301</v>
      </c>
      <c r="B782">
        <v>0</v>
      </c>
    </row>
    <row r="783" spans="1:2" x14ac:dyDescent="0.35">
      <c r="A783" t="s">
        <v>3302</v>
      </c>
      <c r="B783">
        <v>0</v>
      </c>
    </row>
    <row r="784" spans="1:2" x14ac:dyDescent="0.35">
      <c r="A784" t="s">
        <v>3315</v>
      </c>
      <c r="B784">
        <v>1</v>
      </c>
    </row>
    <row r="785" spans="1:2" x14ac:dyDescent="0.35">
      <c r="A785" t="s">
        <v>3316</v>
      </c>
      <c r="B785">
        <v>1</v>
      </c>
    </row>
    <row r="786" spans="1:2" x14ac:dyDescent="0.35">
      <c r="A786" t="s">
        <v>3317</v>
      </c>
      <c r="B786">
        <v>1</v>
      </c>
    </row>
    <row r="787" spans="1:2" x14ac:dyDescent="0.35">
      <c r="A787" t="s">
        <v>3318</v>
      </c>
      <c r="B787">
        <v>1</v>
      </c>
    </row>
    <row r="788" spans="1:2" x14ac:dyDescent="0.35">
      <c r="A788" t="s">
        <v>3319</v>
      </c>
      <c r="B788">
        <v>1</v>
      </c>
    </row>
    <row r="789" spans="1:2" x14ac:dyDescent="0.35">
      <c r="A789" t="s">
        <v>3320</v>
      </c>
      <c r="B789">
        <v>1</v>
      </c>
    </row>
    <row r="790" spans="1:2" x14ac:dyDescent="0.35">
      <c r="A790" t="s">
        <v>3321</v>
      </c>
      <c r="B790">
        <v>1</v>
      </c>
    </row>
    <row r="791" spans="1:2" x14ac:dyDescent="0.35">
      <c r="A791" t="s">
        <v>3322</v>
      </c>
      <c r="B791">
        <v>1</v>
      </c>
    </row>
    <row r="792" spans="1:2" x14ac:dyDescent="0.35">
      <c r="A792" t="s">
        <v>3323</v>
      </c>
      <c r="B792">
        <v>1</v>
      </c>
    </row>
    <row r="793" spans="1:2" x14ac:dyDescent="0.35">
      <c r="A793" t="s">
        <v>3312</v>
      </c>
      <c r="B793">
        <v>0</v>
      </c>
    </row>
    <row r="794" spans="1:2" x14ac:dyDescent="0.35">
      <c r="A794" t="s">
        <v>3313</v>
      </c>
      <c r="B794">
        <v>0</v>
      </c>
    </row>
    <row r="795" spans="1:2" x14ac:dyDescent="0.35">
      <c r="A795" t="s">
        <v>3314</v>
      </c>
      <c r="B795">
        <v>0</v>
      </c>
    </row>
    <row r="796" spans="1:2" x14ac:dyDescent="0.35">
      <c r="A796" t="s">
        <v>3336</v>
      </c>
      <c r="B796" t="b">
        <v>0</v>
      </c>
    </row>
    <row r="797" spans="1:2" x14ac:dyDescent="0.35">
      <c r="A797" t="s">
        <v>3338</v>
      </c>
      <c r="B797">
        <v>3</v>
      </c>
    </row>
    <row r="798" spans="1:2" x14ac:dyDescent="0.35">
      <c r="A798" t="s">
        <v>3339</v>
      </c>
      <c r="B798">
        <v>5</v>
      </c>
    </row>
    <row r="799" spans="1:2" x14ac:dyDescent="0.35">
      <c r="A799" t="s">
        <v>3340</v>
      </c>
      <c r="B799">
        <v>4</v>
      </c>
    </row>
    <row r="800" spans="1:2" x14ac:dyDescent="0.35">
      <c r="A800" t="s">
        <v>3341</v>
      </c>
      <c r="B800">
        <v>6</v>
      </c>
    </row>
    <row r="801" spans="1:2" x14ac:dyDescent="0.35">
      <c r="A801" t="s">
        <v>3342</v>
      </c>
      <c r="B801">
        <v>3</v>
      </c>
    </row>
    <row r="802" spans="1:2" x14ac:dyDescent="0.35">
      <c r="A802" t="s">
        <v>3343</v>
      </c>
      <c r="B802">
        <v>4</v>
      </c>
    </row>
    <row r="803" spans="1:2" x14ac:dyDescent="0.35">
      <c r="A803" t="s">
        <v>3344</v>
      </c>
      <c r="B803">
        <v>5</v>
      </c>
    </row>
    <row r="804" spans="1:2" x14ac:dyDescent="0.35">
      <c r="A804" t="s">
        <v>3345</v>
      </c>
      <c r="B804">
        <v>6</v>
      </c>
    </row>
    <row r="805" spans="1:2" x14ac:dyDescent="0.35">
      <c r="A805" t="s">
        <v>3346</v>
      </c>
      <c r="B805">
        <v>5</v>
      </c>
    </row>
    <row r="806" spans="1:2" x14ac:dyDescent="0.35">
      <c r="A806" t="s">
        <v>3356</v>
      </c>
      <c r="B806">
        <v>5000</v>
      </c>
    </row>
    <row r="807" spans="1:2" x14ac:dyDescent="0.35">
      <c r="A807" t="s">
        <v>3360</v>
      </c>
      <c r="B807">
        <v>5000</v>
      </c>
    </row>
    <row r="808" spans="1:2" x14ac:dyDescent="0.35">
      <c r="A808" t="s">
        <v>3362</v>
      </c>
      <c r="B808">
        <v>5000</v>
      </c>
    </row>
    <row r="809" spans="1:2" x14ac:dyDescent="0.35">
      <c r="A809" t="s">
        <v>3367</v>
      </c>
      <c r="B809">
        <v>0</v>
      </c>
    </row>
    <row r="810" spans="1:2" x14ac:dyDescent="0.35">
      <c r="A810" t="s">
        <v>3368</v>
      </c>
      <c r="B810">
        <v>0</v>
      </c>
    </row>
    <row r="811" spans="1:2" x14ac:dyDescent="0.35">
      <c r="A811" t="s">
        <v>3369</v>
      </c>
      <c r="B811">
        <v>0</v>
      </c>
    </row>
    <row r="812" spans="1:2" x14ac:dyDescent="0.35">
      <c r="A812" t="s">
        <v>3370</v>
      </c>
      <c r="B812">
        <v>0</v>
      </c>
    </row>
    <row r="813" spans="1:2" x14ac:dyDescent="0.35">
      <c r="A813" t="s">
        <v>3371</v>
      </c>
      <c r="B813">
        <v>0</v>
      </c>
    </row>
    <row r="814" spans="1:2" x14ac:dyDescent="0.35">
      <c r="A814" t="s">
        <v>3372</v>
      </c>
      <c r="B814">
        <v>0</v>
      </c>
    </row>
    <row r="815" spans="1:2" x14ac:dyDescent="0.35">
      <c r="A815" t="s">
        <v>3373</v>
      </c>
      <c r="B815">
        <v>0</v>
      </c>
    </row>
    <row r="816" spans="1:2" x14ac:dyDescent="0.35">
      <c r="A816" t="s">
        <v>3374</v>
      </c>
      <c r="B816">
        <v>0</v>
      </c>
    </row>
    <row r="817" spans="1:2" x14ac:dyDescent="0.35">
      <c r="A817" t="s">
        <v>3375</v>
      </c>
      <c r="B817">
        <v>0</v>
      </c>
    </row>
    <row r="818" spans="1:2" x14ac:dyDescent="0.35">
      <c r="A818" t="s">
        <v>3364</v>
      </c>
      <c r="B818">
        <v>0</v>
      </c>
    </row>
    <row r="819" spans="1:2" x14ac:dyDescent="0.35">
      <c r="A819" t="s">
        <v>3365</v>
      </c>
      <c r="B819">
        <v>0</v>
      </c>
    </row>
    <row r="820" spans="1:2" x14ac:dyDescent="0.35">
      <c r="A820" t="s">
        <v>3366</v>
      </c>
      <c r="B820">
        <v>0</v>
      </c>
    </row>
    <row r="821" spans="1:2" x14ac:dyDescent="0.35">
      <c r="A821" t="s">
        <v>3388</v>
      </c>
      <c r="B821">
        <v>0</v>
      </c>
    </row>
    <row r="822" spans="1:2" x14ac:dyDescent="0.35">
      <c r="A822" t="s">
        <v>3389</v>
      </c>
      <c r="B822">
        <v>0</v>
      </c>
    </row>
    <row r="823" spans="1:2" x14ac:dyDescent="0.35">
      <c r="A823" t="s">
        <v>3390</v>
      </c>
      <c r="B823">
        <v>0</v>
      </c>
    </row>
    <row r="824" spans="1:2" x14ac:dyDescent="0.35">
      <c r="A824" t="s">
        <v>3391</v>
      </c>
      <c r="B824">
        <v>0</v>
      </c>
    </row>
    <row r="825" spans="1:2" x14ac:dyDescent="0.35">
      <c r="A825" t="s">
        <v>3392</v>
      </c>
      <c r="B825">
        <v>0</v>
      </c>
    </row>
    <row r="826" spans="1:2" x14ac:dyDescent="0.35">
      <c r="A826" t="s">
        <v>3393</v>
      </c>
      <c r="B826">
        <v>0</v>
      </c>
    </row>
    <row r="827" spans="1:2" x14ac:dyDescent="0.35">
      <c r="A827" t="s">
        <v>3394</v>
      </c>
      <c r="B827">
        <v>0</v>
      </c>
    </row>
    <row r="828" spans="1:2" x14ac:dyDescent="0.35">
      <c r="A828" t="s">
        <v>3395</v>
      </c>
      <c r="B828">
        <v>0</v>
      </c>
    </row>
    <row r="829" spans="1:2" x14ac:dyDescent="0.35">
      <c r="A829" t="s">
        <v>3396</v>
      </c>
      <c r="B829">
        <v>0</v>
      </c>
    </row>
    <row r="830" spans="1:2" x14ac:dyDescent="0.35">
      <c r="A830" t="s">
        <v>3397</v>
      </c>
      <c r="B830" t="s">
        <v>688</v>
      </c>
    </row>
    <row r="831" spans="1:2" x14ac:dyDescent="0.35">
      <c r="A831" t="s">
        <v>3399</v>
      </c>
      <c r="B831">
        <v>2</v>
      </c>
    </row>
    <row r="832" spans="1:2" x14ac:dyDescent="0.35">
      <c r="A832" t="s">
        <v>3400</v>
      </c>
      <c r="B832">
        <v>2</v>
      </c>
    </row>
    <row r="833" spans="1:2" x14ac:dyDescent="0.35">
      <c r="A833" t="s">
        <v>3401</v>
      </c>
      <c r="B833">
        <v>5</v>
      </c>
    </row>
    <row r="834" spans="1:2" x14ac:dyDescent="0.35">
      <c r="A834" t="s">
        <v>3402</v>
      </c>
      <c r="B834">
        <v>6</v>
      </c>
    </row>
    <row r="835" spans="1:2" x14ac:dyDescent="0.35">
      <c r="A835" t="s">
        <v>3403</v>
      </c>
      <c r="B835">
        <v>2</v>
      </c>
    </row>
    <row r="836" spans="1:2" x14ac:dyDescent="0.35">
      <c r="A836" t="s">
        <v>3404</v>
      </c>
      <c r="B836">
        <v>2</v>
      </c>
    </row>
    <row r="837" spans="1:2" x14ac:dyDescent="0.35">
      <c r="A837" t="s">
        <v>3405</v>
      </c>
      <c r="B837">
        <v>3</v>
      </c>
    </row>
    <row r="838" spans="1:2" x14ac:dyDescent="0.35">
      <c r="A838" t="s">
        <v>3406</v>
      </c>
      <c r="B838">
        <v>4</v>
      </c>
    </row>
    <row r="839" spans="1:2" x14ac:dyDescent="0.35">
      <c r="A839" t="s">
        <v>3407</v>
      </c>
      <c r="B839">
        <v>5</v>
      </c>
    </row>
    <row r="840" spans="1:2" x14ac:dyDescent="0.35">
      <c r="A840" t="s">
        <v>3417</v>
      </c>
      <c r="B840">
        <v>5000</v>
      </c>
    </row>
    <row r="841" spans="1:2" x14ac:dyDescent="0.35">
      <c r="A841" t="s">
        <v>3418</v>
      </c>
      <c r="B841">
        <v>5000</v>
      </c>
    </row>
    <row r="842" spans="1:2" x14ac:dyDescent="0.35">
      <c r="A842" t="s">
        <v>3196</v>
      </c>
      <c r="B842">
        <v>2</v>
      </c>
    </row>
    <row r="843" spans="1:2" x14ac:dyDescent="0.35">
      <c r="A843" t="s">
        <v>3197</v>
      </c>
      <c r="B843">
        <v>0</v>
      </c>
    </row>
    <row r="844" spans="1:2" x14ac:dyDescent="0.35">
      <c r="A844" t="s">
        <v>3202</v>
      </c>
      <c r="B844">
        <v>0</v>
      </c>
    </row>
    <row r="845" spans="1:2" x14ac:dyDescent="0.35">
      <c r="A845" t="s">
        <v>3203</v>
      </c>
      <c r="B845">
        <v>0</v>
      </c>
    </row>
    <row r="846" spans="1:2" x14ac:dyDescent="0.35">
      <c r="A846" t="s">
        <v>3204</v>
      </c>
      <c r="B846">
        <v>0</v>
      </c>
    </row>
    <row r="847" spans="1:2" x14ac:dyDescent="0.35">
      <c r="A847" t="s">
        <v>3205</v>
      </c>
      <c r="B847">
        <v>0</v>
      </c>
    </row>
    <row r="848" spans="1:2" x14ac:dyDescent="0.35">
      <c r="A848" t="s">
        <v>3206</v>
      </c>
      <c r="B848">
        <v>0</v>
      </c>
    </row>
    <row r="849" spans="1:2" x14ac:dyDescent="0.35">
      <c r="A849" t="s">
        <v>3207</v>
      </c>
      <c r="B849">
        <v>0</v>
      </c>
    </row>
    <row r="850" spans="1:2" x14ac:dyDescent="0.35">
      <c r="A850" t="s">
        <v>3208</v>
      </c>
      <c r="B850">
        <v>0</v>
      </c>
    </row>
    <row r="851" spans="1:2" x14ac:dyDescent="0.35">
      <c r="A851" t="s">
        <v>3209</v>
      </c>
      <c r="B851">
        <v>0</v>
      </c>
    </row>
    <row r="852" spans="1:2" x14ac:dyDescent="0.35">
      <c r="A852" t="s">
        <v>3198</v>
      </c>
      <c r="B852" t="b">
        <v>0</v>
      </c>
    </row>
    <row r="853" spans="1:2" x14ac:dyDescent="0.35">
      <c r="A853" t="s">
        <v>3199</v>
      </c>
      <c r="B853" t="b">
        <v>0</v>
      </c>
    </row>
    <row r="854" spans="1:2" x14ac:dyDescent="0.35">
      <c r="A854" t="s">
        <v>3200</v>
      </c>
      <c r="B854" t="b">
        <v>0</v>
      </c>
    </row>
    <row r="855" spans="1:2" x14ac:dyDescent="0.35">
      <c r="A855" t="s">
        <v>3201</v>
      </c>
      <c r="B855" t="b">
        <v>0</v>
      </c>
    </row>
    <row r="856" spans="1:2" x14ac:dyDescent="0.35">
      <c r="A856" t="s">
        <v>3419</v>
      </c>
      <c r="B856">
        <v>7</v>
      </c>
    </row>
    <row r="857" spans="1:2" x14ac:dyDescent="0.35">
      <c r="A857" t="s">
        <v>3421</v>
      </c>
      <c r="B857">
        <v>0</v>
      </c>
    </row>
    <row r="858" spans="1:2" x14ac:dyDescent="0.35">
      <c r="A858" t="s">
        <v>3422</v>
      </c>
      <c r="B858">
        <v>0</v>
      </c>
    </row>
    <row r="859" spans="1:2" x14ac:dyDescent="0.35">
      <c r="A859" t="s">
        <v>3423</v>
      </c>
      <c r="B859">
        <v>0</v>
      </c>
    </row>
    <row r="860" spans="1:2" x14ac:dyDescent="0.35">
      <c r="A860" t="s">
        <v>3424</v>
      </c>
      <c r="B860">
        <v>0</v>
      </c>
    </row>
    <row r="861" spans="1:2" x14ac:dyDescent="0.35">
      <c r="A861" t="s">
        <v>3425</v>
      </c>
      <c r="B861">
        <v>0</v>
      </c>
    </row>
    <row r="862" spans="1:2" x14ac:dyDescent="0.35">
      <c r="A862" t="s">
        <v>3426</v>
      </c>
      <c r="B862">
        <v>0</v>
      </c>
    </row>
    <row r="863" spans="1:2" x14ac:dyDescent="0.35">
      <c r="A863" t="s">
        <v>3427</v>
      </c>
      <c r="B863">
        <v>0</v>
      </c>
    </row>
    <row r="864" spans="1:2" x14ac:dyDescent="0.35">
      <c r="A864" t="s">
        <v>3428</v>
      </c>
      <c r="B864">
        <v>0</v>
      </c>
    </row>
    <row r="865" spans="1:2" x14ac:dyDescent="0.35">
      <c r="A865" t="s">
        <v>3429</v>
      </c>
      <c r="B865">
        <v>0</v>
      </c>
    </row>
    <row r="866" spans="1:2" x14ac:dyDescent="0.35">
      <c r="A866" t="s">
        <v>3430</v>
      </c>
      <c r="B866">
        <v>0</v>
      </c>
    </row>
    <row r="867" spans="1:2" x14ac:dyDescent="0.35">
      <c r="A867" t="s">
        <v>3431</v>
      </c>
      <c r="B867">
        <v>0</v>
      </c>
    </row>
    <row r="868" spans="1:2" x14ac:dyDescent="0.35">
      <c r="A868" t="s">
        <v>3432</v>
      </c>
      <c r="B868">
        <v>0</v>
      </c>
    </row>
    <row r="869" spans="1:2" x14ac:dyDescent="0.35">
      <c r="A869" t="s">
        <v>3433</v>
      </c>
      <c r="B869">
        <v>0</v>
      </c>
    </row>
    <row r="870" spans="1:2" x14ac:dyDescent="0.35">
      <c r="A870" t="s">
        <v>3434</v>
      </c>
      <c r="B870">
        <v>0</v>
      </c>
    </row>
    <row r="871" spans="1:2" x14ac:dyDescent="0.35">
      <c r="A871" t="s">
        <v>3435</v>
      </c>
      <c r="B871">
        <v>0</v>
      </c>
    </row>
    <row r="872" spans="1:2" x14ac:dyDescent="0.35">
      <c r="A872" t="s">
        <v>3436</v>
      </c>
      <c r="B872">
        <v>0</v>
      </c>
    </row>
    <row r="873" spans="1:2" x14ac:dyDescent="0.35">
      <c r="A873" t="s">
        <v>3437</v>
      </c>
      <c r="B873">
        <v>0</v>
      </c>
    </row>
    <row r="874" spans="1:2" x14ac:dyDescent="0.35">
      <c r="A874" t="s">
        <v>3438</v>
      </c>
      <c r="B874">
        <v>0</v>
      </c>
    </row>
    <row r="875" spans="1:2" x14ac:dyDescent="0.35">
      <c r="A875" t="s">
        <v>3439</v>
      </c>
      <c r="B875">
        <v>0</v>
      </c>
    </row>
    <row r="876" spans="1:2" x14ac:dyDescent="0.35">
      <c r="A876" t="s">
        <v>3440</v>
      </c>
      <c r="B876">
        <v>0</v>
      </c>
    </row>
    <row r="877" spans="1:2" x14ac:dyDescent="0.35">
      <c r="A877" t="s">
        <v>3441</v>
      </c>
      <c r="B877">
        <v>0</v>
      </c>
    </row>
    <row r="878" spans="1:2" x14ac:dyDescent="0.35">
      <c r="A878" t="s">
        <v>3442</v>
      </c>
      <c r="B878">
        <v>0</v>
      </c>
    </row>
    <row r="879" spans="1:2" x14ac:dyDescent="0.35">
      <c r="A879" t="s">
        <v>3443</v>
      </c>
      <c r="B879">
        <v>0</v>
      </c>
    </row>
    <row r="880" spans="1:2" x14ac:dyDescent="0.35">
      <c r="A880" t="s">
        <v>3444</v>
      </c>
      <c r="B880">
        <v>0</v>
      </c>
    </row>
    <row r="881" spans="1:2" x14ac:dyDescent="0.35">
      <c r="A881" t="s">
        <v>3445</v>
      </c>
      <c r="B881">
        <v>0</v>
      </c>
    </row>
    <row r="882" spans="1:2" x14ac:dyDescent="0.35">
      <c r="A882" t="s">
        <v>3446</v>
      </c>
      <c r="B882">
        <v>0</v>
      </c>
    </row>
    <row r="883" spans="1:2" x14ac:dyDescent="0.35">
      <c r="A883" t="s">
        <v>3447</v>
      </c>
      <c r="B883">
        <v>0</v>
      </c>
    </row>
    <row r="884" spans="1:2" x14ac:dyDescent="0.35">
      <c r="A884" t="s">
        <v>3448</v>
      </c>
      <c r="B884">
        <v>0</v>
      </c>
    </row>
    <row r="885" spans="1:2" x14ac:dyDescent="0.35">
      <c r="A885" t="s">
        <v>3449</v>
      </c>
      <c r="B885">
        <v>0</v>
      </c>
    </row>
    <row r="886" spans="1:2" x14ac:dyDescent="0.35">
      <c r="A886" t="s">
        <v>3450</v>
      </c>
      <c r="B886">
        <v>0</v>
      </c>
    </row>
    <row r="887" spans="1:2" x14ac:dyDescent="0.35">
      <c r="A887" t="s">
        <v>3451</v>
      </c>
      <c r="B887">
        <v>0</v>
      </c>
    </row>
    <row r="888" spans="1:2" x14ac:dyDescent="0.35">
      <c r="A888" t="s">
        <v>3452</v>
      </c>
      <c r="B888">
        <v>0</v>
      </c>
    </row>
    <row r="889" spans="1:2" x14ac:dyDescent="0.35">
      <c r="A889" t="s">
        <v>3453</v>
      </c>
      <c r="B889">
        <v>0</v>
      </c>
    </row>
    <row r="890" spans="1:2" x14ac:dyDescent="0.35">
      <c r="A890" t="s">
        <v>3454</v>
      </c>
      <c r="B890">
        <v>0</v>
      </c>
    </row>
    <row r="891" spans="1:2" x14ac:dyDescent="0.35">
      <c r="A891" t="s">
        <v>3455</v>
      </c>
      <c r="B891">
        <v>0</v>
      </c>
    </row>
    <row r="892" spans="1:2" x14ac:dyDescent="0.35">
      <c r="A892" t="s">
        <v>3456</v>
      </c>
      <c r="B892">
        <v>0</v>
      </c>
    </row>
    <row r="893" spans="1:2" x14ac:dyDescent="0.35">
      <c r="A893" t="s">
        <v>3457</v>
      </c>
      <c r="B893">
        <v>0</v>
      </c>
    </row>
    <row r="894" spans="1:2" x14ac:dyDescent="0.35">
      <c r="A894" t="s">
        <v>3458</v>
      </c>
      <c r="B894">
        <v>0</v>
      </c>
    </row>
    <row r="895" spans="1:2" x14ac:dyDescent="0.35">
      <c r="A895" t="s">
        <v>3459</v>
      </c>
      <c r="B895">
        <v>0</v>
      </c>
    </row>
    <row r="896" spans="1:2" x14ac:dyDescent="0.35">
      <c r="A896" t="s">
        <v>3460</v>
      </c>
      <c r="B896">
        <v>0</v>
      </c>
    </row>
    <row r="897" spans="1:2" x14ac:dyDescent="0.35">
      <c r="A897" t="s">
        <v>3461</v>
      </c>
      <c r="B897">
        <v>0</v>
      </c>
    </row>
    <row r="898" spans="1:2" x14ac:dyDescent="0.35">
      <c r="A898" t="s">
        <v>3462</v>
      </c>
      <c r="B898">
        <v>0</v>
      </c>
    </row>
    <row r="899" spans="1:2" x14ac:dyDescent="0.35">
      <c r="A899" t="s">
        <v>3463</v>
      </c>
      <c r="B899">
        <v>0</v>
      </c>
    </row>
    <row r="900" spans="1:2" x14ac:dyDescent="0.35">
      <c r="A900" t="s">
        <v>3464</v>
      </c>
      <c r="B900">
        <v>0</v>
      </c>
    </row>
    <row r="901" spans="1:2" x14ac:dyDescent="0.35">
      <c r="A901" t="s">
        <v>3465</v>
      </c>
      <c r="B901">
        <v>0</v>
      </c>
    </row>
    <row r="902" spans="1:2" x14ac:dyDescent="0.35">
      <c r="A902" t="s">
        <v>3466</v>
      </c>
      <c r="B902">
        <v>0</v>
      </c>
    </row>
    <row r="903" spans="1:2" x14ac:dyDescent="0.35">
      <c r="A903" t="s">
        <v>3467</v>
      </c>
      <c r="B903">
        <v>0</v>
      </c>
    </row>
    <row r="904" spans="1:2" x14ac:dyDescent="0.35">
      <c r="A904" t="s">
        <v>3468</v>
      </c>
      <c r="B904">
        <v>0</v>
      </c>
    </row>
    <row r="905" spans="1:2" x14ac:dyDescent="0.35">
      <c r="A905" t="s">
        <v>3469</v>
      </c>
      <c r="B905">
        <v>0</v>
      </c>
    </row>
    <row r="906" spans="1:2" x14ac:dyDescent="0.35">
      <c r="A906" t="s">
        <v>3470</v>
      </c>
      <c r="B906">
        <v>0</v>
      </c>
    </row>
    <row r="907" spans="1:2" x14ac:dyDescent="0.35">
      <c r="A907" t="s">
        <v>3471</v>
      </c>
      <c r="B907">
        <v>0</v>
      </c>
    </row>
    <row r="908" spans="1:2" x14ac:dyDescent="0.35">
      <c r="A908" t="s">
        <v>3472</v>
      </c>
      <c r="B908">
        <v>0</v>
      </c>
    </row>
    <row r="909" spans="1:2" x14ac:dyDescent="0.35">
      <c r="A909" t="s">
        <v>3473</v>
      </c>
      <c r="B909">
        <v>0</v>
      </c>
    </row>
    <row r="910" spans="1:2" x14ac:dyDescent="0.35">
      <c r="A910" t="s">
        <v>3474</v>
      </c>
      <c r="B910">
        <v>0</v>
      </c>
    </row>
    <row r="911" spans="1:2" x14ac:dyDescent="0.35">
      <c r="A911" t="s">
        <v>3475</v>
      </c>
      <c r="B911">
        <v>0</v>
      </c>
    </row>
    <row r="912" spans="1:2" x14ac:dyDescent="0.35">
      <c r="A912" t="s">
        <v>3476</v>
      </c>
      <c r="B912">
        <v>0</v>
      </c>
    </row>
    <row r="913" spans="1:2" x14ac:dyDescent="0.35">
      <c r="A913" t="s">
        <v>3477</v>
      </c>
      <c r="B913">
        <v>0</v>
      </c>
    </row>
    <row r="914" spans="1:2" x14ac:dyDescent="0.35">
      <c r="A914" t="s">
        <v>3478</v>
      </c>
      <c r="B914">
        <v>0</v>
      </c>
    </row>
    <row r="915" spans="1:2" x14ac:dyDescent="0.35">
      <c r="A915" t="s">
        <v>3479</v>
      </c>
      <c r="B915">
        <v>0</v>
      </c>
    </row>
    <row r="916" spans="1:2" x14ac:dyDescent="0.35">
      <c r="A916" t="s">
        <v>3480</v>
      </c>
      <c r="B916">
        <v>0</v>
      </c>
    </row>
    <row r="917" spans="1:2" x14ac:dyDescent="0.35">
      <c r="A917" t="s">
        <v>3481</v>
      </c>
      <c r="B917">
        <v>0</v>
      </c>
    </row>
    <row r="918" spans="1:2" x14ac:dyDescent="0.35">
      <c r="A918" t="s">
        <v>3482</v>
      </c>
      <c r="B918">
        <v>0</v>
      </c>
    </row>
    <row r="919" spans="1:2" x14ac:dyDescent="0.35">
      <c r="A919" t="s">
        <v>3483</v>
      </c>
      <c r="B919">
        <v>0</v>
      </c>
    </row>
    <row r="920" spans="1:2" x14ac:dyDescent="0.35">
      <c r="A920" t="s">
        <v>3484</v>
      </c>
      <c r="B920">
        <v>0</v>
      </c>
    </row>
    <row r="921" spans="1:2" x14ac:dyDescent="0.35">
      <c r="A921" t="s">
        <v>3485</v>
      </c>
      <c r="B921">
        <v>0</v>
      </c>
    </row>
    <row r="922" spans="1:2" x14ac:dyDescent="0.35">
      <c r="A922" t="s">
        <v>3486</v>
      </c>
      <c r="B922">
        <v>0</v>
      </c>
    </row>
    <row r="923" spans="1:2" x14ac:dyDescent="0.35">
      <c r="A923" t="s">
        <v>3487</v>
      </c>
      <c r="B923">
        <v>0</v>
      </c>
    </row>
    <row r="924" spans="1:2" x14ac:dyDescent="0.35">
      <c r="A924" t="s">
        <v>3488</v>
      </c>
      <c r="B924">
        <v>0</v>
      </c>
    </row>
    <row r="925" spans="1:2" x14ac:dyDescent="0.35">
      <c r="A925" t="s">
        <v>3489</v>
      </c>
      <c r="B925">
        <v>0</v>
      </c>
    </row>
    <row r="926" spans="1:2" x14ac:dyDescent="0.35">
      <c r="A926" t="s">
        <v>3490</v>
      </c>
      <c r="B926">
        <v>0</v>
      </c>
    </row>
    <row r="927" spans="1:2" x14ac:dyDescent="0.35">
      <c r="A927" t="s">
        <v>3491</v>
      </c>
      <c r="B927">
        <v>0</v>
      </c>
    </row>
    <row r="928" spans="1:2" x14ac:dyDescent="0.35">
      <c r="A928" t="s">
        <v>3492</v>
      </c>
      <c r="B928">
        <v>0</v>
      </c>
    </row>
    <row r="929" spans="1:2" x14ac:dyDescent="0.35">
      <c r="A929" t="s">
        <v>3493</v>
      </c>
      <c r="B929">
        <v>0</v>
      </c>
    </row>
    <row r="930" spans="1:2" x14ac:dyDescent="0.35">
      <c r="A930" t="s">
        <v>3494</v>
      </c>
      <c r="B930">
        <v>0</v>
      </c>
    </row>
    <row r="931" spans="1:2" x14ac:dyDescent="0.35">
      <c r="A931" t="s">
        <v>3495</v>
      </c>
      <c r="B931">
        <v>0</v>
      </c>
    </row>
    <row r="932" spans="1:2" x14ac:dyDescent="0.35">
      <c r="A932" t="s">
        <v>3496</v>
      </c>
      <c r="B932">
        <v>0</v>
      </c>
    </row>
    <row r="933" spans="1:2" x14ac:dyDescent="0.35">
      <c r="A933" t="s">
        <v>3497</v>
      </c>
      <c r="B933">
        <v>0</v>
      </c>
    </row>
    <row r="934" spans="1:2" x14ac:dyDescent="0.35">
      <c r="A934" t="s">
        <v>3498</v>
      </c>
      <c r="B934">
        <v>0</v>
      </c>
    </row>
    <row r="935" spans="1:2" x14ac:dyDescent="0.35">
      <c r="A935" t="s">
        <v>3499</v>
      </c>
      <c r="B935">
        <v>0</v>
      </c>
    </row>
    <row r="936" spans="1:2" x14ac:dyDescent="0.35">
      <c r="A936" t="s">
        <v>3500</v>
      </c>
      <c r="B936">
        <v>0</v>
      </c>
    </row>
    <row r="937" spans="1:2" x14ac:dyDescent="0.35">
      <c r="A937" t="s">
        <v>3501</v>
      </c>
      <c r="B937">
        <v>0</v>
      </c>
    </row>
    <row r="938" spans="1:2" x14ac:dyDescent="0.35">
      <c r="A938" t="s">
        <v>3502</v>
      </c>
      <c r="B938">
        <v>0</v>
      </c>
    </row>
    <row r="939" spans="1:2" x14ac:dyDescent="0.35">
      <c r="A939" t="s">
        <v>3503</v>
      </c>
      <c r="B939">
        <v>0</v>
      </c>
    </row>
    <row r="940" spans="1:2" x14ac:dyDescent="0.35">
      <c r="A940" t="s">
        <v>3504</v>
      </c>
      <c r="B940">
        <v>0</v>
      </c>
    </row>
    <row r="941" spans="1:2" x14ac:dyDescent="0.35">
      <c r="A941" t="s">
        <v>3505</v>
      </c>
      <c r="B941">
        <v>0</v>
      </c>
    </row>
    <row r="942" spans="1:2" x14ac:dyDescent="0.35">
      <c r="A942" t="s">
        <v>3506</v>
      </c>
      <c r="B942">
        <v>0</v>
      </c>
    </row>
    <row r="943" spans="1:2" x14ac:dyDescent="0.35">
      <c r="A943" t="s">
        <v>3507</v>
      </c>
      <c r="B943">
        <v>0</v>
      </c>
    </row>
    <row r="944" spans="1:2" x14ac:dyDescent="0.35">
      <c r="A944" t="s">
        <v>3508</v>
      </c>
      <c r="B944">
        <v>0</v>
      </c>
    </row>
    <row r="945" spans="1:2" x14ac:dyDescent="0.35">
      <c r="A945" t="s">
        <v>3509</v>
      </c>
      <c r="B945">
        <v>0</v>
      </c>
    </row>
    <row r="946" spans="1:2" x14ac:dyDescent="0.35">
      <c r="A946" t="s">
        <v>3510</v>
      </c>
      <c r="B946">
        <v>0</v>
      </c>
    </row>
    <row r="947" spans="1:2" x14ac:dyDescent="0.35">
      <c r="A947" t="s">
        <v>3511</v>
      </c>
      <c r="B947">
        <v>0</v>
      </c>
    </row>
    <row r="948" spans="1:2" x14ac:dyDescent="0.35">
      <c r="A948" t="s">
        <v>3512</v>
      </c>
      <c r="B948">
        <v>0</v>
      </c>
    </row>
    <row r="949" spans="1:2" x14ac:dyDescent="0.35">
      <c r="A949" t="s">
        <v>3513</v>
      </c>
      <c r="B949">
        <v>0</v>
      </c>
    </row>
    <row r="950" spans="1:2" x14ac:dyDescent="0.35">
      <c r="A950" t="s">
        <v>3514</v>
      </c>
      <c r="B950">
        <v>0</v>
      </c>
    </row>
    <row r="951" spans="1:2" x14ac:dyDescent="0.35">
      <c r="A951" t="s">
        <v>3515</v>
      </c>
      <c r="B951">
        <v>0</v>
      </c>
    </row>
    <row r="952" spans="1:2" x14ac:dyDescent="0.35">
      <c r="A952" t="s">
        <v>3516</v>
      </c>
      <c r="B952">
        <v>0</v>
      </c>
    </row>
    <row r="953" spans="1:2" x14ac:dyDescent="0.35">
      <c r="A953" t="s">
        <v>3517</v>
      </c>
      <c r="B953">
        <v>0</v>
      </c>
    </row>
    <row r="954" spans="1:2" x14ac:dyDescent="0.35">
      <c r="A954" t="s">
        <v>3518</v>
      </c>
      <c r="B954">
        <v>0</v>
      </c>
    </row>
    <row r="955" spans="1:2" x14ac:dyDescent="0.35">
      <c r="A955" t="s">
        <v>3519</v>
      </c>
      <c r="B955">
        <v>0</v>
      </c>
    </row>
    <row r="956" spans="1:2" x14ac:dyDescent="0.35">
      <c r="A956" t="s">
        <v>3520</v>
      </c>
      <c r="B956">
        <v>0</v>
      </c>
    </row>
    <row r="957" spans="1:2" x14ac:dyDescent="0.35">
      <c r="A957" t="s">
        <v>3521</v>
      </c>
      <c r="B957">
        <v>0</v>
      </c>
    </row>
    <row r="958" spans="1:2" x14ac:dyDescent="0.35">
      <c r="A958" t="s">
        <v>3522</v>
      </c>
      <c r="B958">
        <v>0</v>
      </c>
    </row>
    <row r="959" spans="1:2" x14ac:dyDescent="0.35">
      <c r="A959" t="s">
        <v>3523</v>
      </c>
      <c r="B959">
        <v>0</v>
      </c>
    </row>
    <row r="960" spans="1:2" x14ac:dyDescent="0.35">
      <c r="A960" t="s">
        <v>3524</v>
      </c>
      <c r="B960">
        <v>0</v>
      </c>
    </row>
    <row r="961" spans="1:2" x14ac:dyDescent="0.35">
      <c r="A961" t="s">
        <v>3525</v>
      </c>
      <c r="B961">
        <v>0</v>
      </c>
    </row>
    <row r="962" spans="1:2" x14ac:dyDescent="0.35">
      <c r="A962" t="s">
        <v>3526</v>
      </c>
      <c r="B962">
        <v>0</v>
      </c>
    </row>
    <row r="963" spans="1:2" x14ac:dyDescent="0.35">
      <c r="A963" t="s">
        <v>3527</v>
      </c>
      <c r="B963">
        <v>0</v>
      </c>
    </row>
    <row r="964" spans="1:2" x14ac:dyDescent="0.35">
      <c r="A964" t="s">
        <v>3528</v>
      </c>
      <c r="B964">
        <v>0</v>
      </c>
    </row>
    <row r="965" spans="1:2" x14ac:dyDescent="0.35">
      <c r="A965" t="s">
        <v>3529</v>
      </c>
      <c r="B965">
        <v>0</v>
      </c>
    </row>
    <row r="966" spans="1:2" x14ac:dyDescent="0.35">
      <c r="A966" t="s">
        <v>3530</v>
      </c>
      <c r="B966">
        <v>0</v>
      </c>
    </row>
    <row r="967" spans="1:2" x14ac:dyDescent="0.35">
      <c r="A967" t="s">
        <v>3531</v>
      </c>
      <c r="B967">
        <v>0</v>
      </c>
    </row>
    <row r="968" spans="1:2" x14ac:dyDescent="0.35">
      <c r="A968" t="s">
        <v>3532</v>
      </c>
      <c r="B968">
        <v>0</v>
      </c>
    </row>
    <row r="969" spans="1:2" x14ac:dyDescent="0.35">
      <c r="A969" t="s">
        <v>3533</v>
      </c>
      <c r="B969">
        <v>0</v>
      </c>
    </row>
    <row r="970" spans="1:2" x14ac:dyDescent="0.35">
      <c r="A970" t="s">
        <v>3534</v>
      </c>
      <c r="B970">
        <v>0</v>
      </c>
    </row>
    <row r="971" spans="1:2" x14ac:dyDescent="0.35">
      <c r="A971" t="s">
        <v>3535</v>
      </c>
      <c r="B971">
        <v>0</v>
      </c>
    </row>
    <row r="972" spans="1:2" x14ac:dyDescent="0.35">
      <c r="A972" t="s">
        <v>3536</v>
      </c>
      <c r="B972">
        <v>0</v>
      </c>
    </row>
    <row r="973" spans="1:2" x14ac:dyDescent="0.35">
      <c r="A973" t="s">
        <v>3537</v>
      </c>
      <c r="B973">
        <v>0</v>
      </c>
    </row>
    <row r="974" spans="1:2" x14ac:dyDescent="0.35">
      <c r="A974" t="s">
        <v>3538</v>
      </c>
      <c r="B974">
        <v>0</v>
      </c>
    </row>
    <row r="975" spans="1:2" x14ac:dyDescent="0.35">
      <c r="A975" t="s">
        <v>3539</v>
      </c>
      <c r="B975">
        <v>0</v>
      </c>
    </row>
    <row r="976" spans="1:2" x14ac:dyDescent="0.35">
      <c r="A976" t="s">
        <v>3540</v>
      </c>
      <c r="B976">
        <v>0</v>
      </c>
    </row>
    <row r="977" spans="1:2" x14ac:dyDescent="0.35">
      <c r="A977" t="s">
        <v>3541</v>
      </c>
      <c r="B977">
        <v>0</v>
      </c>
    </row>
    <row r="978" spans="1:2" x14ac:dyDescent="0.35">
      <c r="A978" t="s">
        <v>3542</v>
      </c>
      <c r="B978">
        <v>0</v>
      </c>
    </row>
    <row r="979" spans="1:2" x14ac:dyDescent="0.35">
      <c r="A979" t="s">
        <v>3543</v>
      </c>
      <c r="B979">
        <v>0</v>
      </c>
    </row>
    <row r="980" spans="1:2" x14ac:dyDescent="0.35">
      <c r="A980" t="s">
        <v>3544</v>
      </c>
      <c r="B980">
        <v>0</v>
      </c>
    </row>
    <row r="981" spans="1:2" x14ac:dyDescent="0.35">
      <c r="A981" t="s">
        <v>3545</v>
      </c>
      <c r="B981">
        <v>0</v>
      </c>
    </row>
    <row r="982" spans="1:2" x14ac:dyDescent="0.35">
      <c r="A982" t="s">
        <v>3546</v>
      </c>
      <c r="B982">
        <v>0</v>
      </c>
    </row>
    <row r="983" spans="1:2" x14ac:dyDescent="0.35">
      <c r="A983" t="s">
        <v>3547</v>
      </c>
      <c r="B983">
        <v>0</v>
      </c>
    </row>
    <row r="984" spans="1:2" x14ac:dyDescent="0.35">
      <c r="A984" t="s">
        <v>3548</v>
      </c>
      <c r="B984">
        <v>0</v>
      </c>
    </row>
    <row r="985" spans="1:2" x14ac:dyDescent="0.35">
      <c r="A985" t="s">
        <v>3549</v>
      </c>
      <c r="B985">
        <v>0</v>
      </c>
    </row>
    <row r="986" spans="1:2" x14ac:dyDescent="0.35">
      <c r="A986" t="s">
        <v>3550</v>
      </c>
      <c r="B986">
        <v>0</v>
      </c>
    </row>
    <row r="987" spans="1:2" x14ac:dyDescent="0.35">
      <c r="A987" t="s">
        <v>3551</v>
      </c>
      <c r="B987">
        <v>0</v>
      </c>
    </row>
    <row r="988" spans="1:2" x14ac:dyDescent="0.35">
      <c r="A988" t="s">
        <v>3552</v>
      </c>
      <c r="B988">
        <v>0</v>
      </c>
    </row>
    <row r="989" spans="1:2" x14ac:dyDescent="0.35">
      <c r="A989" t="s">
        <v>3553</v>
      </c>
      <c r="B989">
        <v>0</v>
      </c>
    </row>
    <row r="990" spans="1:2" x14ac:dyDescent="0.35">
      <c r="A990" t="s">
        <v>3554</v>
      </c>
      <c r="B990">
        <v>0</v>
      </c>
    </row>
    <row r="991" spans="1:2" x14ac:dyDescent="0.35">
      <c r="A991" t="s">
        <v>3555</v>
      </c>
      <c r="B991">
        <v>0</v>
      </c>
    </row>
    <row r="992" spans="1:2" x14ac:dyDescent="0.35">
      <c r="A992" t="s">
        <v>3556</v>
      </c>
      <c r="B992">
        <v>0</v>
      </c>
    </row>
    <row r="993" spans="1:2" x14ac:dyDescent="0.35">
      <c r="A993" t="s">
        <v>3557</v>
      </c>
      <c r="B993">
        <v>0</v>
      </c>
    </row>
    <row r="994" spans="1:2" x14ac:dyDescent="0.35">
      <c r="A994" t="s">
        <v>3558</v>
      </c>
      <c r="B994">
        <v>0</v>
      </c>
    </row>
    <row r="995" spans="1:2" x14ac:dyDescent="0.35">
      <c r="A995" t="s">
        <v>3559</v>
      </c>
      <c r="B995">
        <v>0</v>
      </c>
    </row>
    <row r="996" spans="1:2" x14ac:dyDescent="0.35">
      <c r="A996" t="s">
        <v>3560</v>
      </c>
      <c r="B996">
        <v>0</v>
      </c>
    </row>
    <row r="997" spans="1:2" x14ac:dyDescent="0.35">
      <c r="A997" t="s">
        <v>3561</v>
      </c>
      <c r="B997">
        <v>0</v>
      </c>
    </row>
    <row r="998" spans="1:2" x14ac:dyDescent="0.35">
      <c r="A998" t="s">
        <v>3562</v>
      </c>
      <c r="B998">
        <v>0</v>
      </c>
    </row>
    <row r="999" spans="1:2" x14ac:dyDescent="0.35">
      <c r="A999" t="s">
        <v>3563</v>
      </c>
      <c r="B999">
        <v>0</v>
      </c>
    </row>
    <row r="1000" spans="1:2" x14ac:dyDescent="0.35">
      <c r="A1000" t="s">
        <v>3564</v>
      </c>
      <c r="B1000">
        <v>0</v>
      </c>
    </row>
    <row r="1001" spans="1:2" x14ac:dyDescent="0.35">
      <c r="A1001" t="s">
        <v>3565</v>
      </c>
      <c r="B1001">
        <v>0</v>
      </c>
    </row>
    <row r="1002" spans="1:2" x14ac:dyDescent="0.35">
      <c r="A1002" t="s">
        <v>3566</v>
      </c>
      <c r="B1002">
        <v>0</v>
      </c>
    </row>
    <row r="1003" spans="1:2" x14ac:dyDescent="0.35">
      <c r="A1003" t="s">
        <v>3567</v>
      </c>
      <c r="B1003">
        <v>0</v>
      </c>
    </row>
    <row r="1004" spans="1:2" x14ac:dyDescent="0.35">
      <c r="A1004" t="s">
        <v>3568</v>
      </c>
      <c r="B1004">
        <v>0</v>
      </c>
    </row>
    <row r="1005" spans="1:2" x14ac:dyDescent="0.35">
      <c r="A1005" t="s">
        <v>3569</v>
      </c>
      <c r="B1005">
        <v>0</v>
      </c>
    </row>
    <row r="1006" spans="1:2" x14ac:dyDescent="0.35">
      <c r="A1006" t="s">
        <v>3570</v>
      </c>
      <c r="B1006">
        <v>0</v>
      </c>
    </row>
    <row r="1007" spans="1:2" x14ac:dyDescent="0.35">
      <c r="A1007" t="s">
        <v>3571</v>
      </c>
      <c r="B1007">
        <v>0</v>
      </c>
    </row>
    <row r="1008" spans="1:2" x14ac:dyDescent="0.35">
      <c r="A1008" t="s">
        <v>3572</v>
      </c>
      <c r="B1008">
        <v>0</v>
      </c>
    </row>
    <row r="1009" spans="1:2" x14ac:dyDescent="0.35">
      <c r="A1009" t="s">
        <v>3573</v>
      </c>
      <c r="B1009">
        <v>0</v>
      </c>
    </row>
    <row r="1010" spans="1:2" x14ac:dyDescent="0.35">
      <c r="A1010" t="s">
        <v>3574</v>
      </c>
      <c r="B1010">
        <v>0</v>
      </c>
    </row>
    <row r="1011" spans="1:2" x14ac:dyDescent="0.35">
      <c r="A1011" t="s">
        <v>3575</v>
      </c>
      <c r="B1011">
        <v>0</v>
      </c>
    </row>
    <row r="1012" spans="1:2" x14ac:dyDescent="0.35">
      <c r="A1012" t="s">
        <v>3576</v>
      </c>
      <c r="B1012">
        <v>0</v>
      </c>
    </row>
    <row r="1013" spans="1:2" x14ac:dyDescent="0.35">
      <c r="A1013" t="s">
        <v>3577</v>
      </c>
      <c r="B1013">
        <v>0</v>
      </c>
    </row>
    <row r="1014" spans="1:2" x14ac:dyDescent="0.35">
      <c r="A1014" t="s">
        <v>3578</v>
      </c>
      <c r="B1014">
        <v>0</v>
      </c>
    </row>
    <row r="1015" spans="1:2" x14ac:dyDescent="0.35">
      <c r="A1015" t="s">
        <v>3579</v>
      </c>
      <c r="B1015">
        <v>0</v>
      </c>
    </row>
    <row r="1016" spans="1:2" x14ac:dyDescent="0.35">
      <c r="A1016" t="s">
        <v>3580</v>
      </c>
      <c r="B1016">
        <v>0</v>
      </c>
    </row>
    <row r="1017" spans="1:2" x14ac:dyDescent="0.35">
      <c r="A1017" t="s">
        <v>3581</v>
      </c>
      <c r="B1017">
        <v>0</v>
      </c>
    </row>
    <row r="1018" spans="1:2" x14ac:dyDescent="0.35">
      <c r="A1018" t="s">
        <v>3582</v>
      </c>
      <c r="B1018">
        <v>0</v>
      </c>
    </row>
    <row r="1019" spans="1:2" x14ac:dyDescent="0.35">
      <c r="A1019" t="s">
        <v>3583</v>
      </c>
      <c r="B1019">
        <v>0</v>
      </c>
    </row>
    <row r="1020" spans="1:2" x14ac:dyDescent="0.35">
      <c r="A1020" t="s">
        <v>3584</v>
      </c>
      <c r="B1020">
        <v>0</v>
      </c>
    </row>
    <row r="1021" spans="1:2" x14ac:dyDescent="0.35">
      <c r="A1021" t="s">
        <v>3585</v>
      </c>
      <c r="B1021">
        <v>0</v>
      </c>
    </row>
    <row r="1022" spans="1:2" x14ac:dyDescent="0.35">
      <c r="A1022" t="s">
        <v>3586</v>
      </c>
      <c r="B1022">
        <v>0</v>
      </c>
    </row>
    <row r="1023" spans="1:2" x14ac:dyDescent="0.35">
      <c r="A1023" t="s">
        <v>3587</v>
      </c>
      <c r="B1023">
        <v>0</v>
      </c>
    </row>
    <row r="1024" spans="1:2" x14ac:dyDescent="0.35">
      <c r="A1024" t="s">
        <v>3588</v>
      </c>
      <c r="B1024">
        <v>0</v>
      </c>
    </row>
    <row r="1025" spans="1:2" x14ac:dyDescent="0.35">
      <c r="A1025" t="s">
        <v>3589</v>
      </c>
      <c r="B1025">
        <v>0</v>
      </c>
    </row>
    <row r="1026" spans="1:2" x14ac:dyDescent="0.35">
      <c r="A1026" t="s">
        <v>3590</v>
      </c>
      <c r="B1026">
        <v>0</v>
      </c>
    </row>
    <row r="1027" spans="1:2" x14ac:dyDescent="0.35">
      <c r="A1027" t="s">
        <v>3591</v>
      </c>
      <c r="B1027">
        <v>0</v>
      </c>
    </row>
    <row r="1028" spans="1:2" x14ac:dyDescent="0.35">
      <c r="A1028" t="s">
        <v>3592</v>
      </c>
      <c r="B1028">
        <v>0</v>
      </c>
    </row>
    <row r="1029" spans="1:2" x14ac:dyDescent="0.35">
      <c r="A1029" t="s">
        <v>3593</v>
      </c>
      <c r="B1029">
        <v>0</v>
      </c>
    </row>
    <row r="1030" spans="1:2" x14ac:dyDescent="0.35">
      <c r="A1030" t="s">
        <v>3594</v>
      </c>
      <c r="B1030">
        <v>0</v>
      </c>
    </row>
    <row r="1031" spans="1:2" x14ac:dyDescent="0.35">
      <c r="A1031" t="s">
        <v>3595</v>
      </c>
      <c r="B1031">
        <v>0</v>
      </c>
    </row>
    <row r="1032" spans="1:2" x14ac:dyDescent="0.35">
      <c r="A1032" t="s">
        <v>3596</v>
      </c>
      <c r="B1032">
        <v>0</v>
      </c>
    </row>
    <row r="1033" spans="1:2" x14ac:dyDescent="0.35">
      <c r="A1033" t="s">
        <v>3597</v>
      </c>
      <c r="B1033">
        <v>0</v>
      </c>
    </row>
    <row r="1034" spans="1:2" x14ac:dyDescent="0.35">
      <c r="A1034" t="s">
        <v>3598</v>
      </c>
      <c r="B1034">
        <v>0</v>
      </c>
    </row>
    <row r="1035" spans="1:2" x14ac:dyDescent="0.35">
      <c r="A1035" t="s">
        <v>3599</v>
      </c>
      <c r="B1035">
        <v>0</v>
      </c>
    </row>
    <row r="1036" spans="1:2" x14ac:dyDescent="0.35">
      <c r="A1036" t="s">
        <v>3600</v>
      </c>
      <c r="B1036">
        <v>0</v>
      </c>
    </row>
    <row r="1037" spans="1:2" x14ac:dyDescent="0.35">
      <c r="A1037" t="s">
        <v>3601</v>
      </c>
      <c r="B1037">
        <v>0</v>
      </c>
    </row>
    <row r="1038" spans="1:2" x14ac:dyDescent="0.35">
      <c r="A1038" t="s">
        <v>3602</v>
      </c>
      <c r="B1038">
        <v>0</v>
      </c>
    </row>
    <row r="1039" spans="1:2" x14ac:dyDescent="0.35">
      <c r="A1039" t="s">
        <v>3603</v>
      </c>
      <c r="B1039">
        <v>0</v>
      </c>
    </row>
    <row r="1040" spans="1:2" x14ac:dyDescent="0.35">
      <c r="A1040" t="s">
        <v>3604</v>
      </c>
      <c r="B1040">
        <v>0</v>
      </c>
    </row>
    <row r="1041" spans="1:2" x14ac:dyDescent="0.35">
      <c r="A1041" t="s">
        <v>3605</v>
      </c>
      <c r="B1041">
        <v>0</v>
      </c>
    </row>
    <row r="1042" spans="1:2" x14ac:dyDescent="0.35">
      <c r="A1042" t="s">
        <v>3606</v>
      </c>
      <c r="B1042">
        <v>0</v>
      </c>
    </row>
    <row r="1043" spans="1:2" x14ac:dyDescent="0.35">
      <c r="A1043" t="s">
        <v>3607</v>
      </c>
      <c r="B1043">
        <v>0</v>
      </c>
    </row>
    <row r="1044" spans="1:2" x14ac:dyDescent="0.35">
      <c r="A1044" t="s">
        <v>3608</v>
      </c>
      <c r="B1044">
        <v>0</v>
      </c>
    </row>
    <row r="1045" spans="1:2" x14ac:dyDescent="0.35">
      <c r="A1045" t="s">
        <v>3609</v>
      </c>
      <c r="B1045">
        <v>0</v>
      </c>
    </row>
    <row r="1046" spans="1:2" x14ac:dyDescent="0.35">
      <c r="A1046" t="s">
        <v>3610</v>
      </c>
      <c r="B1046">
        <v>0</v>
      </c>
    </row>
    <row r="1047" spans="1:2" x14ac:dyDescent="0.35">
      <c r="A1047" t="s">
        <v>3611</v>
      </c>
      <c r="B1047">
        <v>0</v>
      </c>
    </row>
    <row r="1048" spans="1:2" x14ac:dyDescent="0.35">
      <c r="A1048" t="s">
        <v>3612</v>
      </c>
      <c r="B1048">
        <v>0</v>
      </c>
    </row>
    <row r="1049" spans="1:2" x14ac:dyDescent="0.35">
      <c r="A1049" t="s">
        <v>3613</v>
      </c>
      <c r="B1049">
        <v>0</v>
      </c>
    </row>
    <row r="1050" spans="1:2" x14ac:dyDescent="0.35">
      <c r="A1050" t="s">
        <v>3614</v>
      </c>
      <c r="B1050">
        <v>0</v>
      </c>
    </row>
    <row r="1051" spans="1:2" x14ac:dyDescent="0.35">
      <c r="A1051" t="s">
        <v>3615</v>
      </c>
      <c r="B1051">
        <v>0</v>
      </c>
    </row>
    <row r="1052" spans="1:2" x14ac:dyDescent="0.35">
      <c r="A1052" t="s">
        <v>3616</v>
      </c>
      <c r="B1052">
        <v>0</v>
      </c>
    </row>
    <row r="1053" spans="1:2" x14ac:dyDescent="0.35">
      <c r="A1053" t="s">
        <v>3617</v>
      </c>
      <c r="B1053">
        <v>0</v>
      </c>
    </row>
    <row r="1054" spans="1:2" x14ac:dyDescent="0.35">
      <c r="A1054" t="s">
        <v>3618</v>
      </c>
      <c r="B1054">
        <v>0</v>
      </c>
    </row>
    <row r="1055" spans="1:2" x14ac:dyDescent="0.35">
      <c r="A1055" t="s">
        <v>3619</v>
      </c>
      <c r="B1055">
        <v>0</v>
      </c>
    </row>
    <row r="1056" spans="1:2" x14ac:dyDescent="0.35">
      <c r="A1056" t="s">
        <v>3620</v>
      </c>
      <c r="B1056">
        <v>0</v>
      </c>
    </row>
    <row r="1057" spans="1:2" x14ac:dyDescent="0.35">
      <c r="A1057" t="s">
        <v>3621</v>
      </c>
      <c r="B1057">
        <v>0</v>
      </c>
    </row>
    <row r="1058" spans="1:2" x14ac:dyDescent="0.35">
      <c r="A1058" t="s">
        <v>3622</v>
      </c>
      <c r="B1058">
        <v>0</v>
      </c>
    </row>
    <row r="1059" spans="1:2" x14ac:dyDescent="0.35">
      <c r="A1059" t="s">
        <v>3623</v>
      </c>
      <c r="B1059">
        <v>0</v>
      </c>
    </row>
    <row r="1060" spans="1:2" x14ac:dyDescent="0.35">
      <c r="A1060" t="s">
        <v>3624</v>
      </c>
      <c r="B1060">
        <v>0</v>
      </c>
    </row>
    <row r="1061" spans="1:2" x14ac:dyDescent="0.35">
      <c r="A1061" t="s">
        <v>3625</v>
      </c>
      <c r="B1061">
        <v>0</v>
      </c>
    </row>
    <row r="1062" spans="1:2" x14ac:dyDescent="0.35">
      <c r="A1062" t="s">
        <v>3626</v>
      </c>
      <c r="B1062">
        <v>0</v>
      </c>
    </row>
    <row r="1063" spans="1:2" x14ac:dyDescent="0.35">
      <c r="A1063" t="s">
        <v>3627</v>
      </c>
      <c r="B1063">
        <v>0</v>
      </c>
    </row>
    <row r="1064" spans="1:2" x14ac:dyDescent="0.35">
      <c r="A1064" t="s">
        <v>3628</v>
      </c>
      <c r="B1064">
        <v>0</v>
      </c>
    </row>
    <row r="1065" spans="1:2" x14ac:dyDescent="0.35">
      <c r="A1065" t="s">
        <v>3629</v>
      </c>
      <c r="B1065">
        <v>0</v>
      </c>
    </row>
    <row r="1066" spans="1:2" x14ac:dyDescent="0.35">
      <c r="A1066" t="s">
        <v>3630</v>
      </c>
      <c r="B1066">
        <v>0</v>
      </c>
    </row>
    <row r="1067" spans="1:2" x14ac:dyDescent="0.35">
      <c r="A1067" t="s">
        <v>3631</v>
      </c>
      <c r="B1067">
        <v>0</v>
      </c>
    </row>
    <row r="1068" spans="1:2" x14ac:dyDescent="0.35">
      <c r="A1068" t="s">
        <v>3632</v>
      </c>
      <c r="B1068">
        <v>0</v>
      </c>
    </row>
    <row r="1069" spans="1:2" x14ac:dyDescent="0.35">
      <c r="A1069" t="s">
        <v>3633</v>
      </c>
      <c r="B1069">
        <v>0</v>
      </c>
    </row>
    <row r="1070" spans="1:2" x14ac:dyDescent="0.35">
      <c r="A1070" t="s">
        <v>3634</v>
      </c>
      <c r="B1070">
        <v>0</v>
      </c>
    </row>
    <row r="1071" spans="1:2" x14ac:dyDescent="0.35">
      <c r="A1071" t="s">
        <v>3635</v>
      </c>
      <c r="B1071">
        <v>0</v>
      </c>
    </row>
    <row r="1072" spans="1:2" x14ac:dyDescent="0.35">
      <c r="A1072" t="s">
        <v>3636</v>
      </c>
      <c r="B1072">
        <v>0</v>
      </c>
    </row>
    <row r="1073" spans="1:2" x14ac:dyDescent="0.35">
      <c r="A1073" t="s">
        <v>3637</v>
      </c>
      <c r="B1073">
        <v>0</v>
      </c>
    </row>
    <row r="1074" spans="1:2" x14ac:dyDescent="0.35">
      <c r="A1074" t="s">
        <v>3638</v>
      </c>
      <c r="B1074">
        <v>0</v>
      </c>
    </row>
    <row r="1075" spans="1:2" x14ac:dyDescent="0.35">
      <c r="A1075" t="s">
        <v>3639</v>
      </c>
      <c r="B1075">
        <v>0</v>
      </c>
    </row>
    <row r="1076" spans="1:2" x14ac:dyDescent="0.35">
      <c r="A1076" t="s">
        <v>3640</v>
      </c>
      <c r="B1076">
        <v>0</v>
      </c>
    </row>
    <row r="1077" spans="1:2" x14ac:dyDescent="0.35">
      <c r="A1077" t="s">
        <v>3641</v>
      </c>
      <c r="B1077">
        <v>0</v>
      </c>
    </row>
    <row r="1078" spans="1:2" x14ac:dyDescent="0.35">
      <c r="A1078" t="s">
        <v>3642</v>
      </c>
      <c r="B1078">
        <v>0</v>
      </c>
    </row>
    <row r="1079" spans="1:2" x14ac:dyDescent="0.35">
      <c r="A1079" t="s">
        <v>3643</v>
      </c>
      <c r="B1079">
        <v>0</v>
      </c>
    </row>
    <row r="1080" spans="1:2" x14ac:dyDescent="0.35">
      <c r="A1080" t="s">
        <v>3644</v>
      </c>
      <c r="B1080">
        <v>0</v>
      </c>
    </row>
    <row r="1081" spans="1:2" x14ac:dyDescent="0.35">
      <c r="A1081" t="s">
        <v>3645</v>
      </c>
      <c r="B1081">
        <v>0</v>
      </c>
    </row>
    <row r="1082" spans="1:2" x14ac:dyDescent="0.35">
      <c r="A1082" t="s">
        <v>3646</v>
      </c>
      <c r="B1082">
        <v>0</v>
      </c>
    </row>
    <row r="1083" spans="1:2" x14ac:dyDescent="0.35">
      <c r="A1083" t="s">
        <v>3647</v>
      </c>
      <c r="B1083">
        <v>0</v>
      </c>
    </row>
    <row r="1084" spans="1:2" x14ac:dyDescent="0.35">
      <c r="A1084" t="s">
        <v>3648</v>
      </c>
      <c r="B1084">
        <v>0</v>
      </c>
    </row>
    <row r="1085" spans="1:2" x14ac:dyDescent="0.35">
      <c r="A1085" t="s">
        <v>3649</v>
      </c>
      <c r="B1085">
        <v>0</v>
      </c>
    </row>
    <row r="1086" spans="1:2" x14ac:dyDescent="0.35">
      <c r="A1086" t="s">
        <v>3650</v>
      </c>
      <c r="B1086">
        <v>0</v>
      </c>
    </row>
    <row r="1087" spans="1:2" x14ac:dyDescent="0.35">
      <c r="A1087" t="s">
        <v>3651</v>
      </c>
      <c r="B1087">
        <v>0</v>
      </c>
    </row>
    <row r="1088" spans="1:2" x14ac:dyDescent="0.35">
      <c r="A1088" t="s">
        <v>3652</v>
      </c>
      <c r="B1088">
        <v>0</v>
      </c>
    </row>
    <row r="1089" spans="1:2" x14ac:dyDescent="0.35">
      <c r="A1089" t="s">
        <v>3653</v>
      </c>
      <c r="B1089">
        <v>0</v>
      </c>
    </row>
    <row r="1090" spans="1:2" x14ac:dyDescent="0.35">
      <c r="A1090" t="s">
        <v>3654</v>
      </c>
      <c r="B1090">
        <v>0</v>
      </c>
    </row>
    <row r="1091" spans="1:2" x14ac:dyDescent="0.35">
      <c r="A1091" t="s">
        <v>3655</v>
      </c>
      <c r="B1091">
        <v>0</v>
      </c>
    </row>
    <row r="1092" spans="1:2" x14ac:dyDescent="0.35">
      <c r="A1092" t="s">
        <v>3656</v>
      </c>
      <c r="B1092">
        <v>0</v>
      </c>
    </row>
    <row r="1093" spans="1:2" x14ac:dyDescent="0.35">
      <c r="A1093" t="s">
        <v>3657</v>
      </c>
      <c r="B1093">
        <v>0</v>
      </c>
    </row>
    <row r="1094" spans="1:2" x14ac:dyDescent="0.35">
      <c r="A1094" t="s">
        <v>3658</v>
      </c>
      <c r="B1094">
        <v>0</v>
      </c>
    </row>
    <row r="1095" spans="1:2" x14ac:dyDescent="0.35">
      <c r="A1095" t="s">
        <v>3659</v>
      </c>
      <c r="B1095">
        <v>0</v>
      </c>
    </row>
    <row r="1096" spans="1:2" x14ac:dyDescent="0.35">
      <c r="A1096" t="s">
        <v>3660</v>
      </c>
      <c r="B1096">
        <v>0</v>
      </c>
    </row>
    <row r="1097" spans="1:2" x14ac:dyDescent="0.35">
      <c r="A1097" t="s">
        <v>3661</v>
      </c>
      <c r="B1097">
        <v>0</v>
      </c>
    </row>
    <row r="1098" spans="1:2" x14ac:dyDescent="0.35">
      <c r="A1098" t="s">
        <v>3662</v>
      </c>
      <c r="B1098">
        <v>0</v>
      </c>
    </row>
    <row r="1099" spans="1:2" x14ac:dyDescent="0.35">
      <c r="A1099" t="s">
        <v>3663</v>
      </c>
      <c r="B1099">
        <v>0</v>
      </c>
    </row>
    <row r="1100" spans="1:2" x14ac:dyDescent="0.35">
      <c r="A1100" t="s">
        <v>3664</v>
      </c>
      <c r="B1100">
        <v>0</v>
      </c>
    </row>
    <row r="1101" spans="1:2" x14ac:dyDescent="0.35">
      <c r="A1101" t="s">
        <v>3665</v>
      </c>
      <c r="B1101">
        <v>0</v>
      </c>
    </row>
    <row r="1102" spans="1:2" x14ac:dyDescent="0.35">
      <c r="A1102" t="s">
        <v>3666</v>
      </c>
      <c r="B1102">
        <v>0</v>
      </c>
    </row>
    <row r="1103" spans="1:2" x14ac:dyDescent="0.35">
      <c r="A1103" t="s">
        <v>3667</v>
      </c>
      <c r="B1103">
        <v>0</v>
      </c>
    </row>
    <row r="1104" spans="1:2" x14ac:dyDescent="0.35">
      <c r="A1104" t="s">
        <v>3668</v>
      </c>
      <c r="B1104">
        <v>0</v>
      </c>
    </row>
    <row r="1105" spans="1:2" x14ac:dyDescent="0.35">
      <c r="A1105" t="s">
        <v>3669</v>
      </c>
      <c r="B1105">
        <v>0</v>
      </c>
    </row>
    <row r="1106" spans="1:2" x14ac:dyDescent="0.35">
      <c r="A1106" t="s">
        <v>3670</v>
      </c>
      <c r="B1106">
        <v>0</v>
      </c>
    </row>
    <row r="1107" spans="1:2" x14ac:dyDescent="0.35">
      <c r="A1107" t="s">
        <v>3671</v>
      </c>
      <c r="B1107">
        <v>0</v>
      </c>
    </row>
    <row r="1108" spans="1:2" x14ac:dyDescent="0.35">
      <c r="A1108" t="s">
        <v>3672</v>
      </c>
      <c r="B1108">
        <v>0</v>
      </c>
    </row>
    <row r="1109" spans="1:2" x14ac:dyDescent="0.35">
      <c r="A1109" t="s">
        <v>3673</v>
      </c>
      <c r="B1109">
        <v>0</v>
      </c>
    </row>
    <row r="1110" spans="1:2" x14ac:dyDescent="0.35">
      <c r="A1110" t="s">
        <v>3674</v>
      </c>
      <c r="B1110">
        <v>0</v>
      </c>
    </row>
    <row r="1111" spans="1:2" x14ac:dyDescent="0.35">
      <c r="A1111" t="s">
        <v>3675</v>
      </c>
      <c r="B1111">
        <v>0</v>
      </c>
    </row>
    <row r="1112" spans="1:2" x14ac:dyDescent="0.35">
      <c r="A1112" t="s">
        <v>3676</v>
      </c>
      <c r="B1112">
        <v>0</v>
      </c>
    </row>
    <row r="1113" spans="1:2" x14ac:dyDescent="0.35">
      <c r="A1113" t="s">
        <v>3677</v>
      </c>
      <c r="B1113">
        <v>0</v>
      </c>
    </row>
    <row r="1114" spans="1:2" x14ac:dyDescent="0.35">
      <c r="A1114" t="s">
        <v>3678</v>
      </c>
      <c r="B1114">
        <v>0</v>
      </c>
    </row>
    <row r="1115" spans="1:2" x14ac:dyDescent="0.35">
      <c r="A1115" t="s">
        <v>3679</v>
      </c>
      <c r="B1115">
        <v>0</v>
      </c>
    </row>
    <row r="1116" spans="1:2" x14ac:dyDescent="0.35">
      <c r="A1116" t="s">
        <v>3680</v>
      </c>
      <c r="B1116">
        <v>0</v>
      </c>
    </row>
    <row r="1117" spans="1:2" x14ac:dyDescent="0.35">
      <c r="A1117" t="s">
        <v>3681</v>
      </c>
      <c r="B1117">
        <v>0</v>
      </c>
    </row>
    <row r="1118" spans="1:2" x14ac:dyDescent="0.35">
      <c r="A1118" t="s">
        <v>3682</v>
      </c>
      <c r="B1118">
        <v>0</v>
      </c>
    </row>
    <row r="1119" spans="1:2" x14ac:dyDescent="0.35">
      <c r="A1119" t="s">
        <v>3683</v>
      </c>
      <c r="B1119">
        <v>0</v>
      </c>
    </row>
    <row r="1120" spans="1:2" x14ac:dyDescent="0.35">
      <c r="A1120" t="s">
        <v>3684</v>
      </c>
      <c r="B1120">
        <v>0</v>
      </c>
    </row>
    <row r="1121" spans="1:2" x14ac:dyDescent="0.35">
      <c r="A1121" t="s">
        <v>3685</v>
      </c>
      <c r="B1121">
        <v>0</v>
      </c>
    </row>
    <row r="1122" spans="1:2" x14ac:dyDescent="0.35">
      <c r="A1122" t="s">
        <v>3686</v>
      </c>
      <c r="B1122">
        <v>0</v>
      </c>
    </row>
    <row r="1123" spans="1:2" x14ac:dyDescent="0.35">
      <c r="A1123" t="s">
        <v>3687</v>
      </c>
      <c r="B1123">
        <v>0</v>
      </c>
    </row>
    <row r="1124" spans="1:2" x14ac:dyDescent="0.35">
      <c r="A1124" t="s">
        <v>3688</v>
      </c>
      <c r="B1124">
        <v>0</v>
      </c>
    </row>
    <row r="1125" spans="1:2" x14ac:dyDescent="0.35">
      <c r="A1125" t="s">
        <v>3689</v>
      </c>
      <c r="B1125">
        <v>0</v>
      </c>
    </row>
    <row r="1126" spans="1:2" x14ac:dyDescent="0.35">
      <c r="A1126" t="s">
        <v>3690</v>
      </c>
      <c r="B1126">
        <v>0</v>
      </c>
    </row>
    <row r="1127" spans="1:2" x14ac:dyDescent="0.35">
      <c r="A1127" t="s">
        <v>3691</v>
      </c>
      <c r="B1127">
        <v>0</v>
      </c>
    </row>
    <row r="1128" spans="1:2" x14ac:dyDescent="0.35">
      <c r="A1128" t="s">
        <v>3692</v>
      </c>
      <c r="B1128">
        <v>0</v>
      </c>
    </row>
    <row r="1129" spans="1:2" x14ac:dyDescent="0.35">
      <c r="A1129" t="s">
        <v>3693</v>
      </c>
      <c r="B1129">
        <v>0</v>
      </c>
    </row>
    <row r="1130" spans="1:2" x14ac:dyDescent="0.35">
      <c r="A1130" t="s">
        <v>3694</v>
      </c>
      <c r="B1130">
        <v>0</v>
      </c>
    </row>
    <row r="1131" spans="1:2" x14ac:dyDescent="0.35">
      <c r="A1131" t="s">
        <v>3695</v>
      </c>
      <c r="B1131">
        <v>0</v>
      </c>
    </row>
    <row r="1132" spans="1:2" x14ac:dyDescent="0.35">
      <c r="A1132" t="s">
        <v>3696</v>
      </c>
      <c r="B1132">
        <v>0</v>
      </c>
    </row>
    <row r="1133" spans="1:2" x14ac:dyDescent="0.35">
      <c r="A1133" t="s">
        <v>3697</v>
      </c>
      <c r="B1133">
        <v>0</v>
      </c>
    </row>
    <row r="1134" spans="1:2" x14ac:dyDescent="0.35">
      <c r="A1134" t="s">
        <v>3698</v>
      </c>
      <c r="B1134">
        <v>0</v>
      </c>
    </row>
    <row r="1135" spans="1:2" x14ac:dyDescent="0.35">
      <c r="A1135" t="s">
        <v>3699</v>
      </c>
      <c r="B1135">
        <v>0</v>
      </c>
    </row>
    <row r="1136" spans="1:2" x14ac:dyDescent="0.35">
      <c r="A1136" t="s">
        <v>3700</v>
      </c>
      <c r="B1136">
        <v>0</v>
      </c>
    </row>
    <row r="1137" spans="1:2" x14ac:dyDescent="0.35">
      <c r="A1137" t="s">
        <v>3701</v>
      </c>
      <c r="B1137">
        <v>0</v>
      </c>
    </row>
    <row r="1138" spans="1:2" x14ac:dyDescent="0.35">
      <c r="A1138" t="s">
        <v>4004</v>
      </c>
      <c r="B1138">
        <v>100</v>
      </c>
    </row>
    <row r="1139" spans="1:2" x14ac:dyDescent="0.35">
      <c r="A1139" t="s">
        <v>4005</v>
      </c>
      <c r="B1139">
        <v>80</v>
      </c>
    </row>
    <row r="1140" spans="1:2" x14ac:dyDescent="0.35">
      <c r="A1140" t="s">
        <v>4002</v>
      </c>
      <c r="B1140">
        <v>0</v>
      </c>
    </row>
    <row r="1141" spans="1:2" x14ac:dyDescent="0.35">
      <c r="A1141" t="s">
        <v>4001</v>
      </c>
      <c r="B1141">
        <v>42737</v>
      </c>
    </row>
    <row r="1142" spans="1:2" x14ac:dyDescent="0.35">
      <c r="A1142" t="s">
        <v>4003</v>
      </c>
      <c r="B1142">
        <v>30</v>
      </c>
    </row>
    <row r="1143" spans="1:2" x14ac:dyDescent="0.35">
      <c r="A1143" t="s">
        <v>2477</v>
      </c>
      <c r="B1143">
        <v>0</v>
      </c>
    </row>
    <row r="1144" spans="1:2" x14ac:dyDescent="0.35">
      <c r="A1144" t="s">
        <v>2478</v>
      </c>
      <c r="B1144">
        <v>0</v>
      </c>
    </row>
    <row r="1145" spans="1:2" x14ac:dyDescent="0.35">
      <c r="A1145" t="s">
        <v>2479</v>
      </c>
      <c r="B1145">
        <v>0</v>
      </c>
    </row>
    <row r="1146" spans="1:2" x14ac:dyDescent="0.35">
      <c r="A1146" t="s">
        <v>2480</v>
      </c>
      <c r="B1146">
        <v>0</v>
      </c>
    </row>
    <row r="1147" spans="1:2" x14ac:dyDescent="0.35">
      <c r="A1147" t="s">
        <v>2481</v>
      </c>
      <c r="B1147">
        <v>0</v>
      </c>
    </row>
    <row r="1148" spans="1:2" x14ac:dyDescent="0.35">
      <c r="A1148" t="s">
        <v>2482</v>
      </c>
      <c r="B1148">
        <v>0</v>
      </c>
    </row>
    <row r="1149" spans="1:2" x14ac:dyDescent="0.35">
      <c r="A1149" t="s">
        <v>2483</v>
      </c>
      <c r="B1149">
        <v>0</v>
      </c>
    </row>
    <row r="1150" spans="1:2" x14ac:dyDescent="0.35">
      <c r="A1150" t="s">
        <v>2484</v>
      </c>
      <c r="B1150">
        <v>0</v>
      </c>
    </row>
    <row r="1151" spans="1:2" x14ac:dyDescent="0.35">
      <c r="A1151" t="s">
        <v>2485</v>
      </c>
      <c r="B1151">
        <v>0</v>
      </c>
    </row>
    <row r="1152" spans="1:2" x14ac:dyDescent="0.35">
      <c r="A1152" t="s">
        <v>2486</v>
      </c>
      <c r="B1152">
        <v>0</v>
      </c>
    </row>
    <row r="1153" spans="1:2" x14ac:dyDescent="0.35">
      <c r="A1153" t="s">
        <v>2487</v>
      </c>
      <c r="B1153">
        <v>0</v>
      </c>
    </row>
    <row r="1154" spans="1:2" x14ac:dyDescent="0.35">
      <c r="A1154" t="s">
        <v>2488</v>
      </c>
      <c r="B1154">
        <v>0</v>
      </c>
    </row>
    <row r="1155" spans="1:2" x14ac:dyDescent="0.35">
      <c r="A1155" t="s">
        <v>2489</v>
      </c>
      <c r="B1155">
        <v>0</v>
      </c>
    </row>
    <row r="1156" spans="1:2" x14ac:dyDescent="0.35">
      <c r="A1156" t="s">
        <v>2490</v>
      </c>
      <c r="B1156">
        <v>0</v>
      </c>
    </row>
    <row r="1157" spans="1:2" x14ac:dyDescent="0.35">
      <c r="A1157" t="s">
        <v>2491</v>
      </c>
      <c r="B1157">
        <v>0</v>
      </c>
    </row>
    <row r="1158" spans="1:2" x14ac:dyDescent="0.35">
      <c r="A1158" t="s">
        <v>2492</v>
      </c>
      <c r="B1158">
        <v>0</v>
      </c>
    </row>
    <row r="1159" spans="1:2" x14ac:dyDescent="0.35">
      <c r="A1159" t="s">
        <v>2493</v>
      </c>
      <c r="B1159">
        <v>0</v>
      </c>
    </row>
    <row r="1160" spans="1:2" x14ac:dyDescent="0.35">
      <c r="A1160" t="s">
        <v>2494</v>
      </c>
      <c r="B1160">
        <v>0</v>
      </c>
    </row>
    <row r="1161" spans="1:2" x14ac:dyDescent="0.35">
      <c r="A1161" t="s">
        <v>2495</v>
      </c>
      <c r="B1161">
        <v>0</v>
      </c>
    </row>
    <row r="1162" spans="1:2" x14ac:dyDescent="0.35">
      <c r="A1162" t="s">
        <v>2496</v>
      </c>
      <c r="B1162">
        <v>0</v>
      </c>
    </row>
    <row r="1163" spans="1:2" x14ac:dyDescent="0.35">
      <c r="A1163" t="s">
        <v>2497</v>
      </c>
      <c r="B1163">
        <v>0</v>
      </c>
    </row>
    <row r="1164" spans="1:2" x14ac:dyDescent="0.35">
      <c r="A1164" t="s">
        <v>2498</v>
      </c>
      <c r="B1164">
        <v>0</v>
      </c>
    </row>
    <row r="1165" spans="1:2" x14ac:dyDescent="0.35">
      <c r="A1165" t="s">
        <v>2499</v>
      </c>
      <c r="B1165">
        <v>0</v>
      </c>
    </row>
    <row r="1166" spans="1:2" x14ac:dyDescent="0.35">
      <c r="A1166" t="s">
        <v>2500</v>
      </c>
      <c r="B1166">
        <v>0</v>
      </c>
    </row>
    <row r="1167" spans="1:2" x14ac:dyDescent="0.35">
      <c r="A1167" t="s">
        <v>2501</v>
      </c>
      <c r="B1167">
        <v>0</v>
      </c>
    </row>
    <row r="1168" spans="1:2" x14ac:dyDescent="0.35">
      <c r="A1168" t="s">
        <v>2502</v>
      </c>
      <c r="B1168">
        <v>0</v>
      </c>
    </row>
    <row r="1169" spans="1:2" x14ac:dyDescent="0.35">
      <c r="A1169" t="s">
        <v>2503</v>
      </c>
      <c r="B1169">
        <v>0</v>
      </c>
    </row>
    <row r="1170" spans="1:2" x14ac:dyDescent="0.35">
      <c r="A1170" t="s">
        <v>2504</v>
      </c>
      <c r="B1170">
        <v>0</v>
      </c>
    </row>
    <row r="1171" spans="1:2" x14ac:dyDescent="0.35">
      <c r="A1171" t="s">
        <v>2505</v>
      </c>
      <c r="B1171">
        <v>0</v>
      </c>
    </row>
    <row r="1172" spans="1:2" x14ac:dyDescent="0.35">
      <c r="A1172" t="s">
        <v>2506</v>
      </c>
      <c r="B1172">
        <v>0</v>
      </c>
    </row>
    <row r="1173" spans="1:2" x14ac:dyDescent="0.35">
      <c r="A1173" t="s">
        <v>2507</v>
      </c>
      <c r="B1173">
        <v>0</v>
      </c>
    </row>
    <row r="1174" spans="1:2" x14ac:dyDescent="0.35">
      <c r="A1174" t="s">
        <v>2508</v>
      </c>
      <c r="B1174">
        <v>0</v>
      </c>
    </row>
    <row r="1175" spans="1:2" x14ac:dyDescent="0.35">
      <c r="A1175" t="s">
        <v>2509</v>
      </c>
      <c r="B1175">
        <v>0</v>
      </c>
    </row>
    <row r="1176" spans="1:2" x14ac:dyDescent="0.35">
      <c r="A1176" t="s">
        <v>2510</v>
      </c>
      <c r="B1176">
        <v>0</v>
      </c>
    </row>
    <row r="1177" spans="1:2" x14ac:dyDescent="0.35">
      <c r="A1177" t="s">
        <v>2511</v>
      </c>
      <c r="B1177">
        <v>0</v>
      </c>
    </row>
    <row r="1178" spans="1:2" x14ac:dyDescent="0.35">
      <c r="A1178" t="s">
        <v>2512</v>
      </c>
      <c r="B1178">
        <v>0</v>
      </c>
    </row>
    <row r="1179" spans="1:2" x14ac:dyDescent="0.35">
      <c r="A1179" t="s">
        <v>2513</v>
      </c>
      <c r="B1179">
        <v>0</v>
      </c>
    </row>
    <row r="1180" spans="1:2" x14ac:dyDescent="0.35">
      <c r="A1180" t="s">
        <v>2514</v>
      </c>
      <c r="B1180">
        <v>0</v>
      </c>
    </row>
    <row r="1181" spans="1:2" x14ac:dyDescent="0.35">
      <c r="A1181" t="s">
        <v>2515</v>
      </c>
      <c r="B1181">
        <v>0</v>
      </c>
    </row>
    <row r="1182" spans="1:2" x14ac:dyDescent="0.35">
      <c r="A1182" t="s">
        <v>2516</v>
      </c>
      <c r="B1182">
        <v>0</v>
      </c>
    </row>
    <row r="1183" spans="1:2" x14ac:dyDescent="0.35">
      <c r="A1183" t="s">
        <v>2517</v>
      </c>
      <c r="B1183">
        <v>0</v>
      </c>
    </row>
    <row r="1184" spans="1:2" x14ac:dyDescent="0.35">
      <c r="A1184" t="s">
        <v>2518</v>
      </c>
      <c r="B1184">
        <v>0</v>
      </c>
    </row>
    <row r="1185" spans="1:2" x14ac:dyDescent="0.35">
      <c r="A1185" t="s">
        <v>2519</v>
      </c>
      <c r="B1185">
        <v>0</v>
      </c>
    </row>
    <row r="1186" spans="1:2" x14ac:dyDescent="0.35">
      <c r="A1186" t="s">
        <v>2520</v>
      </c>
      <c r="B1186">
        <v>0</v>
      </c>
    </row>
    <row r="1187" spans="1:2" x14ac:dyDescent="0.35">
      <c r="A1187" t="s">
        <v>2521</v>
      </c>
      <c r="B1187">
        <v>0</v>
      </c>
    </row>
    <row r="1188" spans="1:2" x14ac:dyDescent="0.35">
      <c r="A1188" t="s">
        <v>2522</v>
      </c>
      <c r="B1188">
        <v>0</v>
      </c>
    </row>
    <row r="1189" spans="1:2" x14ac:dyDescent="0.35">
      <c r="A1189" t="s">
        <v>2523</v>
      </c>
      <c r="B1189">
        <v>0</v>
      </c>
    </row>
    <row r="1190" spans="1:2" x14ac:dyDescent="0.35">
      <c r="A1190" t="s">
        <v>2524</v>
      </c>
      <c r="B1190">
        <v>0</v>
      </c>
    </row>
    <row r="1191" spans="1:2" x14ac:dyDescent="0.35">
      <c r="A1191" t="s">
        <v>2525</v>
      </c>
      <c r="B1191">
        <v>0</v>
      </c>
    </row>
    <row r="1192" spans="1:2" x14ac:dyDescent="0.35">
      <c r="A1192" t="s">
        <v>2526</v>
      </c>
      <c r="B1192">
        <v>0</v>
      </c>
    </row>
    <row r="1193" spans="1:2" x14ac:dyDescent="0.35">
      <c r="A1193" t="s">
        <v>2527</v>
      </c>
      <c r="B1193">
        <v>0</v>
      </c>
    </row>
    <row r="1194" spans="1:2" x14ac:dyDescent="0.35">
      <c r="A1194" t="s">
        <v>2528</v>
      </c>
      <c r="B1194">
        <v>0</v>
      </c>
    </row>
    <row r="1195" spans="1:2" x14ac:dyDescent="0.35">
      <c r="A1195" t="s">
        <v>2529</v>
      </c>
      <c r="B1195">
        <v>0</v>
      </c>
    </row>
    <row r="1196" spans="1:2" x14ac:dyDescent="0.35">
      <c r="A1196" t="s">
        <v>2530</v>
      </c>
      <c r="B1196">
        <v>0</v>
      </c>
    </row>
    <row r="1197" spans="1:2" x14ac:dyDescent="0.35">
      <c r="A1197" t="s">
        <v>2531</v>
      </c>
      <c r="B1197">
        <v>0</v>
      </c>
    </row>
    <row r="1198" spans="1:2" x14ac:dyDescent="0.35">
      <c r="A1198" t="s">
        <v>2532</v>
      </c>
      <c r="B1198">
        <v>0</v>
      </c>
    </row>
    <row r="1199" spans="1:2" x14ac:dyDescent="0.35">
      <c r="A1199" t="s">
        <v>2533</v>
      </c>
      <c r="B1199">
        <v>0</v>
      </c>
    </row>
    <row r="1200" spans="1:2" x14ac:dyDescent="0.35">
      <c r="A1200" t="s">
        <v>2534</v>
      </c>
      <c r="B1200">
        <v>0</v>
      </c>
    </row>
    <row r="1201" spans="1:2" x14ac:dyDescent="0.35">
      <c r="A1201" t="s">
        <v>2535</v>
      </c>
      <c r="B1201">
        <v>0</v>
      </c>
    </row>
    <row r="1202" spans="1:2" x14ac:dyDescent="0.35">
      <c r="A1202" t="s">
        <v>2536</v>
      </c>
      <c r="B1202">
        <v>0</v>
      </c>
    </row>
    <row r="1203" spans="1:2" x14ac:dyDescent="0.35">
      <c r="A1203" t="s">
        <v>2537</v>
      </c>
      <c r="B1203">
        <v>0</v>
      </c>
    </row>
    <row r="1204" spans="1:2" x14ac:dyDescent="0.35">
      <c r="A1204" t="s">
        <v>2538</v>
      </c>
      <c r="B1204">
        <v>0</v>
      </c>
    </row>
    <row r="1205" spans="1:2" x14ac:dyDescent="0.35">
      <c r="A1205" t="s">
        <v>2539</v>
      </c>
      <c r="B1205">
        <v>0</v>
      </c>
    </row>
    <row r="1206" spans="1:2" x14ac:dyDescent="0.35">
      <c r="A1206" t="s">
        <v>3702</v>
      </c>
      <c r="B1206">
        <v>0</v>
      </c>
    </row>
    <row r="1207" spans="1:2" x14ac:dyDescent="0.35">
      <c r="A1207" t="s">
        <v>2540</v>
      </c>
      <c r="B1207">
        <v>0</v>
      </c>
    </row>
    <row r="1208" spans="1:2" x14ac:dyDescent="0.35">
      <c r="A1208" t="s">
        <v>2541</v>
      </c>
      <c r="B1208">
        <v>0</v>
      </c>
    </row>
    <row r="1209" spans="1:2" x14ac:dyDescent="0.35">
      <c r="A1209" t="s">
        <v>2356</v>
      </c>
      <c r="B1209">
        <v>0</v>
      </c>
    </row>
    <row r="1210" spans="1:2" x14ac:dyDescent="0.35">
      <c r="A1210" t="s">
        <v>3703</v>
      </c>
      <c r="B1210">
        <v>1</v>
      </c>
    </row>
    <row r="1211" spans="1:2" x14ac:dyDescent="0.35">
      <c r="A1211" t="s">
        <v>3704</v>
      </c>
      <c r="B1211">
        <v>0</v>
      </c>
    </row>
    <row r="1212" spans="1:2" x14ac:dyDescent="0.35">
      <c r="A1212" t="s">
        <v>3705</v>
      </c>
      <c r="B1212">
        <v>0</v>
      </c>
    </row>
    <row r="1213" spans="1:2" x14ac:dyDescent="0.35">
      <c r="A1213" t="s">
        <v>3706</v>
      </c>
      <c r="B1213">
        <v>0</v>
      </c>
    </row>
    <row r="1214" spans="1:2" x14ac:dyDescent="0.35">
      <c r="A1214" t="s">
        <v>3707</v>
      </c>
      <c r="B1214">
        <v>1</v>
      </c>
    </row>
    <row r="1215" spans="1:2" x14ac:dyDescent="0.35">
      <c r="A1215" t="s">
        <v>3708</v>
      </c>
      <c r="B1215">
        <v>0</v>
      </c>
    </row>
    <row r="1216" spans="1:2" x14ac:dyDescent="0.35">
      <c r="A1216" t="s">
        <v>3709</v>
      </c>
      <c r="B1216">
        <v>0</v>
      </c>
    </row>
    <row r="1217" spans="1:2" x14ac:dyDescent="0.35">
      <c r="A1217" t="s">
        <v>3710</v>
      </c>
      <c r="B1217">
        <v>0</v>
      </c>
    </row>
    <row r="1218" spans="1:2" x14ac:dyDescent="0.35">
      <c r="A1218" t="s">
        <v>3711</v>
      </c>
      <c r="B1218">
        <v>0</v>
      </c>
    </row>
    <row r="1219" spans="1:2" x14ac:dyDescent="0.35">
      <c r="A1219" t="s">
        <v>3712</v>
      </c>
      <c r="B1219">
        <v>1</v>
      </c>
    </row>
    <row r="1220" spans="1:2" x14ac:dyDescent="0.35">
      <c r="A1220" t="s">
        <v>3713</v>
      </c>
      <c r="B1220">
        <v>0</v>
      </c>
    </row>
    <row r="1221" spans="1:2" x14ac:dyDescent="0.35">
      <c r="A1221" t="s">
        <v>3714</v>
      </c>
      <c r="B1221">
        <v>0</v>
      </c>
    </row>
    <row r="1222" spans="1:2" x14ac:dyDescent="0.35">
      <c r="A1222" t="s">
        <v>3715</v>
      </c>
      <c r="B1222">
        <v>0</v>
      </c>
    </row>
    <row r="1223" spans="1:2" x14ac:dyDescent="0.35">
      <c r="A1223" t="s">
        <v>3716</v>
      </c>
      <c r="B1223">
        <v>0</v>
      </c>
    </row>
    <row r="1224" spans="1:2" x14ac:dyDescent="0.35">
      <c r="A1224" t="s">
        <v>3717</v>
      </c>
      <c r="B1224">
        <v>0</v>
      </c>
    </row>
    <row r="1225" spans="1:2" x14ac:dyDescent="0.35">
      <c r="A1225" t="s">
        <v>3718</v>
      </c>
      <c r="B1225">
        <v>0</v>
      </c>
    </row>
    <row r="1226" spans="1:2" x14ac:dyDescent="0.35">
      <c r="A1226" t="s">
        <v>3719</v>
      </c>
      <c r="B1226">
        <v>0</v>
      </c>
    </row>
    <row r="1227" spans="1:2" x14ac:dyDescent="0.35">
      <c r="A1227" t="s">
        <v>3720</v>
      </c>
      <c r="B1227">
        <v>0</v>
      </c>
    </row>
    <row r="1228" spans="1:2" x14ac:dyDescent="0.35">
      <c r="A1228" t="s">
        <v>3721</v>
      </c>
      <c r="B1228">
        <v>0</v>
      </c>
    </row>
    <row r="1229" spans="1:2" x14ac:dyDescent="0.35">
      <c r="A1229" t="s">
        <v>3722</v>
      </c>
      <c r="B1229">
        <v>0</v>
      </c>
    </row>
    <row r="1230" spans="1:2" x14ac:dyDescent="0.35">
      <c r="A1230" t="s">
        <v>3723</v>
      </c>
      <c r="B1230">
        <v>0</v>
      </c>
    </row>
    <row r="1231" spans="1:2" x14ac:dyDescent="0.35">
      <c r="A1231" t="s">
        <v>3724</v>
      </c>
      <c r="B1231">
        <v>0</v>
      </c>
    </row>
    <row r="1232" spans="1:2" x14ac:dyDescent="0.35">
      <c r="A1232" t="s">
        <v>3725</v>
      </c>
      <c r="B1232">
        <v>0</v>
      </c>
    </row>
    <row r="1233" spans="1:2" x14ac:dyDescent="0.35">
      <c r="A1233" t="s">
        <v>3726</v>
      </c>
      <c r="B1233">
        <v>0</v>
      </c>
    </row>
    <row r="1234" spans="1:2" x14ac:dyDescent="0.35">
      <c r="A1234" t="s">
        <v>3727</v>
      </c>
      <c r="B1234">
        <v>0</v>
      </c>
    </row>
    <row r="1235" spans="1:2" x14ac:dyDescent="0.35">
      <c r="A1235" t="s">
        <v>3728</v>
      </c>
      <c r="B1235">
        <v>0</v>
      </c>
    </row>
    <row r="1236" spans="1:2" x14ac:dyDescent="0.35">
      <c r="A1236" t="s">
        <v>1228</v>
      </c>
      <c r="B1236">
        <v>1</v>
      </c>
    </row>
    <row r="1237" spans="1:2" x14ac:dyDescent="0.35">
      <c r="A1237" t="s">
        <v>1229</v>
      </c>
      <c r="B1237">
        <v>1</v>
      </c>
    </row>
    <row r="1238" spans="1:2" x14ac:dyDescent="0.35">
      <c r="A1238" t="s">
        <v>1230</v>
      </c>
      <c r="B1238">
        <v>1</v>
      </c>
    </row>
    <row r="1239" spans="1:2" x14ac:dyDescent="0.35">
      <c r="A1239" t="s">
        <v>1231</v>
      </c>
      <c r="B1239">
        <v>1</v>
      </c>
    </row>
    <row r="1240" spans="1:2" x14ac:dyDescent="0.35">
      <c r="A1240" t="s">
        <v>1232</v>
      </c>
      <c r="B1240">
        <v>1</v>
      </c>
    </row>
    <row r="1241" spans="1:2" x14ac:dyDescent="0.35">
      <c r="A1241" t="s">
        <v>1233</v>
      </c>
      <c r="B1241">
        <v>1</v>
      </c>
    </row>
    <row r="1242" spans="1:2" x14ac:dyDescent="0.35">
      <c r="A1242" t="s">
        <v>3729</v>
      </c>
      <c r="B1242">
        <v>0</v>
      </c>
    </row>
    <row r="1243" spans="1:2" x14ac:dyDescent="0.35">
      <c r="A1243" t="s">
        <v>3730</v>
      </c>
      <c r="B1243">
        <v>0</v>
      </c>
    </row>
    <row r="1244" spans="1:2" x14ac:dyDescent="0.35">
      <c r="A1244" t="s">
        <v>3731</v>
      </c>
      <c r="B1244">
        <v>0</v>
      </c>
    </row>
    <row r="1245" spans="1:2" x14ac:dyDescent="0.35">
      <c r="A1245" t="s">
        <v>3732</v>
      </c>
      <c r="B1245">
        <v>0</v>
      </c>
    </row>
    <row r="1246" spans="1:2" x14ac:dyDescent="0.35">
      <c r="A1246" t="s">
        <v>3733</v>
      </c>
      <c r="B1246">
        <v>0</v>
      </c>
    </row>
    <row r="1247" spans="1:2" x14ac:dyDescent="0.35">
      <c r="A1247" t="s">
        <v>3734</v>
      </c>
      <c r="B1247">
        <v>0</v>
      </c>
    </row>
    <row r="1248" spans="1:2" x14ac:dyDescent="0.35">
      <c r="A1248" t="s">
        <v>3735</v>
      </c>
      <c r="B1248">
        <v>0</v>
      </c>
    </row>
    <row r="1249" spans="1:2" x14ac:dyDescent="0.35">
      <c r="A1249" t="s">
        <v>3736</v>
      </c>
      <c r="B1249">
        <v>0</v>
      </c>
    </row>
    <row r="1250" spans="1:2" x14ac:dyDescent="0.35">
      <c r="A1250" t="s">
        <v>3737</v>
      </c>
      <c r="B1250">
        <v>0</v>
      </c>
    </row>
    <row r="1251" spans="1:2" x14ac:dyDescent="0.35">
      <c r="A1251" t="s">
        <v>3738</v>
      </c>
      <c r="B1251">
        <v>0</v>
      </c>
    </row>
    <row r="1252" spans="1:2" x14ac:dyDescent="0.35">
      <c r="A1252" t="s">
        <v>3739</v>
      </c>
      <c r="B1252">
        <v>0</v>
      </c>
    </row>
    <row r="1253" spans="1:2" x14ac:dyDescent="0.35">
      <c r="A1253" t="s">
        <v>3740</v>
      </c>
      <c r="B1253">
        <v>0</v>
      </c>
    </row>
    <row r="1254" spans="1:2" x14ac:dyDescent="0.35">
      <c r="A1254" t="s">
        <v>3741</v>
      </c>
      <c r="B1254">
        <v>0</v>
      </c>
    </row>
    <row r="1255" spans="1:2" x14ac:dyDescent="0.35">
      <c r="A1255" t="s">
        <v>3742</v>
      </c>
      <c r="B1255">
        <v>0</v>
      </c>
    </row>
    <row r="1256" spans="1:2" x14ac:dyDescent="0.35">
      <c r="A1256" t="s">
        <v>3743</v>
      </c>
      <c r="B1256">
        <v>0</v>
      </c>
    </row>
    <row r="1257" spans="1:2" x14ac:dyDescent="0.35">
      <c r="A1257" t="s">
        <v>3744</v>
      </c>
      <c r="B1257">
        <v>0</v>
      </c>
    </row>
    <row r="1258" spans="1:2" x14ac:dyDescent="0.35">
      <c r="A1258" t="s">
        <v>3745</v>
      </c>
      <c r="B1258">
        <v>0</v>
      </c>
    </row>
    <row r="1259" spans="1:2" x14ac:dyDescent="0.35">
      <c r="A1259" t="s">
        <v>3746</v>
      </c>
      <c r="B1259">
        <v>0</v>
      </c>
    </row>
    <row r="1260" spans="1:2" x14ac:dyDescent="0.35">
      <c r="A1260" t="s">
        <v>3747</v>
      </c>
      <c r="B1260">
        <v>0</v>
      </c>
    </row>
    <row r="1261" spans="1:2" x14ac:dyDescent="0.35">
      <c r="A1261" t="s">
        <v>3748</v>
      </c>
      <c r="B1261">
        <v>0</v>
      </c>
    </row>
    <row r="1262" spans="1:2" x14ac:dyDescent="0.35">
      <c r="A1262" t="s">
        <v>3749</v>
      </c>
      <c r="B1262">
        <v>0</v>
      </c>
    </row>
    <row r="1263" spans="1:2" x14ac:dyDescent="0.35">
      <c r="A1263" t="s">
        <v>3750</v>
      </c>
      <c r="B1263">
        <v>0</v>
      </c>
    </row>
    <row r="1264" spans="1:2" x14ac:dyDescent="0.35">
      <c r="A1264" t="s">
        <v>3751</v>
      </c>
      <c r="B1264">
        <v>0</v>
      </c>
    </row>
    <row r="1265" spans="1:2" x14ac:dyDescent="0.35">
      <c r="A1265" t="s">
        <v>3752</v>
      </c>
      <c r="B1265">
        <v>0</v>
      </c>
    </row>
    <row r="1266" spans="1:2" x14ac:dyDescent="0.35">
      <c r="A1266" t="s">
        <v>3753</v>
      </c>
      <c r="B1266">
        <v>0</v>
      </c>
    </row>
    <row r="1267" spans="1:2" x14ac:dyDescent="0.35">
      <c r="A1267" t="s">
        <v>3754</v>
      </c>
      <c r="B1267">
        <v>0</v>
      </c>
    </row>
    <row r="1268" spans="1:2" x14ac:dyDescent="0.35">
      <c r="A1268" t="s">
        <v>3755</v>
      </c>
      <c r="B1268">
        <v>0</v>
      </c>
    </row>
    <row r="1269" spans="1:2" x14ac:dyDescent="0.35">
      <c r="A1269" t="s">
        <v>3756</v>
      </c>
      <c r="B1269">
        <v>0</v>
      </c>
    </row>
    <row r="1270" spans="1:2" x14ac:dyDescent="0.35">
      <c r="A1270" t="s">
        <v>3757</v>
      </c>
      <c r="B1270">
        <v>0</v>
      </c>
    </row>
    <row r="1271" spans="1:2" x14ac:dyDescent="0.35">
      <c r="A1271" t="s">
        <v>3758</v>
      </c>
      <c r="B1271">
        <v>0</v>
      </c>
    </row>
    <row r="1272" spans="1:2" x14ac:dyDescent="0.35">
      <c r="A1272" t="s">
        <v>3759</v>
      </c>
      <c r="B1272">
        <v>0</v>
      </c>
    </row>
    <row r="1273" spans="1:2" x14ac:dyDescent="0.35">
      <c r="A1273" t="s">
        <v>3760</v>
      </c>
      <c r="B1273">
        <v>0</v>
      </c>
    </row>
    <row r="1274" spans="1:2" x14ac:dyDescent="0.35">
      <c r="A1274" t="s">
        <v>3761</v>
      </c>
      <c r="B1274">
        <v>0</v>
      </c>
    </row>
    <row r="1275" spans="1:2" x14ac:dyDescent="0.35">
      <c r="A1275" t="s">
        <v>3762</v>
      </c>
      <c r="B1275">
        <v>0</v>
      </c>
    </row>
    <row r="1276" spans="1:2" x14ac:dyDescent="0.35">
      <c r="A1276" t="s">
        <v>3763</v>
      </c>
      <c r="B1276">
        <v>0</v>
      </c>
    </row>
    <row r="1277" spans="1:2" x14ac:dyDescent="0.35">
      <c r="A1277" t="s">
        <v>3764</v>
      </c>
      <c r="B1277">
        <v>0</v>
      </c>
    </row>
    <row r="1278" spans="1:2" x14ac:dyDescent="0.35">
      <c r="A1278" t="s">
        <v>3765</v>
      </c>
      <c r="B1278">
        <v>0</v>
      </c>
    </row>
    <row r="1279" spans="1:2" x14ac:dyDescent="0.35">
      <c r="A1279" t="s">
        <v>3766</v>
      </c>
      <c r="B1279">
        <v>0</v>
      </c>
    </row>
    <row r="1280" spans="1:2" x14ac:dyDescent="0.35">
      <c r="A1280" t="s">
        <v>3767</v>
      </c>
      <c r="B1280">
        <v>0</v>
      </c>
    </row>
    <row r="1281" spans="1:2" x14ac:dyDescent="0.35">
      <c r="A1281" t="s">
        <v>3768</v>
      </c>
      <c r="B1281">
        <v>0</v>
      </c>
    </row>
    <row r="1282" spans="1:2" x14ac:dyDescent="0.35">
      <c r="A1282" t="s">
        <v>3769</v>
      </c>
      <c r="B1282">
        <v>0</v>
      </c>
    </row>
    <row r="1283" spans="1:2" x14ac:dyDescent="0.35">
      <c r="A1283" t="s">
        <v>3770</v>
      </c>
      <c r="B1283">
        <v>0</v>
      </c>
    </row>
    <row r="1284" spans="1:2" x14ac:dyDescent="0.35">
      <c r="A1284" t="s">
        <v>3771</v>
      </c>
      <c r="B1284">
        <v>0</v>
      </c>
    </row>
    <row r="1285" spans="1:2" x14ac:dyDescent="0.35">
      <c r="A1285" t="s">
        <v>3772</v>
      </c>
      <c r="B1285">
        <v>0</v>
      </c>
    </row>
    <row r="1286" spans="1:2" x14ac:dyDescent="0.35">
      <c r="A1286" t="s">
        <v>3773</v>
      </c>
      <c r="B1286">
        <v>0</v>
      </c>
    </row>
    <row r="1287" spans="1:2" x14ac:dyDescent="0.35">
      <c r="A1287" t="s">
        <v>3774</v>
      </c>
      <c r="B1287">
        <v>0</v>
      </c>
    </row>
    <row r="1288" spans="1:2" x14ac:dyDescent="0.35">
      <c r="A1288" t="s">
        <v>3775</v>
      </c>
      <c r="B1288">
        <v>0</v>
      </c>
    </row>
    <row r="1289" spans="1:2" x14ac:dyDescent="0.35">
      <c r="A1289" t="s">
        <v>3776</v>
      </c>
      <c r="B1289">
        <v>0</v>
      </c>
    </row>
    <row r="1290" spans="1:2" x14ac:dyDescent="0.35">
      <c r="A1290" t="s">
        <v>3777</v>
      </c>
      <c r="B1290">
        <v>0</v>
      </c>
    </row>
    <row r="1291" spans="1:2" x14ac:dyDescent="0.35">
      <c r="A1291" t="s">
        <v>3778</v>
      </c>
      <c r="B1291">
        <v>0</v>
      </c>
    </row>
    <row r="1292" spans="1:2" x14ac:dyDescent="0.35">
      <c r="A1292" t="s">
        <v>3779</v>
      </c>
      <c r="B1292">
        <v>0</v>
      </c>
    </row>
    <row r="1293" spans="1:2" x14ac:dyDescent="0.35">
      <c r="A1293" t="s">
        <v>3780</v>
      </c>
      <c r="B1293">
        <v>0</v>
      </c>
    </row>
    <row r="1294" spans="1:2" x14ac:dyDescent="0.35">
      <c r="A1294" t="s">
        <v>3781</v>
      </c>
      <c r="B1294">
        <v>0</v>
      </c>
    </row>
    <row r="1295" spans="1:2" x14ac:dyDescent="0.35">
      <c r="A1295" t="s">
        <v>3782</v>
      </c>
      <c r="B1295">
        <v>0</v>
      </c>
    </row>
    <row r="1296" spans="1:2" x14ac:dyDescent="0.35">
      <c r="A1296" t="s">
        <v>3783</v>
      </c>
      <c r="B1296">
        <v>0</v>
      </c>
    </row>
    <row r="1297" spans="1:2" x14ac:dyDescent="0.35">
      <c r="A1297" t="s">
        <v>3784</v>
      </c>
      <c r="B1297">
        <v>0</v>
      </c>
    </row>
    <row r="1298" spans="1:2" x14ac:dyDescent="0.35">
      <c r="A1298" t="s">
        <v>3785</v>
      </c>
      <c r="B1298">
        <v>0</v>
      </c>
    </row>
    <row r="1299" spans="1:2" x14ac:dyDescent="0.35">
      <c r="A1299" t="s">
        <v>3786</v>
      </c>
      <c r="B1299">
        <v>0</v>
      </c>
    </row>
    <row r="1300" spans="1:2" x14ac:dyDescent="0.35">
      <c r="A1300" t="s">
        <v>3787</v>
      </c>
      <c r="B1300">
        <v>0</v>
      </c>
    </row>
    <row r="1301" spans="1:2" x14ac:dyDescent="0.35">
      <c r="A1301" t="s">
        <v>3788</v>
      </c>
      <c r="B1301">
        <v>0</v>
      </c>
    </row>
    <row r="1302" spans="1:2" x14ac:dyDescent="0.35">
      <c r="A1302" t="s">
        <v>3789</v>
      </c>
      <c r="B1302">
        <v>0</v>
      </c>
    </row>
    <row r="1303" spans="1:2" x14ac:dyDescent="0.35">
      <c r="A1303" t="s">
        <v>3790</v>
      </c>
      <c r="B1303">
        <v>0</v>
      </c>
    </row>
    <row r="1304" spans="1:2" x14ac:dyDescent="0.35">
      <c r="A1304" t="s">
        <v>3791</v>
      </c>
      <c r="B1304">
        <v>0</v>
      </c>
    </row>
    <row r="1305" spans="1:2" x14ac:dyDescent="0.35">
      <c r="A1305" t="s">
        <v>3792</v>
      </c>
      <c r="B1305">
        <v>0</v>
      </c>
    </row>
    <row r="1306" spans="1:2" x14ac:dyDescent="0.35">
      <c r="A1306" t="s">
        <v>3793</v>
      </c>
      <c r="B1306">
        <v>0</v>
      </c>
    </row>
    <row r="1307" spans="1:2" x14ac:dyDescent="0.35">
      <c r="A1307" t="s">
        <v>3794</v>
      </c>
      <c r="B1307">
        <v>0</v>
      </c>
    </row>
    <row r="1308" spans="1:2" x14ac:dyDescent="0.35">
      <c r="A1308" t="s">
        <v>3795</v>
      </c>
      <c r="B1308">
        <v>0</v>
      </c>
    </row>
    <row r="1309" spans="1:2" x14ac:dyDescent="0.35">
      <c r="A1309" t="s">
        <v>3796</v>
      </c>
      <c r="B1309">
        <v>0</v>
      </c>
    </row>
    <row r="1310" spans="1:2" x14ac:dyDescent="0.35">
      <c r="A1310" t="s">
        <v>3797</v>
      </c>
      <c r="B1310">
        <v>0</v>
      </c>
    </row>
    <row r="1311" spans="1:2" x14ac:dyDescent="0.35">
      <c r="A1311" t="s">
        <v>3798</v>
      </c>
      <c r="B1311">
        <v>0</v>
      </c>
    </row>
    <row r="1312" spans="1:2" x14ac:dyDescent="0.35">
      <c r="A1312" t="s">
        <v>3799</v>
      </c>
      <c r="B1312">
        <v>0</v>
      </c>
    </row>
    <row r="1313" spans="1:2" x14ac:dyDescent="0.35">
      <c r="A1313" t="s">
        <v>3800</v>
      </c>
      <c r="B1313">
        <v>0</v>
      </c>
    </row>
    <row r="1314" spans="1:2" x14ac:dyDescent="0.35">
      <c r="A1314" t="s">
        <v>3801</v>
      </c>
      <c r="B1314">
        <v>0</v>
      </c>
    </row>
    <row r="1315" spans="1:2" x14ac:dyDescent="0.35">
      <c r="A1315" t="s">
        <v>3802</v>
      </c>
      <c r="B1315">
        <v>0</v>
      </c>
    </row>
    <row r="1316" spans="1:2" x14ac:dyDescent="0.35">
      <c r="A1316" t="s">
        <v>3803</v>
      </c>
      <c r="B1316">
        <v>0</v>
      </c>
    </row>
    <row r="1317" spans="1:2" x14ac:dyDescent="0.35">
      <c r="A1317" t="s">
        <v>3804</v>
      </c>
      <c r="B1317">
        <v>0</v>
      </c>
    </row>
    <row r="1318" spans="1:2" x14ac:dyDescent="0.35">
      <c r="A1318" t="s">
        <v>3805</v>
      </c>
      <c r="B1318">
        <v>0</v>
      </c>
    </row>
    <row r="1319" spans="1:2" x14ac:dyDescent="0.35">
      <c r="A1319" t="s">
        <v>3806</v>
      </c>
      <c r="B1319">
        <v>0</v>
      </c>
    </row>
    <row r="1320" spans="1:2" x14ac:dyDescent="0.35">
      <c r="A1320" t="s">
        <v>3807</v>
      </c>
      <c r="B1320">
        <v>0</v>
      </c>
    </row>
    <row r="1321" spans="1:2" x14ac:dyDescent="0.35">
      <c r="A1321" t="s">
        <v>3808</v>
      </c>
      <c r="B1321">
        <v>0</v>
      </c>
    </row>
    <row r="1322" spans="1:2" x14ac:dyDescent="0.35">
      <c r="A1322" t="s">
        <v>3809</v>
      </c>
      <c r="B1322">
        <v>0</v>
      </c>
    </row>
    <row r="1323" spans="1:2" x14ac:dyDescent="0.35">
      <c r="A1323" t="s">
        <v>3810</v>
      </c>
      <c r="B1323">
        <v>0</v>
      </c>
    </row>
    <row r="1324" spans="1:2" x14ac:dyDescent="0.35">
      <c r="A1324" t="s">
        <v>3811</v>
      </c>
      <c r="B1324">
        <v>0</v>
      </c>
    </row>
    <row r="1325" spans="1:2" x14ac:dyDescent="0.35">
      <c r="A1325" t="s">
        <v>3812</v>
      </c>
      <c r="B1325">
        <v>0</v>
      </c>
    </row>
    <row r="1326" spans="1:2" x14ac:dyDescent="0.35">
      <c r="A1326" t="s">
        <v>3813</v>
      </c>
      <c r="B1326">
        <v>0</v>
      </c>
    </row>
    <row r="1327" spans="1:2" x14ac:dyDescent="0.35">
      <c r="A1327" t="s">
        <v>3814</v>
      </c>
      <c r="B1327">
        <v>0</v>
      </c>
    </row>
    <row r="1328" spans="1:2" x14ac:dyDescent="0.35">
      <c r="A1328" t="s">
        <v>3815</v>
      </c>
      <c r="B1328">
        <v>0</v>
      </c>
    </row>
    <row r="1329" spans="1:2" x14ac:dyDescent="0.35">
      <c r="A1329" t="s">
        <v>3816</v>
      </c>
      <c r="B1329">
        <v>0</v>
      </c>
    </row>
    <row r="1330" spans="1:2" x14ac:dyDescent="0.35">
      <c r="A1330" t="s">
        <v>3817</v>
      </c>
      <c r="B1330">
        <v>0</v>
      </c>
    </row>
    <row r="1331" spans="1:2" x14ac:dyDescent="0.35">
      <c r="A1331" t="s">
        <v>3818</v>
      </c>
      <c r="B1331">
        <v>0</v>
      </c>
    </row>
    <row r="1332" spans="1:2" x14ac:dyDescent="0.35">
      <c r="A1332" t="s">
        <v>3819</v>
      </c>
      <c r="B1332">
        <v>0</v>
      </c>
    </row>
    <row r="1333" spans="1:2" x14ac:dyDescent="0.35">
      <c r="A1333" t="s">
        <v>3820</v>
      </c>
      <c r="B1333">
        <v>0</v>
      </c>
    </row>
    <row r="1334" spans="1:2" x14ac:dyDescent="0.35">
      <c r="A1334" t="s">
        <v>3821</v>
      </c>
      <c r="B1334">
        <v>0</v>
      </c>
    </row>
    <row r="1335" spans="1:2" x14ac:dyDescent="0.35">
      <c r="A1335" t="s">
        <v>3822</v>
      </c>
      <c r="B1335">
        <v>0</v>
      </c>
    </row>
    <row r="1336" spans="1:2" x14ac:dyDescent="0.35">
      <c r="A1336" t="s">
        <v>3823</v>
      </c>
      <c r="B1336">
        <v>0</v>
      </c>
    </row>
    <row r="1337" spans="1:2" x14ac:dyDescent="0.35">
      <c r="A1337" t="s">
        <v>3824</v>
      </c>
      <c r="B1337">
        <v>0</v>
      </c>
    </row>
    <row r="1338" spans="1:2" x14ac:dyDescent="0.35">
      <c r="A1338" t="s">
        <v>3825</v>
      </c>
      <c r="B1338">
        <v>0</v>
      </c>
    </row>
    <row r="1339" spans="1:2" x14ac:dyDescent="0.35">
      <c r="A1339" t="s">
        <v>3826</v>
      </c>
      <c r="B1339">
        <v>0</v>
      </c>
    </row>
    <row r="1340" spans="1:2" x14ac:dyDescent="0.35">
      <c r="A1340" t="s">
        <v>3827</v>
      </c>
      <c r="B1340">
        <v>0</v>
      </c>
    </row>
    <row r="1341" spans="1:2" x14ac:dyDescent="0.35">
      <c r="A1341" t="s">
        <v>3828</v>
      </c>
      <c r="B1341">
        <v>0</v>
      </c>
    </row>
    <row r="1342" spans="1:2" x14ac:dyDescent="0.35">
      <c r="A1342" t="s">
        <v>3829</v>
      </c>
      <c r="B1342">
        <v>0</v>
      </c>
    </row>
    <row r="1343" spans="1:2" x14ac:dyDescent="0.35">
      <c r="A1343" t="s">
        <v>3830</v>
      </c>
      <c r="B1343">
        <v>0</v>
      </c>
    </row>
    <row r="1344" spans="1:2" x14ac:dyDescent="0.35">
      <c r="A1344" t="s">
        <v>3831</v>
      </c>
      <c r="B1344">
        <v>0</v>
      </c>
    </row>
    <row r="1345" spans="1:2" x14ac:dyDescent="0.35">
      <c r="A1345" t="s">
        <v>3832</v>
      </c>
      <c r="B1345">
        <v>0</v>
      </c>
    </row>
    <row r="1346" spans="1:2" x14ac:dyDescent="0.35">
      <c r="A1346" t="s">
        <v>3833</v>
      </c>
      <c r="B1346">
        <v>0</v>
      </c>
    </row>
    <row r="1347" spans="1:2" x14ac:dyDescent="0.35">
      <c r="A1347" t="s">
        <v>3834</v>
      </c>
      <c r="B1347">
        <v>0</v>
      </c>
    </row>
    <row r="1348" spans="1:2" x14ac:dyDescent="0.35">
      <c r="A1348" t="s">
        <v>3835</v>
      </c>
      <c r="B1348">
        <v>0</v>
      </c>
    </row>
    <row r="1349" spans="1:2" x14ac:dyDescent="0.35">
      <c r="A1349" t="s">
        <v>3836</v>
      </c>
      <c r="B1349">
        <v>0</v>
      </c>
    </row>
    <row r="1350" spans="1:2" x14ac:dyDescent="0.35">
      <c r="A1350" t="s">
        <v>3837</v>
      </c>
      <c r="B1350">
        <v>0</v>
      </c>
    </row>
    <row r="1351" spans="1:2" x14ac:dyDescent="0.35">
      <c r="A1351" t="s">
        <v>3838</v>
      </c>
      <c r="B1351">
        <v>0</v>
      </c>
    </row>
    <row r="1352" spans="1:2" x14ac:dyDescent="0.35">
      <c r="A1352" t="s">
        <v>3839</v>
      </c>
      <c r="B1352">
        <v>0</v>
      </c>
    </row>
    <row r="1353" spans="1:2" x14ac:dyDescent="0.35">
      <c r="A1353" t="s">
        <v>3840</v>
      </c>
      <c r="B1353">
        <v>0</v>
      </c>
    </row>
    <row r="1354" spans="1:2" x14ac:dyDescent="0.35">
      <c r="A1354" t="s">
        <v>3841</v>
      </c>
      <c r="B1354">
        <v>0</v>
      </c>
    </row>
    <row r="1355" spans="1:2" x14ac:dyDescent="0.35">
      <c r="A1355" t="s">
        <v>3842</v>
      </c>
      <c r="B1355">
        <v>0</v>
      </c>
    </row>
    <row r="1356" spans="1:2" x14ac:dyDescent="0.35">
      <c r="A1356" t="s">
        <v>3843</v>
      </c>
      <c r="B1356">
        <v>0</v>
      </c>
    </row>
    <row r="1357" spans="1:2" x14ac:dyDescent="0.35">
      <c r="A1357" t="s">
        <v>3844</v>
      </c>
      <c r="B1357">
        <v>0</v>
      </c>
    </row>
    <row r="1358" spans="1:2" x14ac:dyDescent="0.35">
      <c r="A1358" t="s">
        <v>3845</v>
      </c>
      <c r="B1358">
        <v>0</v>
      </c>
    </row>
    <row r="1359" spans="1:2" x14ac:dyDescent="0.35">
      <c r="A1359" t="s">
        <v>3846</v>
      </c>
      <c r="B1359">
        <v>0</v>
      </c>
    </row>
    <row r="1360" spans="1:2" x14ac:dyDescent="0.35">
      <c r="A1360" t="s">
        <v>3847</v>
      </c>
      <c r="B1360">
        <v>0</v>
      </c>
    </row>
    <row r="1361" spans="1:2" x14ac:dyDescent="0.35">
      <c r="A1361" t="s">
        <v>3848</v>
      </c>
      <c r="B1361">
        <v>0</v>
      </c>
    </row>
    <row r="1362" spans="1:2" x14ac:dyDescent="0.35">
      <c r="A1362" t="s">
        <v>3849</v>
      </c>
      <c r="B1362">
        <v>0</v>
      </c>
    </row>
    <row r="1363" spans="1:2" x14ac:dyDescent="0.35">
      <c r="A1363" t="s">
        <v>3850</v>
      </c>
      <c r="B1363">
        <v>0</v>
      </c>
    </row>
    <row r="1364" spans="1:2" x14ac:dyDescent="0.35">
      <c r="A1364" t="s">
        <v>3851</v>
      </c>
      <c r="B1364">
        <v>0</v>
      </c>
    </row>
    <row r="1365" spans="1:2" x14ac:dyDescent="0.35">
      <c r="A1365" t="s">
        <v>3852</v>
      </c>
      <c r="B1365">
        <v>0</v>
      </c>
    </row>
    <row r="1366" spans="1:2" x14ac:dyDescent="0.35">
      <c r="A1366" t="s">
        <v>3853</v>
      </c>
      <c r="B1366">
        <v>0</v>
      </c>
    </row>
    <row r="1367" spans="1:2" x14ac:dyDescent="0.35">
      <c r="A1367" t="s">
        <v>3854</v>
      </c>
      <c r="B1367">
        <v>0</v>
      </c>
    </row>
    <row r="1368" spans="1:2" x14ac:dyDescent="0.35">
      <c r="A1368" t="s">
        <v>3855</v>
      </c>
      <c r="B1368">
        <v>0</v>
      </c>
    </row>
    <row r="1369" spans="1:2" x14ac:dyDescent="0.35">
      <c r="A1369" t="s">
        <v>3856</v>
      </c>
      <c r="B1369">
        <v>0</v>
      </c>
    </row>
    <row r="1370" spans="1:2" x14ac:dyDescent="0.35">
      <c r="A1370" t="s">
        <v>3857</v>
      </c>
      <c r="B1370">
        <v>0</v>
      </c>
    </row>
    <row r="1371" spans="1:2" x14ac:dyDescent="0.35">
      <c r="A1371" t="s">
        <v>3858</v>
      </c>
      <c r="B1371">
        <v>0</v>
      </c>
    </row>
    <row r="1372" spans="1:2" x14ac:dyDescent="0.35">
      <c r="A1372" t="s">
        <v>3859</v>
      </c>
      <c r="B1372">
        <v>0</v>
      </c>
    </row>
    <row r="1373" spans="1:2" x14ac:dyDescent="0.35">
      <c r="A1373" t="s">
        <v>3860</v>
      </c>
      <c r="B1373">
        <v>0</v>
      </c>
    </row>
    <row r="1374" spans="1:2" x14ac:dyDescent="0.35">
      <c r="A1374" t="s">
        <v>3861</v>
      </c>
      <c r="B1374">
        <v>0</v>
      </c>
    </row>
    <row r="1375" spans="1:2" x14ac:dyDescent="0.35">
      <c r="A1375" t="s">
        <v>3862</v>
      </c>
      <c r="B1375">
        <v>0</v>
      </c>
    </row>
    <row r="1376" spans="1:2" x14ac:dyDescent="0.35">
      <c r="A1376" t="s">
        <v>3863</v>
      </c>
      <c r="B1376">
        <v>0</v>
      </c>
    </row>
    <row r="1377" spans="1:2" x14ac:dyDescent="0.35">
      <c r="A1377" t="s">
        <v>3864</v>
      </c>
      <c r="B1377">
        <v>0</v>
      </c>
    </row>
    <row r="1378" spans="1:2" x14ac:dyDescent="0.35">
      <c r="A1378" t="s">
        <v>3865</v>
      </c>
      <c r="B1378">
        <v>0</v>
      </c>
    </row>
    <row r="1379" spans="1:2" x14ac:dyDescent="0.35">
      <c r="A1379" t="s">
        <v>3866</v>
      </c>
      <c r="B1379">
        <v>0</v>
      </c>
    </row>
    <row r="1380" spans="1:2" x14ac:dyDescent="0.35">
      <c r="A1380" t="s">
        <v>3867</v>
      </c>
      <c r="B1380">
        <v>0</v>
      </c>
    </row>
    <row r="1381" spans="1:2" x14ac:dyDescent="0.35">
      <c r="A1381" t="s">
        <v>3868</v>
      </c>
      <c r="B1381">
        <v>0</v>
      </c>
    </row>
    <row r="1382" spans="1:2" x14ac:dyDescent="0.35">
      <c r="A1382" t="s">
        <v>3869</v>
      </c>
      <c r="B1382">
        <v>0</v>
      </c>
    </row>
    <row r="1383" spans="1:2" x14ac:dyDescent="0.35">
      <c r="A1383" t="s">
        <v>3870</v>
      </c>
      <c r="B1383">
        <v>0</v>
      </c>
    </row>
    <row r="1384" spans="1:2" x14ac:dyDescent="0.35">
      <c r="A1384" t="s">
        <v>3871</v>
      </c>
      <c r="B1384">
        <v>0</v>
      </c>
    </row>
    <row r="1385" spans="1:2" x14ac:dyDescent="0.35">
      <c r="A1385" t="s">
        <v>3872</v>
      </c>
      <c r="B1385">
        <v>0</v>
      </c>
    </row>
    <row r="1386" spans="1:2" x14ac:dyDescent="0.35">
      <c r="A1386" t="s">
        <v>3873</v>
      </c>
      <c r="B1386">
        <v>0</v>
      </c>
    </row>
    <row r="1387" spans="1:2" x14ac:dyDescent="0.35">
      <c r="A1387" t="s">
        <v>3874</v>
      </c>
      <c r="B1387">
        <v>0</v>
      </c>
    </row>
    <row r="1388" spans="1:2" x14ac:dyDescent="0.35">
      <c r="A1388" t="s">
        <v>3875</v>
      </c>
      <c r="B1388">
        <v>0</v>
      </c>
    </row>
    <row r="1389" spans="1:2" x14ac:dyDescent="0.35">
      <c r="A1389" t="s">
        <v>3876</v>
      </c>
      <c r="B1389">
        <v>0</v>
      </c>
    </row>
    <row r="1390" spans="1:2" x14ac:dyDescent="0.35">
      <c r="A1390" t="s">
        <v>3877</v>
      </c>
      <c r="B1390">
        <v>0</v>
      </c>
    </row>
    <row r="1391" spans="1:2" x14ac:dyDescent="0.35">
      <c r="A1391" t="s">
        <v>3878</v>
      </c>
      <c r="B1391">
        <v>0</v>
      </c>
    </row>
    <row r="1392" spans="1:2" x14ac:dyDescent="0.35">
      <c r="A1392" t="s">
        <v>3879</v>
      </c>
      <c r="B1392">
        <v>0</v>
      </c>
    </row>
    <row r="1393" spans="1:2" x14ac:dyDescent="0.35">
      <c r="A1393" t="s">
        <v>3880</v>
      </c>
      <c r="B1393">
        <v>0</v>
      </c>
    </row>
    <row r="1394" spans="1:2" x14ac:dyDescent="0.35">
      <c r="A1394" t="s">
        <v>3881</v>
      </c>
      <c r="B1394">
        <v>0</v>
      </c>
    </row>
    <row r="1395" spans="1:2" x14ac:dyDescent="0.35">
      <c r="A1395" t="s">
        <v>3882</v>
      </c>
      <c r="B1395">
        <v>0</v>
      </c>
    </row>
    <row r="1396" spans="1:2" x14ac:dyDescent="0.35">
      <c r="A1396" t="s">
        <v>3883</v>
      </c>
      <c r="B1396">
        <v>0</v>
      </c>
    </row>
    <row r="1397" spans="1:2" x14ac:dyDescent="0.35">
      <c r="A1397" t="s">
        <v>3884</v>
      </c>
      <c r="B1397">
        <v>0</v>
      </c>
    </row>
    <row r="1398" spans="1:2" x14ac:dyDescent="0.35">
      <c r="A1398" t="s">
        <v>3885</v>
      </c>
      <c r="B1398">
        <v>0</v>
      </c>
    </row>
    <row r="1399" spans="1:2" x14ac:dyDescent="0.35">
      <c r="A1399" t="s">
        <v>3886</v>
      </c>
      <c r="B1399">
        <v>0</v>
      </c>
    </row>
    <row r="1400" spans="1:2" x14ac:dyDescent="0.35">
      <c r="A1400" t="s">
        <v>3887</v>
      </c>
      <c r="B1400">
        <v>0</v>
      </c>
    </row>
    <row r="1401" spans="1:2" x14ac:dyDescent="0.35">
      <c r="A1401" t="s">
        <v>3888</v>
      </c>
      <c r="B1401">
        <v>2</v>
      </c>
    </row>
    <row r="1402" spans="1:2" x14ac:dyDescent="0.35">
      <c r="A1402" t="s">
        <v>3889</v>
      </c>
      <c r="B1402">
        <v>4</v>
      </c>
    </row>
    <row r="1403" spans="1:2" x14ac:dyDescent="0.35">
      <c r="A1403" t="s">
        <v>3890</v>
      </c>
      <c r="B1403">
        <v>5</v>
      </c>
    </row>
    <row r="1404" spans="1:2" x14ac:dyDescent="0.35">
      <c r="A1404" t="s">
        <v>3891</v>
      </c>
      <c r="B1404">
        <v>6</v>
      </c>
    </row>
    <row r="1405" spans="1:2" x14ac:dyDescent="0.35">
      <c r="A1405" t="s">
        <v>3892</v>
      </c>
      <c r="B1405">
        <v>7</v>
      </c>
    </row>
    <row r="1406" spans="1:2" x14ac:dyDescent="0.35">
      <c r="A1406" t="s">
        <v>3893</v>
      </c>
      <c r="B1406">
        <v>8</v>
      </c>
    </row>
    <row r="1407" spans="1:2" x14ac:dyDescent="0.35">
      <c r="A1407" t="s">
        <v>3894</v>
      </c>
      <c r="B1407">
        <v>31</v>
      </c>
    </row>
    <row r="1408" spans="1:2" x14ac:dyDescent="0.35">
      <c r="A1408" t="s">
        <v>3895</v>
      </c>
      <c r="B1408">
        <v>23</v>
      </c>
    </row>
    <row r="1409" spans="1:2" x14ac:dyDescent="0.35">
      <c r="A1409" t="s">
        <v>3896</v>
      </c>
      <c r="B1409">
        <v>3</v>
      </c>
    </row>
    <row r="1410" spans="1:2" x14ac:dyDescent="0.35">
      <c r="A1410" t="s">
        <v>3897</v>
      </c>
      <c r="B1410">
        <v>19</v>
      </c>
    </row>
    <row r="1411" spans="1:2" x14ac:dyDescent="0.35">
      <c r="A1411" t="s">
        <v>3898</v>
      </c>
      <c r="B1411" t="s">
        <v>4174</v>
      </c>
    </row>
    <row r="1412" spans="1:2" x14ac:dyDescent="0.35">
      <c r="A1412" t="s">
        <v>3899</v>
      </c>
      <c r="B1412">
        <v>0</v>
      </c>
    </row>
    <row r="1413" spans="1:2" x14ac:dyDescent="0.35">
      <c r="A1413" t="s">
        <v>3900</v>
      </c>
      <c r="B1413">
        <v>0</v>
      </c>
    </row>
    <row r="1414" spans="1:2" x14ac:dyDescent="0.35">
      <c r="A1414" t="s">
        <v>3901</v>
      </c>
      <c r="B1414">
        <v>0</v>
      </c>
    </row>
    <row r="1415" spans="1:2" x14ac:dyDescent="0.35">
      <c r="A1415" t="s">
        <v>3902</v>
      </c>
      <c r="B1415" t="s">
        <v>4175</v>
      </c>
    </row>
    <row r="1416" spans="1:2" x14ac:dyDescent="0.35">
      <c r="A1416" t="s">
        <v>3903</v>
      </c>
      <c r="B1416">
        <v>1</v>
      </c>
    </row>
    <row r="1417" spans="1:2" x14ac:dyDescent="0.35">
      <c r="A1417" t="s">
        <v>3904</v>
      </c>
      <c r="B1417">
        <v>1</v>
      </c>
    </row>
    <row r="1418" spans="1:2" x14ac:dyDescent="0.35">
      <c r="A1418" t="s">
        <v>3905</v>
      </c>
      <c r="B1418">
        <v>1</v>
      </c>
    </row>
    <row r="1419" spans="1:2" x14ac:dyDescent="0.35">
      <c r="A1419" t="s">
        <v>3906</v>
      </c>
      <c r="B1419">
        <v>2</v>
      </c>
    </row>
    <row r="1420" spans="1:2" x14ac:dyDescent="0.35">
      <c r="A1420" t="s">
        <v>3907</v>
      </c>
      <c r="B1420">
        <v>1</v>
      </c>
    </row>
    <row r="1421" spans="1:2" x14ac:dyDescent="0.35">
      <c r="A1421" t="s">
        <v>3908</v>
      </c>
      <c r="B1421">
        <v>1</v>
      </c>
    </row>
    <row r="1422" spans="1:2" x14ac:dyDescent="0.35">
      <c r="A1422" t="s">
        <v>3909</v>
      </c>
      <c r="B1422">
        <v>1</v>
      </c>
    </row>
    <row r="1423" spans="1:2" x14ac:dyDescent="0.35">
      <c r="A1423" t="s">
        <v>3910</v>
      </c>
      <c r="B1423">
        <v>1</v>
      </c>
    </row>
    <row r="1424" spans="1:2" x14ac:dyDescent="0.35">
      <c r="A1424" t="s">
        <v>3911</v>
      </c>
      <c r="B1424">
        <v>1</v>
      </c>
    </row>
    <row r="1425" spans="1:2" x14ac:dyDescent="0.35">
      <c r="A1425" t="s">
        <v>3912</v>
      </c>
      <c r="B1425">
        <v>1</v>
      </c>
    </row>
    <row r="1426" spans="1:2" x14ac:dyDescent="0.35">
      <c r="A1426" t="s">
        <v>3913</v>
      </c>
      <c r="B1426">
        <v>2</v>
      </c>
    </row>
    <row r="1427" spans="1:2" x14ac:dyDescent="0.35">
      <c r="A1427" t="s">
        <v>3914</v>
      </c>
      <c r="B1427">
        <v>1</v>
      </c>
    </row>
    <row r="1428" spans="1:2" x14ac:dyDescent="0.35">
      <c r="A1428" t="s">
        <v>3915</v>
      </c>
      <c r="B1428">
        <v>1</v>
      </c>
    </row>
    <row r="1429" spans="1:2" x14ac:dyDescent="0.35">
      <c r="A1429" t="s">
        <v>3916</v>
      </c>
      <c r="B1429">
        <v>1</v>
      </c>
    </row>
    <row r="1430" spans="1:2" x14ac:dyDescent="0.35">
      <c r="A1430" t="s">
        <v>3917</v>
      </c>
      <c r="B1430">
        <v>2</v>
      </c>
    </row>
    <row r="1431" spans="1:2" x14ac:dyDescent="0.35">
      <c r="A1431" t="s">
        <v>3918</v>
      </c>
      <c r="B1431">
        <v>0</v>
      </c>
    </row>
    <row r="1432" spans="1:2" x14ac:dyDescent="0.35">
      <c r="A1432" t="s">
        <v>3919</v>
      </c>
      <c r="B1432">
        <v>0</v>
      </c>
    </row>
    <row r="1433" spans="1:2" x14ac:dyDescent="0.35">
      <c r="A1433" t="s">
        <v>3920</v>
      </c>
      <c r="B1433">
        <v>0</v>
      </c>
    </row>
    <row r="1434" spans="1:2" x14ac:dyDescent="0.35">
      <c r="A1434" t="s">
        <v>3921</v>
      </c>
      <c r="B1434">
        <v>0</v>
      </c>
    </row>
    <row r="1435" spans="1:2" x14ac:dyDescent="0.35">
      <c r="A1435" t="s">
        <v>3922</v>
      </c>
      <c r="B1435">
        <v>0</v>
      </c>
    </row>
    <row r="1436" spans="1:2" x14ac:dyDescent="0.35">
      <c r="A1436" t="s">
        <v>3923</v>
      </c>
      <c r="B1436">
        <v>0</v>
      </c>
    </row>
    <row r="1437" spans="1:2" x14ac:dyDescent="0.35">
      <c r="A1437" t="s">
        <v>3924</v>
      </c>
      <c r="B1437">
        <v>0</v>
      </c>
    </row>
    <row r="1438" spans="1:2" x14ac:dyDescent="0.35">
      <c r="A1438" t="s">
        <v>3925</v>
      </c>
      <c r="B1438">
        <v>0</v>
      </c>
    </row>
    <row r="1439" spans="1:2" x14ac:dyDescent="0.35">
      <c r="A1439" t="s">
        <v>3926</v>
      </c>
      <c r="B1439">
        <v>0</v>
      </c>
    </row>
    <row r="1440" spans="1:2" x14ac:dyDescent="0.35">
      <c r="A1440" t="s">
        <v>3927</v>
      </c>
      <c r="B1440">
        <v>0</v>
      </c>
    </row>
    <row r="1441" spans="1:2" x14ac:dyDescent="0.35">
      <c r="A1441" t="s">
        <v>3928</v>
      </c>
      <c r="B1441">
        <v>50</v>
      </c>
    </row>
    <row r="1442" spans="1:2" x14ac:dyDescent="0.35">
      <c r="A1442" t="s">
        <v>3929</v>
      </c>
      <c r="B1442">
        <v>3</v>
      </c>
    </row>
    <row r="1443" spans="1:2" x14ac:dyDescent="0.35">
      <c r="A1443" t="s">
        <v>3930</v>
      </c>
      <c r="B1443">
        <v>2</v>
      </c>
    </row>
    <row r="1444" spans="1:2" x14ac:dyDescent="0.35">
      <c r="A1444" t="s">
        <v>3931</v>
      </c>
      <c r="B1444">
        <v>2</v>
      </c>
    </row>
    <row r="1445" spans="1:2" x14ac:dyDescent="0.35">
      <c r="A1445" t="s">
        <v>3932</v>
      </c>
      <c r="B1445">
        <v>50</v>
      </c>
    </row>
    <row r="1446" spans="1:2" x14ac:dyDescent="0.35">
      <c r="A1446" t="s">
        <v>3933</v>
      </c>
      <c r="B1446" t="s">
        <v>4178</v>
      </c>
    </row>
    <row r="1447" spans="1:2" x14ac:dyDescent="0.35">
      <c r="A1447" t="s">
        <v>3934</v>
      </c>
      <c r="B1447">
        <v>1</v>
      </c>
    </row>
    <row r="1448" spans="1:2" x14ac:dyDescent="0.35">
      <c r="A1448" t="s">
        <v>3935</v>
      </c>
      <c r="B1448">
        <v>0</v>
      </c>
    </row>
    <row r="1449" spans="1:2" x14ac:dyDescent="0.35">
      <c r="A1449" t="s">
        <v>3936</v>
      </c>
      <c r="B1449">
        <v>2</v>
      </c>
    </row>
    <row r="1450" spans="1:2" x14ac:dyDescent="0.35">
      <c r="A1450" t="s">
        <v>3937</v>
      </c>
      <c r="B1450">
        <v>1</v>
      </c>
    </row>
    <row r="1451" spans="1:2" x14ac:dyDescent="0.35">
      <c r="A1451" t="s">
        <v>3938</v>
      </c>
      <c r="B1451">
        <v>1</v>
      </c>
    </row>
    <row r="1452" spans="1:2" x14ac:dyDescent="0.35">
      <c r="A1452" t="s">
        <v>3939</v>
      </c>
      <c r="B1452">
        <v>1</v>
      </c>
    </row>
    <row r="1453" spans="1:2" x14ac:dyDescent="0.35">
      <c r="A1453" t="s">
        <v>3940</v>
      </c>
      <c r="B1453">
        <v>1</v>
      </c>
    </row>
    <row r="1454" spans="1:2" x14ac:dyDescent="0.35">
      <c r="A1454" t="s">
        <v>3941</v>
      </c>
      <c r="B1454">
        <v>1</v>
      </c>
    </row>
    <row r="1455" spans="1:2" x14ac:dyDescent="0.35">
      <c r="A1455" t="s">
        <v>3942</v>
      </c>
      <c r="B1455">
        <v>1</v>
      </c>
    </row>
    <row r="1456" spans="1:2" x14ac:dyDescent="0.35">
      <c r="A1456" t="s">
        <v>3943</v>
      </c>
      <c r="B1456">
        <v>1</v>
      </c>
    </row>
    <row r="1457" spans="1:2" x14ac:dyDescent="0.35">
      <c r="A1457" t="s">
        <v>3944</v>
      </c>
      <c r="B1457">
        <v>10</v>
      </c>
    </row>
    <row r="1458" spans="1:2" x14ac:dyDescent="0.35">
      <c r="A1458" t="s">
        <v>3945</v>
      </c>
      <c r="B1458">
        <v>0</v>
      </c>
    </row>
    <row r="1459" spans="1:2" x14ac:dyDescent="0.35">
      <c r="A1459" t="s">
        <v>3946</v>
      </c>
      <c r="B1459">
        <v>0</v>
      </c>
    </row>
    <row r="1460" spans="1:2" x14ac:dyDescent="0.35">
      <c r="A1460" t="s">
        <v>3947</v>
      </c>
      <c r="B1460">
        <v>0</v>
      </c>
    </row>
    <row r="1461" spans="1:2" x14ac:dyDescent="0.35">
      <c r="A1461" t="s">
        <v>3948</v>
      </c>
      <c r="B1461">
        <v>3</v>
      </c>
    </row>
    <row r="1462" spans="1:2" x14ac:dyDescent="0.35">
      <c r="A1462" t="s">
        <v>3949</v>
      </c>
      <c r="B1462">
        <v>0</v>
      </c>
    </row>
    <row r="1463" spans="1:2" x14ac:dyDescent="0.35">
      <c r="A1463" t="s">
        <v>3950</v>
      </c>
      <c r="B1463">
        <v>0</v>
      </c>
    </row>
    <row r="1464" spans="1:2" x14ac:dyDescent="0.35">
      <c r="A1464" t="s">
        <v>3951</v>
      </c>
      <c r="B1464">
        <v>0</v>
      </c>
    </row>
    <row r="1465" spans="1:2" x14ac:dyDescent="0.35">
      <c r="A1465" t="s">
        <v>3952</v>
      </c>
      <c r="B1465">
        <v>0</v>
      </c>
    </row>
    <row r="1466" spans="1:2" x14ac:dyDescent="0.35">
      <c r="A1466" t="s">
        <v>3953</v>
      </c>
      <c r="B1466">
        <v>0</v>
      </c>
    </row>
    <row r="1467" spans="1:2" x14ac:dyDescent="0.35">
      <c r="A1467" t="s">
        <v>3954</v>
      </c>
      <c r="B1467">
        <v>0</v>
      </c>
    </row>
    <row r="1468" spans="1:2" x14ac:dyDescent="0.35">
      <c r="A1468" t="s">
        <v>3955</v>
      </c>
      <c r="B1468">
        <v>0</v>
      </c>
    </row>
    <row r="1469" spans="1:2" x14ac:dyDescent="0.35">
      <c r="A1469" t="s">
        <v>3956</v>
      </c>
      <c r="B1469">
        <v>0</v>
      </c>
    </row>
    <row r="1470" spans="1:2" x14ac:dyDescent="0.35">
      <c r="A1470" t="s">
        <v>3957</v>
      </c>
      <c r="B1470">
        <v>0</v>
      </c>
    </row>
    <row r="1471" spans="1:2" x14ac:dyDescent="0.35">
      <c r="A1471" t="s">
        <v>3958</v>
      </c>
      <c r="B1471">
        <v>0</v>
      </c>
    </row>
    <row r="1472" spans="1:2" x14ac:dyDescent="0.35">
      <c r="A1472" t="s">
        <v>3959</v>
      </c>
      <c r="B1472" t="s">
        <v>4177</v>
      </c>
    </row>
    <row r="1473" spans="1:2" x14ac:dyDescent="0.35">
      <c r="A1473" t="s">
        <v>3960</v>
      </c>
      <c r="B1473">
        <v>0</v>
      </c>
    </row>
    <row r="1474" spans="1:2" x14ac:dyDescent="0.35">
      <c r="A1474" t="s">
        <v>3961</v>
      </c>
      <c r="B1474">
        <v>0</v>
      </c>
    </row>
    <row r="1475" spans="1:2" x14ac:dyDescent="0.35">
      <c r="A1475" t="s">
        <v>3962</v>
      </c>
      <c r="B1475">
        <v>0</v>
      </c>
    </row>
    <row r="1476" spans="1:2" x14ac:dyDescent="0.35">
      <c r="A1476" t="s">
        <v>3963</v>
      </c>
      <c r="B1476" t="s">
        <v>4176</v>
      </c>
    </row>
    <row r="1477" spans="1:2" x14ac:dyDescent="0.35">
      <c r="A1477" t="s">
        <v>3964</v>
      </c>
      <c r="B1477">
        <v>0</v>
      </c>
    </row>
    <row r="1478" spans="1:2" x14ac:dyDescent="0.35">
      <c r="A1478" t="s">
        <v>3965</v>
      </c>
      <c r="B1478">
        <v>0</v>
      </c>
    </row>
    <row r="1479" spans="1:2" x14ac:dyDescent="0.35">
      <c r="A1479" t="s">
        <v>3966</v>
      </c>
      <c r="B1479">
        <v>0</v>
      </c>
    </row>
    <row r="1480" spans="1:2" x14ac:dyDescent="0.35">
      <c r="A1480" t="s">
        <v>3967</v>
      </c>
      <c r="B1480">
        <v>0</v>
      </c>
    </row>
    <row r="1481" spans="1:2" x14ac:dyDescent="0.35">
      <c r="A1481" t="s">
        <v>3968</v>
      </c>
      <c r="B1481">
        <v>0</v>
      </c>
    </row>
    <row r="1482" spans="1:2" x14ac:dyDescent="0.35">
      <c r="A1482" t="s">
        <v>3969</v>
      </c>
      <c r="B1482">
        <v>0</v>
      </c>
    </row>
    <row r="1483" spans="1:2" x14ac:dyDescent="0.35">
      <c r="A1483" t="s">
        <v>3970</v>
      </c>
      <c r="B1483">
        <v>0</v>
      </c>
    </row>
    <row r="1484" spans="1:2" x14ac:dyDescent="0.35">
      <c r="A1484" t="s">
        <v>3971</v>
      </c>
      <c r="B1484">
        <v>0</v>
      </c>
    </row>
    <row r="1485" spans="1:2" x14ac:dyDescent="0.35">
      <c r="A1485" t="s">
        <v>3972</v>
      </c>
      <c r="B1485" t="b">
        <v>0</v>
      </c>
    </row>
    <row r="1486" spans="1:2" x14ac:dyDescent="0.35">
      <c r="A1486" t="s">
        <v>3973</v>
      </c>
      <c r="B1486">
        <v>0</v>
      </c>
    </row>
    <row r="1487" spans="1:2" x14ac:dyDescent="0.35">
      <c r="A1487" t="s">
        <v>3974</v>
      </c>
      <c r="B1487" t="b">
        <v>0</v>
      </c>
    </row>
    <row r="1488" spans="1:2" x14ac:dyDescent="0.35">
      <c r="A1488" t="s">
        <v>3975</v>
      </c>
      <c r="B1488">
        <v>0</v>
      </c>
    </row>
    <row r="1489" spans="1:2" x14ac:dyDescent="0.35">
      <c r="A1489" t="s">
        <v>3976</v>
      </c>
      <c r="B1489">
        <v>0</v>
      </c>
    </row>
    <row r="1490" spans="1:2" x14ac:dyDescent="0.35">
      <c r="A1490" t="s">
        <v>3977</v>
      </c>
      <c r="B1490">
        <v>0</v>
      </c>
    </row>
    <row r="1491" spans="1:2" x14ac:dyDescent="0.35">
      <c r="A1491" t="s">
        <v>3978</v>
      </c>
      <c r="B1491">
        <v>1</v>
      </c>
    </row>
    <row r="1492" spans="1:2" x14ac:dyDescent="0.35">
      <c r="A1492" t="s">
        <v>3979</v>
      </c>
      <c r="B1492" t="b">
        <v>0</v>
      </c>
    </row>
    <row r="1493" spans="1:2" x14ac:dyDescent="0.35">
      <c r="A1493" t="s">
        <v>3980</v>
      </c>
      <c r="B1493">
        <v>0</v>
      </c>
    </row>
    <row r="1494" spans="1:2" x14ac:dyDescent="0.35">
      <c r="A1494" t="s">
        <v>3981</v>
      </c>
      <c r="B1494">
        <v>0</v>
      </c>
    </row>
    <row r="1495" spans="1:2" x14ac:dyDescent="0.35">
      <c r="A1495" t="s">
        <v>3982</v>
      </c>
      <c r="B1495" t="b">
        <v>0</v>
      </c>
    </row>
    <row r="1496" spans="1:2" x14ac:dyDescent="0.35">
      <c r="A1496" t="s">
        <v>3983</v>
      </c>
      <c r="B1496">
        <v>0</v>
      </c>
    </row>
    <row r="1497" spans="1:2" x14ac:dyDescent="0.35">
      <c r="A1497" t="s">
        <v>3984</v>
      </c>
      <c r="B1497" t="b">
        <v>0</v>
      </c>
    </row>
    <row r="1498" spans="1:2" x14ac:dyDescent="0.35">
      <c r="A1498" t="s">
        <v>3985</v>
      </c>
      <c r="B1498">
        <v>0</v>
      </c>
    </row>
    <row r="1499" spans="1:2" x14ac:dyDescent="0.35">
      <c r="A1499" t="s">
        <v>3986</v>
      </c>
      <c r="B1499">
        <v>0</v>
      </c>
    </row>
    <row r="1500" spans="1:2" x14ac:dyDescent="0.35">
      <c r="A1500" t="s">
        <v>3987</v>
      </c>
      <c r="B1500">
        <v>0</v>
      </c>
    </row>
    <row r="1501" spans="1:2" x14ac:dyDescent="0.35">
      <c r="A1501" t="s">
        <v>3988</v>
      </c>
      <c r="B1501">
        <v>0</v>
      </c>
    </row>
    <row r="1502" spans="1:2" x14ac:dyDescent="0.35">
      <c r="A1502" t="s">
        <v>3989</v>
      </c>
      <c r="B1502">
        <v>0</v>
      </c>
    </row>
    <row r="1503" spans="1:2" x14ac:dyDescent="0.35">
      <c r="A1503" t="s">
        <v>3990</v>
      </c>
      <c r="B1503">
        <v>0</v>
      </c>
    </row>
    <row r="1504" spans="1:2" x14ac:dyDescent="0.35">
      <c r="A1504" t="s">
        <v>3991</v>
      </c>
      <c r="B1504" t="b">
        <v>0</v>
      </c>
    </row>
    <row r="1505" spans="1:2" x14ac:dyDescent="0.35">
      <c r="A1505" t="s">
        <v>3992</v>
      </c>
      <c r="B1505">
        <v>1</v>
      </c>
    </row>
    <row r="1506" spans="1:2" x14ac:dyDescent="0.35">
      <c r="A1506" t="s">
        <v>3993</v>
      </c>
      <c r="B1506">
        <v>1</v>
      </c>
    </row>
    <row r="1507" spans="1:2" x14ac:dyDescent="0.35">
      <c r="A1507" t="s">
        <v>3994</v>
      </c>
      <c r="B1507">
        <v>0</v>
      </c>
    </row>
    <row r="1508" spans="1:2" x14ac:dyDescent="0.35">
      <c r="A1508" t="s">
        <v>3995</v>
      </c>
      <c r="B1508">
        <v>1</v>
      </c>
    </row>
    <row r="1509" spans="1:2" x14ac:dyDescent="0.35">
      <c r="A1509" t="s">
        <v>3996</v>
      </c>
      <c r="B1509">
        <v>0</v>
      </c>
    </row>
    <row r="1510" spans="1:2" x14ac:dyDescent="0.35">
      <c r="A1510" t="s">
        <v>3997</v>
      </c>
      <c r="B1510" t="b">
        <v>0</v>
      </c>
    </row>
    <row r="1511" spans="1:2" x14ac:dyDescent="0.35">
      <c r="A1511" t="s">
        <v>3998</v>
      </c>
      <c r="B1511">
        <v>1</v>
      </c>
    </row>
    <row r="1512" spans="1:2" x14ac:dyDescent="0.35">
      <c r="A1512" t="s">
        <v>3999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435" t="s">
        <v>318</v>
      </c>
      <c r="B1" s="186" t="s">
        <v>457</v>
      </c>
      <c r="C1" s="185" t="str">
        <f>PedPrtAfspr!F2&amp;" geb: "&amp;TEXT(PedPrtAfspr!F3,"dd-mmm-jj")&amp;". Gewicht: "&amp;ROUND(_Pat_Gewicht/10,1)&amp;" kg"</f>
        <v>,  geb: 00-jan-00. Gewicht: 10 kg</v>
      </c>
    </row>
    <row r="2" spans="1:3 4305:4305" x14ac:dyDescent="0.35">
      <c r="A2" t="s">
        <v>318</v>
      </c>
      <c r="B2" s="187" t="s">
        <v>458</v>
      </c>
      <c r="C2" s="185">
        <f>__2_AchterNaam</f>
        <v>0</v>
      </c>
      <c r="FIO2">
        <v>30</v>
      </c>
    </row>
    <row r="3" spans="1:3 4305:4305" x14ac:dyDescent="0.35">
      <c r="A3" t="s">
        <v>318</v>
      </c>
      <c r="B3" s="187" t="s">
        <v>459</v>
      </c>
      <c r="C3" s="185">
        <f>__3_VoorNaam</f>
        <v>0</v>
      </c>
    </row>
    <row r="4" spans="1:3 4305:4305" x14ac:dyDescent="0.35">
      <c r="A4" t="s">
        <v>318</v>
      </c>
      <c r="B4" s="187" t="s">
        <v>460</v>
      </c>
      <c r="C4" s="185" t="str">
        <f>TEXT(PedPrtAfspr!F3,"dd-mmm-jj")</f>
        <v>00-jan-00</v>
      </c>
    </row>
    <row r="5" spans="1:3 4305:4305" x14ac:dyDescent="0.35">
      <c r="A5" t="s">
        <v>318</v>
      </c>
      <c r="B5" s="187" t="s">
        <v>461</v>
      </c>
      <c r="C5" s="19">
        <f>__0_PatNum</f>
        <v>0</v>
      </c>
    </row>
    <row r="6" spans="1:3 4305:4305" x14ac:dyDescent="0.35">
      <c r="A6" s="435" t="s">
        <v>477</v>
      </c>
      <c r="B6" s="187" t="s">
        <v>457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477</v>
      </c>
      <c r="B7" s="187" t="s">
        <v>458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477</v>
      </c>
      <c r="B8" s="187" t="s">
        <v>459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477</v>
      </c>
      <c r="B9" s="186" t="s">
        <v>460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477</v>
      </c>
      <c r="B10" s="186" t="s">
        <v>461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477</v>
      </c>
      <c r="B11" s="186" t="s">
        <v>462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477</v>
      </c>
      <c r="B12" s="186" t="s">
        <v>463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477</v>
      </c>
      <c r="B13" s="186" t="s">
        <v>464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477</v>
      </c>
      <c r="B14" s="186" t="s">
        <v>465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477</v>
      </c>
      <c r="B15" s="186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477</v>
      </c>
      <c r="B16" s="186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477</v>
      </c>
      <c r="B17" s="186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477</v>
      </c>
      <c r="B18" s="186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477</v>
      </c>
      <c r="B19" s="186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477</v>
      </c>
      <c r="B20" s="186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477</v>
      </c>
      <c r="B21" s="186">
        <v>16</v>
      </c>
      <c r="C21" t="str">
        <f>IF(GlobBerOpm!C3&lt;&gt;0,PedPrtAfspr!C67&amp;" "&amp;GlobBerOpm!C3,"")</f>
        <v/>
      </c>
    </row>
    <row r="22" spans="1:6" x14ac:dyDescent="0.35">
      <c r="A22" t="s">
        <v>478</v>
      </c>
      <c r="B22" s="186" t="s">
        <v>457</v>
      </c>
      <c r="C22" t="str">
        <f>GlobBerMedDisc!AC2</f>
        <v/>
      </c>
    </row>
    <row r="23" spans="1:6" x14ac:dyDescent="0.35">
      <c r="A23" t="s">
        <v>478</v>
      </c>
      <c r="B23" s="186" t="s">
        <v>458</v>
      </c>
      <c r="C23" t="str">
        <f>GlobBerMedDisc!AC3</f>
        <v/>
      </c>
    </row>
    <row r="24" spans="1:6" x14ac:dyDescent="0.35">
      <c r="A24" t="s">
        <v>478</v>
      </c>
      <c r="B24" s="186" t="s">
        <v>459</v>
      </c>
      <c r="C24" t="str">
        <f>GlobBerMedDisc!AC4</f>
        <v/>
      </c>
    </row>
    <row r="25" spans="1:6" x14ac:dyDescent="0.35">
      <c r="A25" t="s">
        <v>478</v>
      </c>
      <c r="B25" s="186" t="s">
        <v>460</v>
      </c>
      <c r="C25" t="str">
        <f>GlobBerMedDisc!AC5</f>
        <v/>
      </c>
    </row>
    <row r="26" spans="1:6" x14ac:dyDescent="0.35">
      <c r="A26" t="s">
        <v>478</v>
      </c>
      <c r="B26" s="186" t="s">
        <v>461</v>
      </c>
      <c r="C26" t="str">
        <f>GlobBerMedDisc!AC6</f>
        <v/>
      </c>
    </row>
    <row r="27" spans="1:6" x14ac:dyDescent="0.35">
      <c r="A27" t="s">
        <v>478</v>
      </c>
      <c r="B27" s="186" t="s">
        <v>462</v>
      </c>
      <c r="C27" t="str">
        <f>GlobBerMedDisc!AC7</f>
        <v/>
      </c>
    </row>
    <row r="28" spans="1:6" x14ac:dyDescent="0.35">
      <c r="A28" t="s">
        <v>478</v>
      </c>
      <c r="B28" s="186" t="s">
        <v>463</v>
      </c>
      <c r="C28" t="str">
        <f>GlobBerMedDisc!AC8</f>
        <v/>
      </c>
    </row>
    <row r="29" spans="1:6" x14ac:dyDescent="0.35">
      <c r="A29" t="s">
        <v>478</v>
      </c>
      <c r="B29" s="186" t="s">
        <v>464</v>
      </c>
      <c r="C29" t="str">
        <f>GlobBerMedDisc!AC9</f>
        <v/>
      </c>
      <c r="E29" s="383"/>
      <c r="F29" s="386"/>
    </row>
    <row r="30" spans="1:6" x14ac:dyDescent="0.35">
      <c r="A30" t="s">
        <v>478</v>
      </c>
      <c r="B30" s="186" t="s">
        <v>465</v>
      </c>
      <c r="C30" t="str">
        <f>GlobBerMedDisc!AC10</f>
        <v/>
      </c>
    </row>
    <row r="31" spans="1:6" x14ac:dyDescent="0.35">
      <c r="A31" t="s">
        <v>478</v>
      </c>
      <c r="B31" s="186">
        <v>10</v>
      </c>
      <c r="C31" t="str">
        <f>GlobBerMedDisc!AC11</f>
        <v/>
      </c>
    </row>
    <row r="32" spans="1:6" x14ac:dyDescent="0.35">
      <c r="A32" t="s">
        <v>478</v>
      </c>
      <c r="B32" s="186">
        <v>11</v>
      </c>
      <c r="C32" t="str">
        <f>GlobBerMedDisc!AC12</f>
        <v/>
      </c>
    </row>
    <row r="33" spans="1:7" x14ac:dyDescent="0.35">
      <c r="A33" t="s">
        <v>478</v>
      </c>
      <c r="B33" s="186">
        <v>12</v>
      </c>
      <c r="C33" t="str">
        <f>GlobBerMedDisc!AC13</f>
        <v/>
      </c>
    </row>
    <row r="34" spans="1:7" x14ac:dyDescent="0.35">
      <c r="A34" t="s">
        <v>478</v>
      </c>
      <c r="B34" s="186">
        <v>13</v>
      </c>
      <c r="C34" t="str">
        <f>GlobBerMedDisc!AC14</f>
        <v/>
      </c>
    </row>
    <row r="35" spans="1:7" x14ac:dyDescent="0.35">
      <c r="A35" t="s">
        <v>478</v>
      </c>
      <c r="B35" s="186">
        <v>14</v>
      </c>
      <c r="C35" t="str">
        <f>GlobBerMedDisc!AC15</f>
        <v/>
      </c>
    </row>
    <row r="36" spans="1:7" x14ac:dyDescent="0.35">
      <c r="A36" t="s">
        <v>478</v>
      </c>
      <c r="B36" s="186">
        <v>15</v>
      </c>
      <c r="C36" t="str">
        <f>GlobBerMedDisc!AC16</f>
        <v/>
      </c>
    </row>
    <row r="37" spans="1:7" x14ac:dyDescent="0.35">
      <c r="A37" t="s">
        <v>478</v>
      </c>
      <c r="B37" s="186">
        <v>16</v>
      </c>
      <c r="C37" t="str">
        <f>GlobBerMedDisc!AC17</f>
        <v/>
      </c>
    </row>
    <row r="38" spans="1:7" x14ac:dyDescent="0.35">
      <c r="A38" t="s">
        <v>478</v>
      </c>
      <c r="B38" s="186">
        <v>17</v>
      </c>
      <c r="C38" t="str">
        <f>GlobBerMedDisc!AC18</f>
        <v/>
      </c>
    </row>
    <row r="39" spans="1:7" x14ac:dyDescent="0.35">
      <c r="A39" t="s">
        <v>478</v>
      </c>
      <c r="B39" s="186">
        <v>18</v>
      </c>
      <c r="C39" t="str">
        <f>GlobBerMedDisc!AC19</f>
        <v/>
      </c>
    </row>
    <row r="40" spans="1:7" x14ac:dyDescent="0.35">
      <c r="A40" t="s">
        <v>478</v>
      </c>
      <c r="B40" s="186">
        <v>19</v>
      </c>
      <c r="C40" t="str">
        <f>GlobBerMedDisc!AC20</f>
        <v/>
      </c>
    </row>
    <row r="41" spans="1:7" x14ac:dyDescent="0.35">
      <c r="A41" t="s">
        <v>478</v>
      </c>
      <c r="B41" s="186">
        <v>20</v>
      </c>
      <c r="C41" t="str">
        <f>GlobBerMedDisc!AC21</f>
        <v/>
      </c>
    </row>
    <row r="42" spans="1:7" x14ac:dyDescent="0.35">
      <c r="A42" s="383" t="s">
        <v>478</v>
      </c>
      <c r="B42" s="386">
        <v>21</v>
      </c>
      <c r="C42" s="383" t="str">
        <f>GlobBerMedDisc!AC22</f>
        <v/>
      </c>
      <c r="F42" s="383"/>
      <c r="G42" s="383"/>
    </row>
    <row r="43" spans="1:7" x14ac:dyDescent="0.35">
      <c r="A43" s="383" t="s">
        <v>478</v>
      </c>
      <c r="B43" s="386">
        <v>22</v>
      </c>
      <c r="C43" s="383" t="str">
        <f>GlobBerMedDisc!AC23</f>
        <v/>
      </c>
      <c r="F43" s="383"/>
      <c r="G43" s="383"/>
    </row>
    <row r="44" spans="1:7" s="383" customFormat="1" x14ac:dyDescent="0.35">
      <c r="A44" s="383" t="s">
        <v>478</v>
      </c>
      <c r="B44" s="386">
        <v>23</v>
      </c>
      <c r="C44" s="383" t="str">
        <f>GlobBerMedDisc!AC24</f>
        <v/>
      </c>
      <c r="D44"/>
      <c r="E44"/>
    </row>
    <row r="45" spans="1:7" x14ac:dyDescent="0.35">
      <c r="A45" s="383" t="s">
        <v>478</v>
      </c>
      <c r="B45" s="386">
        <v>24</v>
      </c>
      <c r="C45" s="383" t="str">
        <f>GlobBerMedDisc!AC25</f>
        <v/>
      </c>
      <c r="F45" s="383"/>
      <c r="G45" s="383"/>
    </row>
    <row r="46" spans="1:7" x14ac:dyDescent="0.35">
      <c r="A46" s="383" t="s">
        <v>478</v>
      </c>
      <c r="B46" s="386">
        <v>25</v>
      </c>
      <c r="C46" s="383" t="str">
        <f>GlobBerMedDisc!AC26</f>
        <v/>
      </c>
    </row>
    <row r="47" spans="1:7" x14ac:dyDescent="0.35">
      <c r="A47" s="383" t="s">
        <v>478</v>
      </c>
      <c r="B47" s="386">
        <v>26</v>
      </c>
      <c r="C47" s="383" t="str">
        <f>GlobBerMedDisc!AC27</f>
        <v/>
      </c>
    </row>
    <row r="48" spans="1:7" x14ac:dyDescent="0.35">
      <c r="A48" s="383" t="s">
        <v>478</v>
      </c>
      <c r="B48" s="386">
        <v>27</v>
      </c>
      <c r="C48" s="383" t="str">
        <f>GlobBerMedDisc!AC28</f>
        <v/>
      </c>
    </row>
    <row r="49" spans="1:5" x14ac:dyDescent="0.35">
      <c r="A49" s="383" t="s">
        <v>478</v>
      </c>
      <c r="B49" s="386">
        <v>28</v>
      </c>
      <c r="C49" s="383" t="str">
        <f>GlobBerMedDisc!AC29</f>
        <v/>
      </c>
    </row>
    <row r="50" spans="1:5" x14ac:dyDescent="0.35">
      <c r="A50" s="383" t="s">
        <v>478</v>
      </c>
      <c r="B50" s="386">
        <v>29</v>
      </c>
      <c r="C50" s="383" t="str">
        <f>GlobBerMedDisc!AC30</f>
        <v/>
      </c>
    </row>
    <row r="51" spans="1:5" x14ac:dyDescent="0.35">
      <c r="A51" s="383" t="s">
        <v>478</v>
      </c>
      <c r="B51" s="386">
        <v>30</v>
      </c>
      <c r="C51" s="383" t="str">
        <f>GlobBerMedDisc!AC31</f>
        <v/>
      </c>
    </row>
    <row r="52" spans="1:5" x14ac:dyDescent="0.35">
      <c r="A52" s="384" t="s">
        <v>960</v>
      </c>
      <c r="B52" s="386" t="s">
        <v>457</v>
      </c>
      <c r="C52" s="383" t="str">
        <f>IF(PedGuiAfspr!C41="","",CONCATENATE(PedGuiAfspr!B41,": ",PedGuiAfspr!C41))</f>
        <v/>
      </c>
      <c r="D52" s="383"/>
      <c r="E52" s="384"/>
    </row>
    <row r="53" spans="1:5" x14ac:dyDescent="0.35">
      <c r="A53" s="384" t="s">
        <v>960</v>
      </c>
      <c r="B53" s="386" t="s">
        <v>458</v>
      </c>
      <c r="C53" s="383" t="str">
        <f>IF(PedGuiAfspr!C42="","",CONCATENATE(PedGuiAfspr!B42,": ",PedGuiAfspr!C42))</f>
        <v/>
      </c>
      <c r="D53" s="383"/>
      <c r="E53" s="384"/>
    </row>
    <row r="54" spans="1:5" x14ac:dyDescent="0.35">
      <c r="A54" s="384" t="s">
        <v>960</v>
      </c>
      <c r="B54" s="386" t="s">
        <v>459</v>
      </c>
      <c r="C54" s="383" t="str">
        <f>IF(PedGuiAfspr!C43="","",CONCATENATE(PedGuiAfspr!B43,": ",PedGuiAfspr!C43))</f>
        <v/>
      </c>
      <c r="D54" s="383"/>
      <c r="E54" s="384"/>
    </row>
    <row r="55" spans="1:5" x14ac:dyDescent="0.35">
      <c r="A55" s="384" t="s">
        <v>960</v>
      </c>
      <c r="B55" s="386" t="s">
        <v>460</v>
      </c>
      <c r="C55" s="383" t="str">
        <f>IF(PedGuiAfspr!C44="","",CONCATENATE(PedGuiAfspr!B44,": ",PedGuiAfspr!C44))</f>
        <v/>
      </c>
      <c r="D55" s="383"/>
      <c r="E55" s="384"/>
    </row>
    <row r="56" spans="1:5" x14ac:dyDescent="0.35">
      <c r="A56" t="s">
        <v>479</v>
      </c>
      <c r="B56" s="186" t="s">
        <v>457</v>
      </c>
      <c r="C56" t="str">
        <f>IF(PedPrtAfspr!C39&lt;&gt;0,PedPrtAfspr!C39,"")</f>
        <v/>
      </c>
    </row>
    <row r="57" spans="1:5" x14ac:dyDescent="0.35">
      <c r="A57" t="s">
        <v>479</v>
      </c>
      <c r="B57" s="186" t="s">
        <v>458</v>
      </c>
      <c r="C57" t="str">
        <f>IF(PedPrtAfspr!C40&lt;&gt;0,PedPrtAfspr!C40,"")</f>
        <v/>
      </c>
    </row>
    <row r="58" spans="1:5" x14ac:dyDescent="0.35">
      <c r="A58" t="s">
        <v>479</v>
      </c>
      <c r="B58" s="186" t="s">
        <v>459</v>
      </c>
      <c r="C58" t="str">
        <f>IF(PedPrtAfspr!C41&lt;&gt;0,PedPrtAfspr!C41,"")</f>
        <v/>
      </c>
    </row>
    <row r="59" spans="1:5" x14ac:dyDescent="0.35">
      <c r="A59" t="s">
        <v>479</v>
      </c>
      <c r="B59" s="186" t="s">
        <v>460</v>
      </c>
      <c r="C59" t="str">
        <f>IF(PedPrtAfspr!C42&lt;&gt;0,PedPrtAfspr!C42,"")</f>
        <v/>
      </c>
    </row>
    <row r="60" spans="1:5" x14ac:dyDescent="0.35">
      <c r="A60" t="s">
        <v>479</v>
      </c>
      <c r="B60" s="186" t="s">
        <v>461</v>
      </c>
      <c r="C60" t="str">
        <f>IF(PedPrtAfspr!C43&lt;&gt;0,PedPrtAfspr!C43,"")</f>
        <v/>
      </c>
    </row>
    <row r="61" spans="1:5" x14ac:dyDescent="0.35">
      <c r="A61" t="s">
        <v>479</v>
      </c>
      <c r="B61" s="186" t="s">
        <v>462</v>
      </c>
      <c r="C61" t="str">
        <f>IF(PedPrtAfspr!C44&lt;&gt;0,PedPrtAfspr!C44,"")</f>
        <v/>
      </c>
    </row>
    <row r="62" spans="1:5" x14ac:dyDescent="0.35">
      <c r="A62" t="s">
        <v>479</v>
      </c>
      <c r="B62" s="186" t="s">
        <v>463</v>
      </c>
      <c r="C62" t="str">
        <f>IF(PedPrtAfspr!D67&lt;&gt;0,"Opmerkingen: "&amp;PedPrtAfspr!D67,"")</f>
        <v/>
      </c>
    </row>
    <row r="63" spans="1:5" s="383" customFormat="1" x14ac:dyDescent="0.35">
      <c r="A63" s="384" t="s">
        <v>20</v>
      </c>
      <c r="B63" s="387" t="s">
        <v>457</v>
      </c>
      <c r="C63" s="383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480</v>
      </c>
      <c r="B64" s="186" t="s">
        <v>457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480</v>
      </c>
      <c r="B65" s="186" t="s">
        <v>458</v>
      </c>
      <c r="C65" t="str">
        <f>IF(PedPrtAfspr!D12&lt;&gt;0,"Opmerkingen: "&amp;PedPrtAfspr!D12,"")</f>
        <v/>
      </c>
    </row>
    <row r="66" spans="1:3" x14ac:dyDescent="0.35">
      <c r="A66" t="s">
        <v>480</v>
      </c>
      <c r="B66" s="186" t="s">
        <v>459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480</v>
      </c>
      <c r="B67" s="186" t="s">
        <v>460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480</v>
      </c>
      <c r="B68" s="186" t="s">
        <v>461</v>
      </c>
      <c r="C68" t="str">
        <f>IF(PedPrtAfspr!E85&lt;&gt;" ",PedPrtAfspr!D85&amp;": "&amp;PedPrtAfspr!E85,"")</f>
        <v/>
      </c>
    </row>
    <row r="69" spans="1:3" x14ac:dyDescent="0.35">
      <c r="A69" t="s">
        <v>480</v>
      </c>
      <c r="B69" s="186" t="s">
        <v>462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480</v>
      </c>
      <c r="B70" s="186" t="s">
        <v>463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480</v>
      </c>
      <c r="B71" s="187" t="s">
        <v>464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186" t="s">
        <v>457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186" t="s">
        <v>458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186" t="s">
        <v>459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186" t="s">
        <v>460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186" t="s">
        <v>461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186" t="s">
        <v>462</v>
      </c>
      <c r="C77" t="str">
        <f>IF(PedPrtAfspr!D20&lt;&gt;0,PedPrtAfspr!C20&amp;": "&amp;PedPrtAfspr!D20,"")</f>
        <v/>
      </c>
    </row>
    <row r="78" spans="1:3" x14ac:dyDescent="0.35">
      <c r="A78" t="s">
        <v>379</v>
      </c>
      <c r="B78" s="186" t="s">
        <v>457</v>
      </c>
      <c r="C78" t="str">
        <f>PedPrtAfspr!C96&amp;": "&amp;PedPrtAfspr!D96</f>
        <v>Vocht: 0 ml/kg</v>
      </c>
    </row>
    <row r="79" spans="1:3" x14ac:dyDescent="0.35">
      <c r="A79" t="s">
        <v>379</v>
      </c>
      <c r="B79" s="186" t="s">
        <v>458</v>
      </c>
      <c r="C79" t="str">
        <f>PedPrtAfspr!C97&amp;": "&amp;PedPrtAfspr!D97</f>
        <v>Eiwit: 0  gram/kg</v>
      </c>
    </row>
    <row r="80" spans="1:3" x14ac:dyDescent="0.35">
      <c r="A80" t="s">
        <v>379</v>
      </c>
      <c r="B80" s="186" t="s">
        <v>459</v>
      </c>
      <c r="C80" t="str">
        <f>PedPrtAfspr!C98&amp;": "&amp;PedPrtAfspr!D98</f>
        <v>Glucose/KH: 0 g/kg</v>
      </c>
    </row>
    <row r="81" spans="1:3" x14ac:dyDescent="0.35">
      <c r="A81" t="s">
        <v>379</v>
      </c>
      <c r="B81" s="186" t="s">
        <v>460</v>
      </c>
      <c r="C81" t="str">
        <f>PedPrtAfspr!E96&amp;": "&amp;PedPrtAfspr!F96</f>
        <v>Calorieen: 0 kCal/kg</v>
      </c>
    </row>
    <row r="82" spans="1:3" x14ac:dyDescent="0.35">
      <c r="A82" t="s">
        <v>379</v>
      </c>
      <c r="B82" s="186" t="s">
        <v>461</v>
      </c>
      <c r="C82" t="str">
        <f>PedPrtAfspr!E97&amp;": "&amp;PedPrtAfspr!F97</f>
        <v>Vet: 0 gram/kg</v>
      </c>
    </row>
    <row r="83" spans="1:3" x14ac:dyDescent="0.35">
      <c r="A83" t="s">
        <v>379</v>
      </c>
      <c r="B83" s="186" t="s">
        <v>462</v>
      </c>
      <c r="C83" t="str">
        <f>PedPrtAfspr!G96&amp;": "&amp;PedPrtAfspr!H96</f>
        <v>Kalium: 0 mmol/kg</v>
      </c>
    </row>
    <row r="84" spans="1:3" x14ac:dyDescent="0.35">
      <c r="A84" t="s">
        <v>379</v>
      </c>
      <c r="B84" s="186" t="s">
        <v>463</v>
      </c>
      <c r="C84" t="str">
        <f>PedPrtAfspr!G97&amp;": "&amp;PedPrtAfspr!H97</f>
        <v>Calcium: 0 mmol/kg</v>
      </c>
    </row>
    <row r="85" spans="1:3" x14ac:dyDescent="0.35">
      <c r="A85" t="s">
        <v>379</v>
      </c>
      <c r="B85" s="186" t="s">
        <v>464</v>
      </c>
      <c r="C85" t="str">
        <f>PedPrtAfspr!G98&amp;": "&amp;PedPrtAfspr!H98</f>
        <v>Magnesium: 0 mmol/kg</v>
      </c>
    </row>
    <row r="86" spans="1:3" x14ac:dyDescent="0.35">
      <c r="A86" t="s">
        <v>379</v>
      </c>
      <c r="B86" s="186" t="s">
        <v>465</v>
      </c>
      <c r="C86" t="str">
        <f>PedPrtAfspr!I96&amp;": "&amp;PedPrtAfspr!J96</f>
        <v>Natrium : 0 mmol/kg</v>
      </c>
    </row>
    <row r="87" spans="1:3" x14ac:dyDescent="0.35">
      <c r="A87" t="s">
        <v>379</v>
      </c>
      <c r="B87" s="186">
        <v>10</v>
      </c>
      <c r="C87" t="str">
        <f>PedPrtAfspr!I97&amp;": "&amp;PedPrtAfspr!J97</f>
        <v>Fosfaat: 0 mmol/kg</v>
      </c>
    </row>
    <row r="88" spans="1:3" x14ac:dyDescent="0.35">
      <c r="A88" s="384" t="s">
        <v>691</v>
      </c>
      <c r="B88" s="383">
        <v>6</v>
      </c>
      <c r="C88" s="385" t="str">
        <f ca="1">NeoGuiInfB!H15</f>
        <v/>
      </c>
    </row>
    <row r="89" spans="1:3" x14ac:dyDescent="0.35">
      <c r="A89" s="384" t="s">
        <v>1161</v>
      </c>
      <c r="B89" s="386" t="s">
        <v>457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35">
      <c r="A90" s="384" t="s">
        <v>1161</v>
      </c>
      <c r="B90" s="386" t="s">
        <v>458</v>
      </c>
      <c r="C90" s="383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35">
      <c r="A91" s="384" t="s">
        <v>1161</v>
      </c>
      <c r="B91" s="386" t="s">
        <v>459</v>
      </c>
      <c r="C91" s="383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35">
      <c r="A92" s="384" t="s">
        <v>1161</v>
      </c>
      <c r="B92" s="386" t="s">
        <v>460</v>
      </c>
      <c r="C92" s="383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35">
      <c r="A93" s="384" t="s">
        <v>1161</v>
      </c>
      <c r="B93" s="386" t="s">
        <v>461</v>
      </c>
      <c r="C93" s="383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35">
      <c r="A94" s="384" t="s">
        <v>1161</v>
      </c>
      <c r="B94" s="386" t="s">
        <v>462</v>
      </c>
      <c r="C94" s="383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35">
      <c r="A95" s="384" t="s">
        <v>1161</v>
      </c>
      <c r="B95" s="386" t="s">
        <v>463</v>
      </c>
      <c r="C95" s="383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35">
      <c r="A96" s="384" t="s">
        <v>1161</v>
      </c>
      <c r="B96" s="386" t="s">
        <v>464</v>
      </c>
      <c r="C96" s="383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35">
      <c r="A97" s="384" t="s">
        <v>1161</v>
      </c>
      <c r="B97" s="386" t="s">
        <v>465</v>
      </c>
      <c r="C97" s="383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35">
      <c r="A98" s="384" t="s">
        <v>1161</v>
      </c>
      <c r="B98" s="386" t="s">
        <v>694</v>
      </c>
      <c r="C98" s="383" t="str">
        <f>IF(NeoBerInfB!B32="","",NeoBerInfB!B32)</f>
        <v/>
      </c>
    </row>
    <row r="99" spans="1:7" x14ac:dyDescent="0.35">
      <c r="A99" s="384" t="s">
        <v>1161</v>
      </c>
      <c r="B99" s="386" t="s">
        <v>695</v>
      </c>
      <c r="C99" s="383" t="str">
        <f>IF(NeoBerInfB!B33="","",NeoBerInfB!B33)</f>
        <v/>
      </c>
    </row>
    <row r="100" spans="1:7" x14ac:dyDescent="0.35">
      <c r="A100" s="384" t="s">
        <v>1161</v>
      </c>
      <c r="B100" s="386" t="s">
        <v>696</v>
      </c>
      <c r="C100" s="383" t="str">
        <f>IF(NeoBerInfB!E29&lt;&gt;0, NeoGuiInfB!B42&amp;": "&amp; INDEX(tbl_Neo_Opl,NeoBerInfB!$E29,1)&amp;" " &amp; NeoGuiInfB!G42,"")</f>
        <v/>
      </c>
    </row>
    <row r="101" spans="1:7" x14ac:dyDescent="0.35">
      <c r="A101" s="384" t="s">
        <v>1161</v>
      </c>
      <c r="B101" s="386" t="s">
        <v>792</v>
      </c>
      <c r="C101" s="383" t="str">
        <f>IF(NeoBerInfB!E30&lt;&gt;0, NeoGuiInfB!B43&amp;": "&amp; INDEX(tbl_Neo_Opl,NeoBerInfB!$E30,1)&amp;" " &amp; NeoGuiInfB!G43,"")</f>
        <v/>
      </c>
    </row>
    <row r="102" spans="1:7" x14ac:dyDescent="0.35">
      <c r="A102" s="384" t="s">
        <v>1161</v>
      </c>
      <c r="B102" s="386" t="s">
        <v>793</v>
      </c>
      <c r="C102" s="383" t="str">
        <f>IF(NeoBerInfB!E31&lt;&gt;0, NeoGuiInfB!B44&amp;": "&amp; INDEX(tbl_Neo_Opl,NeoBerInfB!$E31,1)&amp;" " &amp; NeoGuiInfB!G44,"")</f>
        <v/>
      </c>
    </row>
    <row r="103" spans="1:7" x14ac:dyDescent="0.35">
      <c r="A103" s="384" t="s">
        <v>1161</v>
      </c>
      <c r="B103" s="386" t="s">
        <v>1126</v>
      </c>
      <c r="C103" s="383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384" t="s">
        <v>1161</v>
      </c>
      <c r="B104" s="386" t="s">
        <v>1149</v>
      </c>
      <c r="C104" s="383" t="str">
        <f ca="1">IF(NeoBerInfB!C35&lt;&gt;0,CONCATENATE(INDEX(tbl_Neo_IntralipidSmof,_Neo_InfB_IntralipidSmof)," ",ROUNDUP(NeoBerInfB!C35/24,1)," ml/uur"),"")</f>
        <v/>
      </c>
    </row>
    <row r="105" spans="1:7" x14ac:dyDescent="0.35">
      <c r="A105" s="384" t="s">
        <v>1161</v>
      </c>
      <c r="B105" s="386" t="s">
        <v>1150</v>
      </c>
      <c r="C105" s="383" t="str">
        <f ca="1">IF(Var_Neo_WerkbriefActueelTPNStand&lt;&gt;"",CONCATENATE("TPN: ",Var_Neo_WerkbriefActueelTPNStand, " ml/uur"),"")</f>
        <v/>
      </c>
      <c r="D105" s="383"/>
    </row>
    <row r="106" spans="1:7" x14ac:dyDescent="0.35">
      <c r="A106" s="384" t="s">
        <v>1161</v>
      </c>
      <c r="B106" s="386" t="s">
        <v>1151</v>
      </c>
      <c r="C106" s="383" t="str">
        <f ca="1">IF(Var_Neo_WerkbriefActueelTPNStand&lt;&gt;"",CONCATENATE("TPN Totaal: ",Var_Neo_WerkbriefActueelTPNTotaalGeheel,",", Var_Neo_WerkbriefActueelTPNTotaalBreuk, " ml"),"")</f>
        <v/>
      </c>
      <c r="D106" s="383"/>
    </row>
    <row r="107" spans="1:7" s="383" customFormat="1" x14ac:dyDescent="0.35">
      <c r="A107" s="384" t="s">
        <v>1161</v>
      </c>
      <c r="B107" s="386" t="s">
        <v>1152</v>
      </c>
      <c r="C107" s="383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83" customFormat="1" x14ac:dyDescent="0.35">
      <c r="A108" s="384" t="s">
        <v>1161</v>
      </c>
      <c r="B108" s="386" t="s">
        <v>1153</v>
      </c>
      <c r="C108" s="383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83" customFormat="1" x14ac:dyDescent="0.35">
      <c r="A109" s="384" t="s">
        <v>1161</v>
      </c>
      <c r="B109" s="386" t="s">
        <v>1154</v>
      </c>
      <c r="C109" s="383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83" customFormat="1" x14ac:dyDescent="0.35">
      <c r="A110" s="384" t="s">
        <v>1161</v>
      </c>
      <c r="B110" s="386" t="s">
        <v>1155</v>
      </c>
      <c r="C110" s="383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83" customFormat="1" x14ac:dyDescent="0.35">
      <c r="A111" s="384" t="s">
        <v>1161</v>
      </c>
      <c r="B111" s="386" t="s">
        <v>1156</v>
      </c>
      <c r="C111" s="383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83" customFormat="1" x14ac:dyDescent="0.35">
      <c r="A112" s="384" t="s">
        <v>1161</v>
      </c>
      <c r="B112" s="386" t="s">
        <v>1157</v>
      </c>
      <c r="C112" s="383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384" t="s">
        <v>1161</v>
      </c>
      <c r="B113" s="386" t="s">
        <v>1158</v>
      </c>
      <c r="C113" s="383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83"/>
      <c r="F113" s="383"/>
      <c r="G113" s="383"/>
    </row>
    <row r="114" spans="1:7" x14ac:dyDescent="0.35">
      <c r="A114" s="384" t="s">
        <v>1161</v>
      </c>
      <c r="B114" s="386" t="s">
        <v>1159</v>
      </c>
      <c r="C114" s="383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83"/>
      <c r="F114" s="383"/>
      <c r="G114" s="383"/>
    </row>
    <row r="115" spans="1:7" x14ac:dyDescent="0.35">
      <c r="A115" s="384" t="s">
        <v>1161</v>
      </c>
      <c r="B115" s="386" t="s">
        <v>1160</v>
      </c>
      <c r="C115" s="383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83"/>
      <c r="F115" s="383"/>
      <c r="G115" s="383"/>
    </row>
    <row r="116" spans="1:7" s="383" customFormat="1" x14ac:dyDescent="0.35">
      <c r="A116" s="384" t="s">
        <v>1162</v>
      </c>
      <c r="B116" s="386" t="s">
        <v>457</v>
      </c>
      <c r="C116" s="383" t="str">
        <f>IF(Var_Neo_InfB_Voeding_02&lt;&gt;"",Var_Neo_InfB_Voeding_02,"")</f>
        <v>Voeding: MM of Nenatal 1</v>
      </c>
      <c r="D116"/>
      <c r="E116"/>
    </row>
    <row r="117" spans="1:7" s="383" customFormat="1" x14ac:dyDescent="0.35">
      <c r="A117" s="384" t="s">
        <v>1162</v>
      </c>
      <c r="B117" s="386" t="s">
        <v>458</v>
      </c>
      <c r="C117" s="383" t="str">
        <f>IF(Var_Neo_InfB_Voeding_03&lt;&gt;"",Var_Neo_InfB_Voeding_03,"")</f>
        <v>Hoeveelheid 1:  0 maal 0 ml</v>
      </c>
      <c r="D117"/>
      <c r="E117"/>
    </row>
    <row r="118" spans="1:7" x14ac:dyDescent="0.35">
      <c r="A118" s="384" t="s">
        <v>1162</v>
      </c>
      <c r="B118" s="386" t="s">
        <v>459</v>
      </c>
      <c r="C118" s="383" t="str">
        <f>IF(Var_Neo_InfB_Voeding_04&lt;&gt;"",Var_Neo_InfB_Voeding_04,"")</f>
        <v>Hoeveelheid 2:  0 maal 0 ml</v>
      </c>
    </row>
    <row r="119" spans="1:7" x14ac:dyDescent="0.35">
      <c r="A119" s="384" t="s">
        <v>1162</v>
      </c>
      <c r="B119" s="386" t="s">
        <v>460</v>
      </c>
      <c r="C119" s="383" t="str">
        <f>IF(Var_Neo_InfB_Voeding_05&lt;&gt;"",Var_Neo_InfB_Voeding_05,"")</f>
        <v/>
      </c>
    </row>
    <row r="120" spans="1:7" s="383" customFormat="1" x14ac:dyDescent="0.35">
      <c r="A120" s="384" t="s">
        <v>1162</v>
      </c>
      <c r="B120" s="386" t="s">
        <v>461</v>
      </c>
      <c r="C120" s="383" t="str">
        <f>IF(Var_Neo_InfB_Voeding_06&lt;&gt;"",Var_Neo_InfB_Voeding_06,"")</f>
        <v/>
      </c>
    </row>
    <row r="121" spans="1:7" x14ac:dyDescent="0.35">
      <c r="A121" s="384" t="s">
        <v>1162</v>
      </c>
      <c r="B121" s="386" t="s">
        <v>462</v>
      </c>
      <c r="C121" s="383" t="str">
        <f>IF(Var_Neo_InfB_Voeding_07&lt;&gt;"",Var_Neo_InfB_Voeding_07,"")</f>
        <v/>
      </c>
      <c r="D121" s="383"/>
      <c r="E121" s="383"/>
    </row>
    <row r="122" spans="1:7" x14ac:dyDescent="0.35">
      <c r="A122" s="384" t="s">
        <v>1162</v>
      </c>
      <c r="B122" s="386" t="s">
        <v>463</v>
      </c>
      <c r="C122" s="383" t="str">
        <f>IF(Var_Neo_InfB_Voeding_08&lt;&gt;"",Var_Neo_InfB_Voeding_08,"")</f>
        <v/>
      </c>
      <c r="D122" s="383"/>
      <c r="E122" s="383"/>
    </row>
    <row r="123" spans="1:7" x14ac:dyDescent="0.35">
      <c r="A123" s="384" t="s">
        <v>1162</v>
      </c>
      <c r="B123" s="386" t="s">
        <v>464</v>
      </c>
      <c r="C123" s="383" t="str">
        <f>IF(Var_Neo_InfB_Voeding_09&lt;&gt;"",Var_Neo_InfB_Voeding_09,"")</f>
        <v/>
      </c>
      <c r="D123" s="383"/>
      <c r="E123" s="383"/>
    </row>
    <row r="124" spans="1:7" s="383" customFormat="1" x14ac:dyDescent="0.35">
      <c r="A124" s="384" t="s">
        <v>1162</v>
      </c>
      <c r="B124" s="386" t="s">
        <v>465</v>
      </c>
      <c r="C124" s="383" t="str">
        <f>IF(Var_Neo_InfB_Voeding_10&lt;&gt;"",Var_Neo_InfB_Voeding_10,"")</f>
        <v/>
      </c>
      <c r="F124"/>
      <c r="G124"/>
    </row>
    <row r="125" spans="1:7" x14ac:dyDescent="0.35">
      <c r="A125" s="384" t="s">
        <v>1162</v>
      </c>
      <c r="B125" s="386" t="s">
        <v>694</v>
      </c>
      <c r="C125" s="383" t="str">
        <f>IF(Var_Neo_InfB_Voeding_11&lt;&gt;"",Var_Neo_InfB_Voeding_11,"")</f>
        <v/>
      </c>
      <c r="D125" s="383"/>
      <c r="E125" s="383"/>
    </row>
    <row r="126" spans="1:7" x14ac:dyDescent="0.35">
      <c r="A126" s="384" t="s">
        <v>1162</v>
      </c>
      <c r="B126" s="386" t="s">
        <v>695</v>
      </c>
      <c r="C126" s="383" t="str">
        <f>IF(Var_Neo_InfB_Voeding_12&lt;&gt;"",Var_Neo_InfB_Voeding_12,"")</f>
        <v/>
      </c>
      <c r="D126" s="383"/>
      <c r="E126" s="383"/>
    </row>
    <row r="127" spans="1:7" x14ac:dyDescent="0.35">
      <c r="A127" s="384" t="s">
        <v>1162</v>
      </c>
      <c r="B127" s="386" t="s">
        <v>696</v>
      </c>
      <c r="C127" s="383" t="str">
        <f>IF(Var_Neo_InfB_Voeding_13&lt;&gt;"",Var_Neo_InfB_Voeding_13,"")</f>
        <v/>
      </c>
      <c r="D127" s="383"/>
      <c r="E127" s="383"/>
      <c r="F127" s="383"/>
      <c r="G127" s="383"/>
    </row>
    <row r="128" spans="1:7" x14ac:dyDescent="0.35">
      <c r="A128" s="384" t="s">
        <v>763</v>
      </c>
      <c r="B128" s="386" t="s">
        <v>457</v>
      </c>
      <c r="C128" t="str">
        <f>IF(NeoGuiAfspr!C45="","",CONCATENATE(NeoGuiAfspr!B45,": ",NeoGuiAfspr!C45))</f>
        <v/>
      </c>
      <c r="E128" s="384"/>
    </row>
    <row r="129" spans="1:5" x14ac:dyDescent="0.35">
      <c r="A129" s="384" t="s">
        <v>763</v>
      </c>
      <c r="B129" s="386" t="s">
        <v>458</v>
      </c>
      <c r="C129" s="383" t="str">
        <f>IF(NeoGuiAfspr!C46="","",CONCATENATE(NeoGuiAfspr!B46,": ",NeoGuiAfspr!C46))</f>
        <v/>
      </c>
      <c r="E129" s="384"/>
    </row>
    <row r="130" spans="1:5" s="383" customFormat="1" x14ac:dyDescent="0.35">
      <c r="A130" s="384" t="s">
        <v>763</v>
      </c>
      <c r="B130" s="386" t="s">
        <v>459</v>
      </c>
      <c r="C130" s="383" t="str">
        <f>IF(NeoGuiAfspr!C47="","",CONCATENATE(NeoGuiAfspr!B47,": ",NeoGuiAfspr!C47))</f>
        <v/>
      </c>
      <c r="E130" s="384"/>
    </row>
    <row r="131" spans="1:5" s="383" customFormat="1" x14ac:dyDescent="0.35">
      <c r="A131" s="384" t="s">
        <v>763</v>
      </c>
      <c r="B131" s="386" t="s">
        <v>460</v>
      </c>
      <c r="C131" s="383" t="str">
        <f>IF(NeoGuiAfspr!C48="","",CONCATENATE(NeoGuiAfspr!B48,": ",NeoGuiAfspr!C48))</f>
        <v/>
      </c>
      <c r="D131"/>
      <c r="E131" s="384"/>
    </row>
    <row r="132" spans="1:5" x14ac:dyDescent="0.35">
      <c r="A132" s="384" t="s">
        <v>763</v>
      </c>
      <c r="B132" s="386" t="s">
        <v>461</v>
      </c>
      <c r="C132" s="383" t="str">
        <f>IF(NeoGuiAfspr!C49="","",CONCATENATE(NeoGuiAfspr!B49,": ",NeoGuiAfspr!C49))</f>
        <v/>
      </c>
      <c r="E132" s="384"/>
    </row>
    <row r="133" spans="1:5" x14ac:dyDescent="0.35">
      <c r="A133" s="383" t="s">
        <v>692</v>
      </c>
      <c r="B133" s="386" t="s">
        <v>457</v>
      </c>
      <c r="C133" s="383" t="str">
        <f>IF(NeoGuiInfB!D65&lt;&gt;"",NeoGuiInfB!C65&amp;": "&amp;NeoGuiInfB!D65,"")</f>
        <v/>
      </c>
    </row>
    <row r="134" spans="1:5" x14ac:dyDescent="0.35">
      <c r="A134" s="383" t="s">
        <v>692</v>
      </c>
      <c r="B134" s="386" t="s">
        <v>458</v>
      </c>
      <c r="C134" s="383" t="str">
        <f>IF(NeoGuiInfB!D66&lt;&gt;"",NeoGuiInfB!C66&amp;": "&amp;NeoGuiInfB!D66,"")</f>
        <v/>
      </c>
    </row>
    <row r="135" spans="1:5" x14ac:dyDescent="0.35">
      <c r="A135" s="383" t="s">
        <v>692</v>
      </c>
      <c r="B135" s="386" t="s">
        <v>459</v>
      </c>
      <c r="C135" s="383" t="str">
        <f>IF(NeoGuiInfB!D67&lt;&gt;"",NeoGuiInfB!C67&amp;": "&amp;NeoGuiInfB!D67,"")</f>
        <v/>
      </c>
    </row>
    <row r="136" spans="1:5" x14ac:dyDescent="0.35">
      <c r="A136" s="383" t="s">
        <v>692</v>
      </c>
      <c r="B136" s="386" t="s">
        <v>460</v>
      </c>
      <c r="C136" s="383" t="str">
        <f>IF(NeoGuiInfB!D68&lt;&gt;"",NeoGuiInfB!C68&amp;": "&amp;NeoGuiInfB!D68,"")</f>
        <v/>
      </c>
    </row>
    <row r="137" spans="1:5" x14ac:dyDescent="0.35">
      <c r="A137" s="383" t="s">
        <v>692</v>
      </c>
      <c r="B137" s="386" t="s">
        <v>461</v>
      </c>
      <c r="C137" s="383" t="str">
        <f>IF(NeoGuiInfB!D69&lt;&gt;"",NeoGuiInfB!C69&amp;": "&amp;NeoGuiInfB!D69,"")</f>
        <v/>
      </c>
      <c r="D137" s="383"/>
      <c r="E137" s="383"/>
    </row>
    <row r="138" spans="1:5" x14ac:dyDescent="0.35">
      <c r="A138" s="383" t="s">
        <v>692</v>
      </c>
      <c r="B138" s="386" t="s">
        <v>462</v>
      </c>
      <c r="C138" s="383" t="str">
        <f>IF(NeoGuiInfB!D70&lt;&gt;"",NeoGuiInfB!C70&amp;": "&amp;NeoGuiInfB!D70,"")</f>
        <v/>
      </c>
    </row>
    <row r="139" spans="1:5" x14ac:dyDescent="0.35">
      <c r="A139" s="383" t="s">
        <v>692</v>
      </c>
      <c r="B139" s="386" t="s">
        <v>463</v>
      </c>
      <c r="C139" s="383" t="str">
        <f>IF(NeoGuiInfB!D71&lt;&gt;"",NeoGuiInfB!C71&amp;" "&amp;NeoGuiInfB!D71,"")</f>
        <v/>
      </c>
    </row>
    <row r="140" spans="1:5" x14ac:dyDescent="0.35">
      <c r="A140" s="383" t="s">
        <v>692</v>
      </c>
      <c r="B140" s="386" t="s">
        <v>464</v>
      </c>
      <c r="C140" s="383" t="str">
        <f>IF(NeoGuiInfB!D72&lt;&gt;"",NeoGuiInfB!C72&amp;" "&amp;NeoGuiInfB!D72,"")</f>
        <v/>
      </c>
      <c r="D140" s="383"/>
      <c r="E140" s="383"/>
    </row>
    <row r="141" spans="1:5" x14ac:dyDescent="0.35">
      <c r="A141" s="383" t="s">
        <v>692</v>
      </c>
      <c r="B141" s="386" t="s">
        <v>465</v>
      </c>
      <c r="C141" s="383" t="str">
        <f>IF(NeoGuiInfB!D73&lt;&gt;"",NeoGuiInfB!C73&amp;" "&amp;NeoGuiInfB!D73,"")</f>
        <v/>
      </c>
      <c r="D141" s="383"/>
      <c r="E141" s="383"/>
    </row>
    <row r="142" spans="1:5" x14ac:dyDescent="0.35">
      <c r="A142" s="383" t="s">
        <v>693</v>
      </c>
      <c r="B142" s="386" t="s">
        <v>457</v>
      </c>
      <c r="C142" s="384" t="str">
        <f ca="1">CONCATENATE(NeoGuiInfB!B3,"        : ",NeoGuiInfB!$C$2," - ",NeoGuiInfB!C3,"; ",NeoGuiInfB!$D$2," - ",NeoGuiInfB!D3,"; ",NeoGuiInfB!$E$2," - ",NeoGuiInfB!E3,";")</f>
        <v>Volume        : Intraveneus - 0 ml/kg; Oraal - 0 ml/kg; Totaal - 0 ml/kg  = 0 ml;</v>
      </c>
    </row>
    <row r="143" spans="1:5" x14ac:dyDescent="0.35">
      <c r="A143" s="383" t="s">
        <v>693</v>
      </c>
      <c r="B143" s="386" t="s">
        <v>458</v>
      </c>
      <c r="C143" s="384" t="str">
        <f ca="1">CONCATENATE(NeoGuiInfB!B4,"            : ",NeoGuiInfB!C2," - ",NeoGuiInfB!C4,"; ",NeoGuiInfB!$D$2," - ",NeoGuiInfB!D4,"; ",NeoGuiInfB!$E$2," - ",NeoGuiInfB!E4,";")</f>
        <v>Eiwit            : Intraveneus - 0 g/kg; Oraal - 0 g/kg; Totaal - 0 g/kg;</v>
      </c>
    </row>
    <row r="144" spans="1:5" x14ac:dyDescent="0.35">
      <c r="A144" s="383" t="s">
        <v>693</v>
      </c>
      <c r="B144" s="386" t="s">
        <v>459</v>
      </c>
      <c r="C144" s="384" t="str">
        <f ca="1">CONCATENATE(NeoGuiInfB!B5,"              : ",NeoGuiInfB!$C$2," - ",NeoGuiInfB!C5,"; ",NeoGuiInfB!$D$2," - ",NeoGuiInfB!D5,"; ",NeoGuiInfB!$E$2," - ",NeoGuiInfB!E5,";")</f>
        <v>Vet              : Intraveneus - 0 g/kg; Oraal - 0 g/kg; Totaal - 0 g/kg;</v>
      </c>
    </row>
    <row r="145" spans="1:3" x14ac:dyDescent="0.35">
      <c r="A145" s="383" t="s">
        <v>693</v>
      </c>
      <c r="B145" s="386" t="s">
        <v>460</v>
      </c>
      <c r="C145" s="384" t="str">
        <f>CONCATENATE(NeoGuiInfB!B6,"       : ",NeoGuiInfB!$C$2," - ",NeoGuiInfB!C6,"; ",NeoGuiInfB!$D$2," - ",NeoGuiInfB!D6,"; ",NeoGuiInfB!$E$2," - ",NeoGuiInfB!E6,";")</f>
        <v>Glucose       : Intraveneus - 0 mg/kg/min; Oraal - 0 mg/kg/min; Totaal - 0 mg/kg/min;</v>
      </c>
    </row>
    <row r="146" spans="1:3" x14ac:dyDescent="0.35">
      <c r="A146" s="383" t="s">
        <v>693</v>
      </c>
      <c r="B146" s="386" t="s">
        <v>461</v>
      </c>
      <c r="C146" s="384" t="str">
        <f ca="1">CONCATENATE(NeoGuiInfB!B7,"        : ",NeoGuiInfB!$C$2," - ",NeoGuiInfB!C7,"; ",NeoGuiInfB!$D$2," - ",NeoGuiInfB!D7,"; ",NeoGuiInfB!$E$2," - ",NeoGuiInfB!E7,";")</f>
        <v>Energie        : Intraveneus - 0 kcal/kg; Oraal - 0 kcal/kg; Totaal - 0 kcal/kg;</v>
      </c>
    </row>
    <row r="147" spans="1:3" x14ac:dyDescent="0.35">
      <c r="A147" s="383" t="s">
        <v>693</v>
      </c>
      <c r="B147" s="386" t="s">
        <v>462</v>
      </c>
      <c r="C147" s="384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35">
      <c r="A148" s="383" t="s">
        <v>693</v>
      </c>
      <c r="B148" s="386" t="s">
        <v>463</v>
      </c>
      <c r="C148" s="384" t="str">
        <f ca="1">CONCATENATE(NeoGuiInfB!G3,"        : ",NeoGuiInfB!$H$2," - ",NeoGuiInfB!H3,"; ",NeoGuiInfB!$I$2," - ",NeoGuiInfB!I3,"; ",NeoGuiInfB!$J$2," - ",NeoGuiInfB!J3,";")</f>
        <v>Natrium        : Intraveneus - 0 mmol/kg; Oraal - 0 mmol/kg; Totaal - 0 mmol/kg;</v>
      </c>
    </row>
    <row r="149" spans="1:3" x14ac:dyDescent="0.35">
      <c r="A149" s="383" t="s">
        <v>693</v>
      </c>
      <c r="B149" s="386" t="s">
        <v>464</v>
      </c>
      <c r="C149" s="384" t="str">
        <f ca="1">CONCATENATE(NeoGuiInfB!G4,"         : ",NeoGuiInfB!$H$2," - ",NeoGuiInfB!H4,"; ",NeoGuiInfB!$I$2," - ",NeoGuiInfB!I4,"; ",NeoGuiInfB!$J$2," - ",NeoGuiInfB!J4,";")</f>
        <v>Kalium         : Intraveneus - 0 mmol/kg; Oraal - 0 mmol/kg; Totaal - 0 mmol/kg;</v>
      </c>
    </row>
    <row r="150" spans="1:3" x14ac:dyDescent="0.35">
      <c r="A150" s="383" t="s">
        <v>693</v>
      </c>
      <c r="B150" s="386" t="s">
        <v>465</v>
      </c>
      <c r="C150" s="384" t="str">
        <f ca="1">CONCATENATE(NeoGuiInfB!G5,"       : ",NeoGuiInfB!$H$2," - ",NeoGuiInfB!H5,"; ",NeoGuiInfB!$I$2," - ",NeoGuiInfB!I5,"; ",NeoGuiInfB!$J$2," - ",NeoGuiInfB!J5,";")</f>
        <v>Calcium       : Intraveneus - 0 mmol/kg; Oraal - 0 mmol/kg; Totaal - 0 mmol/kg;</v>
      </c>
    </row>
    <row r="151" spans="1:3" x14ac:dyDescent="0.35">
      <c r="A151" s="383" t="s">
        <v>693</v>
      </c>
      <c r="B151" s="387" t="s">
        <v>694</v>
      </c>
      <c r="C151" s="384" t="str">
        <f ca="1">CONCATENATE(NeoGuiInfB!G6,"  : ",NeoGuiInfB!$H$2," - ",NeoGuiInfB!H6,"; ",NeoGuiInfB!$I$2," - ",NeoGuiInfB!I6,"; ",NeoGuiInfB!$J$2," - ",NeoGuiInfB!J6,";")</f>
        <v>Magnesium  : Intraveneus - 0 mmol/kg; Oraal - 0 mmol/kg; Totaal - 0 mmol/kg;</v>
      </c>
    </row>
    <row r="152" spans="1:3" x14ac:dyDescent="0.35">
      <c r="A152" s="383" t="s">
        <v>693</v>
      </c>
      <c r="B152" s="387" t="s">
        <v>695</v>
      </c>
      <c r="C152" s="384" t="str">
        <f ca="1">CONCATENATE(NeoGuiInfB!G7,"          : ",NeoGuiInfB!$H$2," - ",NeoGuiInfB!H7,"; ",NeoGuiInfB!$I$2," - ",NeoGuiInfB!I7,"; ",NeoGuiInfB!$J$2," - ",NeoGuiInfB!J7,";")</f>
        <v>Chloor          : Intraveneus - 0 mmol/kg; Oraal - 0 mmol/kg; Totaal - 0 mmol/kg;</v>
      </c>
    </row>
    <row r="153" spans="1:3" x14ac:dyDescent="0.35">
      <c r="A153" s="383" t="s">
        <v>693</v>
      </c>
      <c r="B153" s="387" t="s">
        <v>696</v>
      </c>
      <c r="C153" s="384" t="str">
        <f>CONCATENATE(NeoGuiInfB!G8,"         : ",NeoGuiInfB!$H$2," - ",NeoGuiInfB!H8,"; ",NeoGuiInfB!$I$2," - ",NeoGuiInfB!I8,"; ",NeoGuiInfB!$J$2," - ",NeoGuiInfB!J8,";")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12"/>
  <sheetViews>
    <sheetView tabSelected="1" zoomScaleNormal="100" workbookViewId="0">
      <pane xSplit="1" ySplit="1" topLeftCell="B833" activePane="bottomRight" state="frozen"/>
      <selection activeCell="C22" sqref="C22"/>
      <selection pane="topRight" activeCell="C22" sqref="C22"/>
      <selection pane="bottomLeft" activeCell="C22" sqref="C22"/>
      <selection pane="bottomRight" activeCell="B396" sqref="B39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435" t="s">
        <v>172</v>
      </c>
      <c r="B1" t="s">
        <v>173</v>
      </c>
      <c r="C1" s="384" t="s">
        <v>2683</v>
      </c>
    </row>
    <row r="2" spans="1:6" x14ac:dyDescent="0.35">
      <c r="A2" s="383" t="s">
        <v>1221</v>
      </c>
      <c r="B2" s="383">
        <f>PatDetails!$B$1</f>
        <v>0</v>
      </c>
    </row>
    <row r="3" spans="1:6" x14ac:dyDescent="0.35">
      <c r="A3" s="383" t="s">
        <v>1222</v>
      </c>
      <c r="B3" s="383">
        <f>PatDetails!$B$2</f>
        <v>0</v>
      </c>
    </row>
    <row r="4" spans="1:6" x14ac:dyDescent="0.35">
      <c r="A4" s="383" t="s">
        <v>1223</v>
      </c>
      <c r="B4" s="383">
        <f>PatDetails!$B$3</f>
        <v>0</v>
      </c>
    </row>
    <row r="5" spans="1:6" x14ac:dyDescent="0.35">
      <c r="A5" s="383" t="s">
        <v>1224</v>
      </c>
      <c r="B5" s="383">
        <f>PatDetails!$B$4</f>
        <v>0</v>
      </c>
    </row>
    <row r="6" spans="1:6" x14ac:dyDescent="0.35">
      <c r="A6" s="383" t="s">
        <v>1225</v>
      </c>
      <c r="B6" s="27">
        <f>PatDetails!$B$5</f>
        <v>0</v>
      </c>
      <c r="C6">
        <v>0</v>
      </c>
    </row>
    <row r="7" spans="1:6" x14ac:dyDescent="0.35">
      <c r="A7" s="383" t="s">
        <v>2686</v>
      </c>
      <c r="B7">
        <f>GlobBerMedDisc!$AF$2</f>
        <v>0</v>
      </c>
    </row>
    <row r="8" spans="1:6" x14ac:dyDescent="0.35">
      <c r="A8" s="383" t="s">
        <v>2687</v>
      </c>
      <c r="B8">
        <f>GlobBerMedDisc!$AF$3</f>
        <v>0</v>
      </c>
    </row>
    <row r="9" spans="1:6" x14ac:dyDescent="0.35">
      <c r="A9" s="383" t="s">
        <v>2688</v>
      </c>
      <c r="B9">
        <f>GlobBerMedDisc!$AF$4</f>
        <v>0</v>
      </c>
    </row>
    <row r="10" spans="1:6" x14ac:dyDescent="0.35">
      <c r="A10" s="383" t="s">
        <v>2689</v>
      </c>
      <c r="B10">
        <f>GlobBerMedDisc!$AF$5</f>
        <v>0</v>
      </c>
    </row>
    <row r="11" spans="1:6" x14ac:dyDescent="0.35">
      <c r="A11" s="383" t="s">
        <v>2690</v>
      </c>
      <c r="B11">
        <f>GlobBerMedDisc!$AF$6</f>
        <v>0</v>
      </c>
    </row>
    <row r="12" spans="1:6" x14ac:dyDescent="0.35">
      <c r="A12" s="383" t="s">
        <v>2691</v>
      </c>
      <c r="B12">
        <f>GlobBerMedDisc!$AF$7</f>
        <v>0</v>
      </c>
    </row>
    <row r="13" spans="1:6" x14ac:dyDescent="0.35">
      <c r="A13" s="383" t="s">
        <v>2692</v>
      </c>
      <c r="B13">
        <f>GlobBerMedDisc!$AF$8</f>
        <v>0</v>
      </c>
      <c r="F13" s="383"/>
    </row>
    <row r="14" spans="1:6" x14ac:dyDescent="0.35">
      <c r="A14" s="383" t="s">
        <v>2693</v>
      </c>
      <c r="B14">
        <f>GlobBerMedDisc!$AF$9</f>
        <v>0</v>
      </c>
    </row>
    <row r="15" spans="1:6" x14ac:dyDescent="0.35">
      <c r="A15" s="383" t="s">
        <v>2694</v>
      </c>
      <c r="B15">
        <f>GlobBerMedDisc!$AF$10</f>
        <v>0</v>
      </c>
    </row>
    <row r="16" spans="1:6" x14ac:dyDescent="0.35">
      <c r="A16" s="383" t="s">
        <v>2695</v>
      </c>
      <c r="B16">
        <f>GlobBerMedDisc!$AF$11</f>
        <v>0</v>
      </c>
    </row>
    <row r="17" spans="1:2" x14ac:dyDescent="0.35">
      <c r="A17" s="383" t="s">
        <v>2696</v>
      </c>
      <c r="B17">
        <f>GlobBerMedDisc!$AF$12</f>
        <v>0</v>
      </c>
    </row>
    <row r="18" spans="1:2" x14ac:dyDescent="0.35">
      <c r="A18" s="383" t="s">
        <v>2697</v>
      </c>
      <c r="B18">
        <f>GlobBerMedDisc!$AF$13</f>
        <v>0</v>
      </c>
    </row>
    <row r="19" spans="1:2" x14ac:dyDescent="0.35">
      <c r="A19" s="383" t="s">
        <v>2698</v>
      </c>
      <c r="B19">
        <f>GlobBerMedDisc!$AF$14</f>
        <v>0</v>
      </c>
    </row>
    <row r="20" spans="1:2" x14ac:dyDescent="0.35">
      <c r="A20" s="383" t="s">
        <v>2699</v>
      </c>
      <c r="B20">
        <f>GlobBerMedDisc!$AF$15</f>
        <v>0</v>
      </c>
    </row>
    <row r="21" spans="1:2" x14ac:dyDescent="0.35">
      <c r="A21" s="383" t="s">
        <v>2700</v>
      </c>
      <c r="B21">
        <f>GlobBerMedDisc!$AF$16</f>
        <v>0</v>
      </c>
    </row>
    <row r="22" spans="1:2" x14ac:dyDescent="0.35">
      <c r="A22" s="383" t="s">
        <v>2701</v>
      </c>
      <c r="B22">
        <f>GlobBerMedDisc!$AF$17</f>
        <v>0</v>
      </c>
    </row>
    <row r="23" spans="1:2" x14ac:dyDescent="0.35">
      <c r="A23" s="383" t="s">
        <v>2702</v>
      </c>
      <c r="B23">
        <f>GlobBerMedDisc!$AF$18</f>
        <v>0</v>
      </c>
    </row>
    <row r="24" spans="1:2" x14ac:dyDescent="0.35">
      <c r="A24" s="383" t="s">
        <v>2703</v>
      </c>
      <c r="B24">
        <f>GlobBerMedDisc!$AF$19</f>
        <v>0</v>
      </c>
    </row>
    <row r="25" spans="1:2" x14ac:dyDescent="0.35">
      <c r="A25" s="383" t="s">
        <v>2704</v>
      </c>
      <c r="B25">
        <f>GlobBerMedDisc!$AF$20</f>
        <v>0</v>
      </c>
    </row>
    <row r="26" spans="1:2" x14ac:dyDescent="0.35">
      <c r="A26" s="383" t="s">
        <v>2705</v>
      </c>
      <c r="B26">
        <f>GlobBerMedDisc!$AF$21</f>
        <v>0</v>
      </c>
    </row>
    <row r="27" spans="1:2" x14ac:dyDescent="0.35">
      <c r="A27" s="383" t="s">
        <v>2706</v>
      </c>
      <c r="B27">
        <f>GlobBerMedDisc!$AF$22</f>
        <v>0</v>
      </c>
    </row>
    <row r="28" spans="1:2" x14ac:dyDescent="0.35">
      <c r="A28" s="383" t="s">
        <v>2707</v>
      </c>
      <c r="B28">
        <f>GlobBerMedDisc!$AF$23</f>
        <v>0</v>
      </c>
    </row>
    <row r="29" spans="1:2" x14ac:dyDescent="0.35">
      <c r="A29" s="383" t="s">
        <v>2708</v>
      </c>
      <c r="B29">
        <f>GlobBerMedDisc!$AF$24</f>
        <v>0</v>
      </c>
    </row>
    <row r="30" spans="1:2" x14ac:dyDescent="0.35">
      <c r="A30" s="383" t="s">
        <v>2709</v>
      </c>
      <c r="B30">
        <f>GlobBerMedDisc!$AF$25</f>
        <v>0</v>
      </c>
    </row>
    <row r="31" spans="1:2" x14ac:dyDescent="0.35">
      <c r="A31" s="383" t="s">
        <v>2710</v>
      </c>
      <c r="B31">
        <f>GlobBerMedDisc!$AF$26</f>
        <v>0</v>
      </c>
    </row>
    <row r="32" spans="1:2" x14ac:dyDescent="0.35">
      <c r="A32" s="383" t="s">
        <v>2711</v>
      </c>
      <c r="B32">
        <f>GlobBerMedDisc!$AF$27</f>
        <v>0</v>
      </c>
    </row>
    <row r="33" spans="1:6" x14ac:dyDescent="0.35">
      <c r="A33" s="383" t="s">
        <v>2712</v>
      </c>
      <c r="B33">
        <f>GlobBerMedDisc!$AF$28</f>
        <v>0</v>
      </c>
    </row>
    <row r="34" spans="1:6" x14ac:dyDescent="0.35">
      <c r="A34" s="383" t="s">
        <v>2713</v>
      </c>
      <c r="B34">
        <f>GlobBerMedDisc!$AF$29</f>
        <v>0</v>
      </c>
    </row>
    <row r="35" spans="1:6" x14ac:dyDescent="0.35">
      <c r="A35" s="383" t="s">
        <v>2714</v>
      </c>
      <c r="B35">
        <f>GlobBerMedDisc!$AF$30</f>
        <v>0</v>
      </c>
    </row>
    <row r="36" spans="1:6" x14ac:dyDescent="0.35">
      <c r="A36" s="383" t="s">
        <v>2715</v>
      </c>
      <c r="B36">
        <f>GlobBerMedDisc!$AF$31</f>
        <v>0</v>
      </c>
    </row>
    <row r="37" spans="1:6" x14ac:dyDescent="0.35">
      <c r="A37" s="383" t="s">
        <v>2716</v>
      </c>
      <c r="B37">
        <f>GlobBerMedDisc!$F$2</f>
        <v>0</v>
      </c>
    </row>
    <row r="38" spans="1:6" x14ac:dyDescent="0.35">
      <c r="A38" s="383" t="s">
        <v>2717</v>
      </c>
      <c r="B38">
        <f>GlobBerMedDisc!$F$3</f>
        <v>0</v>
      </c>
    </row>
    <row r="39" spans="1:6" x14ac:dyDescent="0.35">
      <c r="A39" s="383" t="s">
        <v>2718</v>
      </c>
      <c r="B39">
        <f>GlobBerMedDisc!$F$4</f>
        <v>0</v>
      </c>
    </row>
    <row r="40" spans="1:6" x14ac:dyDescent="0.35">
      <c r="A40" s="383" t="s">
        <v>2719</v>
      </c>
      <c r="B40">
        <f>GlobBerMedDisc!$F$5</f>
        <v>0</v>
      </c>
      <c r="F40" s="383"/>
    </row>
    <row r="41" spans="1:6" x14ac:dyDescent="0.35">
      <c r="A41" s="383" t="s">
        <v>2720</v>
      </c>
      <c r="B41">
        <f>GlobBerMedDisc!$F$6</f>
        <v>0</v>
      </c>
    </row>
    <row r="42" spans="1:6" x14ac:dyDescent="0.35">
      <c r="A42" s="383" t="s">
        <v>2721</v>
      </c>
      <c r="B42">
        <f>GlobBerMedDisc!$F$7</f>
        <v>0</v>
      </c>
    </row>
    <row r="43" spans="1:6" x14ac:dyDescent="0.35">
      <c r="A43" s="383" t="s">
        <v>2722</v>
      </c>
      <c r="B43">
        <f>GlobBerMedDisc!$F$8</f>
        <v>0</v>
      </c>
    </row>
    <row r="44" spans="1:6" x14ac:dyDescent="0.35">
      <c r="A44" s="383" t="s">
        <v>2723</v>
      </c>
      <c r="B44">
        <f>GlobBerMedDisc!$F$9</f>
        <v>0</v>
      </c>
    </row>
    <row r="45" spans="1:6" x14ac:dyDescent="0.35">
      <c r="A45" s="383" t="s">
        <v>2724</v>
      </c>
      <c r="B45">
        <f>GlobBerMedDisc!$F$10</f>
        <v>0</v>
      </c>
    </row>
    <row r="46" spans="1:6" x14ac:dyDescent="0.35">
      <c r="A46" s="383" t="s">
        <v>2725</v>
      </c>
      <c r="B46">
        <f>GlobBerMedDisc!$F$11</f>
        <v>0</v>
      </c>
    </row>
    <row r="47" spans="1:6" x14ac:dyDescent="0.35">
      <c r="A47" s="383" t="s">
        <v>2726</v>
      </c>
      <c r="B47">
        <f>GlobBerMedDisc!$F$12</f>
        <v>0</v>
      </c>
    </row>
    <row r="48" spans="1:6" x14ac:dyDescent="0.35">
      <c r="A48" s="383" t="s">
        <v>2727</v>
      </c>
      <c r="B48">
        <f>GlobBerMedDisc!$F$13</f>
        <v>0</v>
      </c>
    </row>
    <row r="49" spans="1:2" x14ac:dyDescent="0.35">
      <c r="A49" s="383" t="s">
        <v>2728</v>
      </c>
      <c r="B49">
        <f>GlobBerMedDisc!$F$14</f>
        <v>0</v>
      </c>
    </row>
    <row r="50" spans="1:2" x14ac:dyDescent="0.35">
      <c r="A50" s="383" t="s">
        <v>2729</v>
      </c>
      <c r="B50">
        <f>GlobBerMedDisc!$F$15</f>
        <v>0</v>
      </c>
    </row>
    <row r="51" spans="1:2" x14ac:dyDescent="0.35">
      <c r="A51" s="383" t="s">
        <v>2730</v>
      </c>
      <c r="B51">
        <f>GlobBerMedDisc!$F$16</f>
        <v>0</v>
      </c>
    </row>
    <row r="52" spans="1:2" x14ac:dyDescent="0.35">
      <c r="A52" s="383" t="s">
        <v>2731</v>
      </c>
      <c r="B52">
        <f>GlobBerMedDisc!$F$17</f>
        <v>0</v>
      </c>
    </row>
    <row r="53" spans="1:2" x14ac:dyDescent="0.35">
      <c r="A53" s="383" t="s">
        <v>2732</v>
      </c>
      <c r="B53">
        <f>GlobBerMedDisc!$F$18</f>
        <v>0</v>
      </c>
    </row>
    <row r="54" spans="1:2" x14ac:dyDescent="0.35">
      <c r="A54" s="383" t="s">
        <v>2733</v>
      </c>
      <c r="B54">
        <f>GlobBerMedDisc!$F$19</f>
        <v>0</v>
      </c>
    </row>
    <row r="55" spans="1:2" x14ac:dyDescent="0.35">
      <c r="A55" s="383" t="s">
        <v>2734</v>
      </c>
      <c r="B55">
        <f>GlobBerMedDisc!$F$20</f>
        <v>0</v>
      </c>
    </row>
    <row r="56" spans="1:2" x14ac:dyDescent="0.35">
      <c r="A56" s="383" t="s">
        <v>2735</v>
      </c>
      <c r="B56">
        <f>GlobBerMedDisc!$F$21</f>
        <v>0</v>
      </c>
    </row>
    <row r="57" spans="1:2" x14ac:dyDescent="0.35">
      <c r="A57" s="383" t="s">
        <v>2736</v>
      </c>
      <c r="B57">
        <f>GlobBerMedDisc!$F$22</f>
        <v>0</v>
      </c>
    </row>
    <row r="58" spans="1:2" x14ac:dyDescent="0.35">
      <c r="A58" s="383" t="s">
        <v>2737</v>
      </c>
      <c r="B58">
        <f>GlobBerMedDisc!$F$23</f>
        <v>0</v>
      </c>
    </row>
    <row r="59" spans="1:2" x14ac:dyDescent="0.35">
      <c r="A59" s="383" t="s">
        <v>2738</v>
      </c>
      <c r="B59">
        <f>GlobBerMedDisc!$F$24</f>
        <v>0</v>
      </c>
    </row>
    <row r="60" spans="1:2" x14ac:dyDescent="0.35">
      <c r="A60" s="383" t="s">
        <v>2739</v>
      </c>
      <c r="B60">
        <f>GlobBerMedDisc!$F$25</f>
        <v>0</v>
      </c>
    </row>
    <row r="61" spans="1:2" x14ac:dyDescent="0.35">
      <c r="A61" s="383" t="s">
        <v>2740</v>
      </c>
      <c r="B61">
        <f>GlobBerMedDisc!$F$26</f>
        <v>0</v>
      </c>
    </row>
    <row r="62" spans="1:2" x14ac:dyDescent="0.35">
      <c r="A62" s="383" t="s">
        <v>2741</v>
      </c>
      <c r="B62">
        <f>GlobBerMedDisc!$F$27</f>
        <v>0</v>
      </c>
    </row>
    <row r="63" spans="1:2" x14ac:dyDescent="0.35">
      <c r="A63" s="383" t="s">
        <v>2742</v>
      </c>
      <c r="B63">
        <f>GlobBerMedDisc!$F$28</f>
        <v>0</v>
      </c>
    </row>
    <row r="64" spans="1:2" x14ac:dyDescent="0.35">
      <c r="A64" s="383" t="s">
        <v>2743</v>
      </c>
      <c r="B64">
        <f>GlobBerMedDisc!$F$29</f>
        <v>0</v>
      </c>
    </row>
    <row r="65" spans="1:2" x14ac:dyDescent="0.35">
      <c r="A65" s="383" t="s">
        <v>2744</v>
      </c>
      <c r="B65">
        <f>GlobBerMedDisc!$F$30</f>
        <v>0</v>
      </c>
    </row>
    <row r="66" spans="1:2" x14ac:dyDescent="0.35">
      <c r="A66" s="383" t="s">
        <v>2745</v>
      </c>
      <c r="B66">
        <f>GlobBerMedDisc!$F$31</f>
        <v>0</v>
      </c>
    </row>
    <row r="67" spans="1:2" x14ac:dyDescent="0.35">
      <c r="A67" s="383" t="s">
        <v>2746</v>
      </c>
      <c r="B67">
        <f>GlobBerMedDisc!$G$2</f>
        <v>0</v>
      </c>
    </row>
    <row r="68" spans="1:2" x14ac:dyDescent="0.35">
      <c r="A68" s="383" t="s">
        <v>2747</v>
      </c>
      <c r="B68">
        <f>GlobBerMedDisc!$G$3</f>
        <v>0</v>
      </c>
    </row>
    <row r="69" spans="1:2" x14ac:dyDescent="0.35">
      <c r="A69" s="383" t="s">
        <v>2748</v>
      </c>
      <c r="B69">
        <f>GlobBerMedDisc!$G$4</f>
        <v>0</v>
      </c>
    </row>
    <row r="70" spans="1:2" x14ac:dyDescent="0.35">
      <c r="A70" s="383" t="s">
        <v>2749</v>
      </c>
      <c r="B70">
        <f>GlobBerMedDisc!$G$5</f>
        <v>0</v>
      </c>
    </row>
    <row r="71" spans="1:2" x14ac:dyDescent="0.35">
      <c r="A71" s="383" t="s">
        <v>2750</v>
      </c>
      <c r="B71" s="383">
        <f>GlobBerMedDisc!$G$6</f>
        <v>0</v>
      </c>
    </row>
    <row r="72" spans="1:2" x14ac:dyDescent="0.35">
      <c r="A72" s="383" t="s">
        <v>2751</v>
      </c>
      <c r="B72" s="383">
        <f>GlobBerMedDisc!$G$7</f>
        <v>0</v>
      </c>
    </row>
    <row r="73" spans="1:2" x14ac:dyDescent="0.35">
      <c r="A73" s="383" t="s">
        <v>2752</v>
      </c>
      <c r="B73" s="383">
        <f>GlobBerMedDisc!$G$8</f>
        <v>0</v>
      </c>
    </row>
    <row r="74" spans="1:2" x14ac:dyDescent="0.35">
      <c r="A74" s="383" t="s">
        <v>2753</v>
      </c>
      <c r="B74" s="383">
        <f>GlobBerMedDisc!$G$9</f>
        <v>0</v>
      </c>
    </row>
    <row r="75" spans="1:2" x14ac:dyDescent="0.35">
      <c r="A75" s="383" t="s">
        <v>2754</v>
      </c>
      <c r="B75" s="383">
        <f>GlobBerMedDisc!$G$10</f>
        <v>0</v>
      </c>
    </row>
    <row r="76" spans="1:2" x14ac:dyDescent="0.35">
      <c r="A76" s="383" t="s">
        <v>2755</v>
      </c>
      <c r="B76" s="383">
        <f>GlobBerMedDisc!$G$11</f>
        <v>0</v>
      </c>
    </row>
    <row r="77" spans="1:2" x14ac:dyDescent="0.35">
      <c r="A77" s="383" t="s">
        <v>2756</v>
      </c>
      <c r="B77" s="383">
        <f>GlobBerMedDisc!$G$12</f>
        <v>0</v>
      </c>
    </row>
    <row r="78" spans="1:2" x14ac:dyDescent="0.35">
      <c r="A78" s="383" t="s">
        <v>2757</v>
      </c>
      <c r="B78" s="383">
        <f>GlobBerMedDisc!$G$13</f>
        <v>0</v>
      </c>
    </row>
    <row r="79" spans="1:2" x14ac:dyDescent="0.35">
      <c r="A79" s="383" t="s">
        <v>2758</v>
      </c>
      <c r="B79">
        <f>GlobBerMedDisc!$G$14</f>
        <v>0</v>
      </c>
    </row>
    <row r="80" spans="1:2" x14ac:dyDescent="0.35">
      <c r="A80" s="383" t="s">
        <v>2759</v>
      </c>
      <c r="B80">
        <f>GlobBerMedDisc!$G$15</f>
        <v>0</v>
      </c>
    </row>
    <row r="81" spans="1:2" x14ac:dyDescent="0.35">
      <c r="A81" s="383" t="s">
        <v>2760</v>
      </c>
      <c r="B81">
        <f>GlobBerMedDisc!$G$16</f>
        <v>0</v>
      </c>
    </row>
    <row r="82" spans="1:2" x14ac:dyDescent="0.35">
      <c r="A82" s="383" t="s">
        <v>2761</v>
      </c>
      <c r="B82">
        <f>GlobBerMedDisc!$G$17</f>
        <v>0</v>
      </c>
    </row>
    <row r="83" spans="1:2" x14ac:dyDescent="0.35">
      <c r="A83" s="383" t="s">
        <v>2762</v>
      </c>
      <c r="B83">
        <f>GlobBerMedDisc!$G$18</f>
        <v>0</v>
      </c>
    </row>
    <row r="84" spans="1:2" x14ac:dyDescent="0.35">
      <c r="A84" s="383" t="s">
        <v>2763</v>
      </c>
      <c r="B84">
        <f>GlobBerMedDisc!$G$19</f>
        <v>0</v>
      </c>
    </row>
    <row r="85" spans="1:2" x14ac:dyDescent="0.35">
      <c r="A85" s="383" t="s">
        <v>2764</v>
      </c>
      <c r="B85">
        <f>GlobBerMedDisc!$G$20</f>
        <v>0</v>
      </c>
    </row>
    <row r="86" spans="1:2" x14ac:dyDescent="0.35">
      <c r="A86" s="383" t="s">
        <v>2765</v>
      </c>
      <c r="B86">
        <f>GlobBerMedDisc!$G$21</f>
        <v>0</v>
      </c>
    </row>
    <row r="87" spans="1:2" x14ac:dyDescent="0.35">
      <c r="A87" s="383" t="s">
        <v>2766</v>
      </c>
      <c r="B87">
        <f>GlobBerMedDisc!$G$22</f>
        <v>0</v>
      </c>
    </row>
    <row r="88" spans="1:2" x14ac:dyDescent="0.35">
      <c r="A88" s="383" t="s">
        <v>2767</v>
      </c>
      <c r="B88">
        <f>GlobBerMedDisc!$G$23</f>
        <v>0</v>
      </c>
    </row>
    <row r="89" spans="1:2" x14ac:dyDescent="0.35">
      <c r="A89" s="383" t="s">
        <v>2768</v>
      </c>
      <c r="B89">
        <f>GlobBerMedDisc!$G$24</f>
        <v>0</v>
      </c>
    </row>
    <row r="90" spans="1:2" x14ac:dyDescent="0.35">
      <c r="A90" s="383" t="s">
        <v>2769</v>
      </c>
      <c r="B90">
        <f>GlobBerMedDisc!$G$25</f>
        <v>0</v>
      </c>
    </row>
    <row r="91" spans="1:2" x14ac:dyDescent="0.35">
      <c r="A91" s="383" t="s">
        <v>2770</v>
      </c>
      <c r="B91">
        <f>GlobBerMedDisc!$G$26</f>
        <v>0</v>
      </c>
    </row>
    <row r="92" spans="1:2" x14ac:dyDescent="0.35">
      <c r="A92" s="383" t="s">
        <v>2771</v>
      </c>
      <c r="B92">
        <f>GlobBerMedDisc!$G$27</f>
        <v>0</v>
      </c>
    </row>
    <row r="93" spans="1:2" x14ac:dyDescent="0.35">
      <c r="A93" s="383" t="s">
        <v>2772</v>
      </c>
      <c r="B93">
        <f>GlobBerMedDisc!$G$28</f>
        <v>0</v>
      </c>
    </row>
    <row r="94" spans="1:2" x14ac:dyDescent="0.35">
      <c r="A94" s="383" t="s">
        <v>2773</v>
      </c>
      <c r="B94">
        <f>GlobBerMedDisc!$G$29</f>
        <v>0</v>
      </c>
    </row>
    <row r="95" spans="1:2" x14ac:dyDescent="0.35">
      <c r="A95" s="383" t="s">
        <v>2774</v>
      </c>
      <c r="B95">
        <f>GlobBerMedDisc!$G$30</f>
        <v>0</v>
      </c>
    </row>
    <row r="96" spans="1:2" x14ac:dyDescent="0.35">
      <c r="A96" s="383" t="s">
        <v>2775</v>
      </c>
      <c r="B96">
        <f>GlobBerMedDisc!$G$31</f>
        <v>0</v>
      </c>
    </row>
    <row r="97" spans="1:2" x14ac:dyDescent="0.35">
      <c r="A97" s="383" t="s">
        <v>2776</v>
      </c>
      <c r="B97">
        <f>GlobBerMedDisc!$AI$2</f>
        <v>0</v>
      </c>
    </row>
    <row r="98" spans="1:2" x14ac:dyDescent="0.35">
      <c r="A98" s="383" t="s">
        <v>2777</v>
      </c>
      <c r="B98">
        <f>GlobBerMedDisc!$AI$3</f>
        <v>0</v>
      </c>
    </row>
    <row r="99" spans="1:2" x14ac:dyDescent="0.35">
      <c r="A99" s="383" t="s">
        <v>2778</v>
      </c>
      <c r="B99">
        <f>GlobBerMedDisc!$AI$4</f>
        <v>0</v>
      </c>
    </row>
    <row r="100" spans="1:2" x14ac:dyDescent="0.35">
      <c r="A100" s="383" t="s">
        <v>2779</v>
      </c>
      <c r="B100">
        <f>GlobBerMedDisc!$AI$5</f>
        <v>0</v>
      </c>
    </row>
    <row r="101" spans="1:2" x14ac:dyDescent="0.35">
      <c r="A101" s="383" t="s">
        <v>2780</v>
      </c>
      <c r="B101">
        <f>GlobBerMedDisc!$AI$6</f>
        <v>0</v>
      </c>
    </row>
    <row r="102" spans="1:2" x14ac:dyDescent="0.35">
      <c r="A102" s="383" t="s">
        <v>2781</v>
      </c>
      <c r="B102">
        <f>GlobBerMedDisc!$AI$7</f>
        <v>0</v>
      </c>
    </row>
    <row r="103" spans="1:2" x14ac:dyDescent="0.35">
      <c r="A103" s="383" t="s">
        <v>2782</v>
      </c>
      <c r="B103">
        <f>GlobBerMedDisc!$AI$8</f>
        <v>0</v>
      </c>
    </row>
    <row r="104" spans="1:2" x14ac:dyDescent="0.35">
      <c r="A104" s="383" t="s">
        <v>2783</v>
      </c>
      <c r="B104">
        <f>GlobBerMedDisc!$AI$9</f>
        <v>0</v>
      </c>
    </row>
    <row r="105" spans="1:2" x14ac:dyDescent="0.35">
      <c r="A105" s="383" t="s">
        <v>2784</v>
      </c>
      <c r="B105">
        <f>GlobBerMedDisc!$AI$10</f>
        <v>0</v>
      </c>
    </row>
    <row r="106" spans="1:2" x14ac:dyDescent="0.35">
      <c r="A106" s="383" t="s">
        <v>2785</v>
      </c>
      <c r="B106">
        <f>GlobBerMedDisc!$AI$11</f>
        <v>0</v>
      </c>
    </row>
    <row r="107" spans="1:2" x14ac:dyDescent="0.35">
      <c r="A107" s="383" t="s">
        <v>2786</v>
      </c>
      <c r="B107">
        <f>GlobBerMedDisc!$AI$12</f>
        <v>0</v>
      </c>
    </row>
    <row r="108" spans="1:2" x14ac:dyDescent="0.35">
      <c r="A108" s="383" t="s">
        <v>2787</v>
      </c>
      <c r="B108">
        <f>GlobBerMedDisc!$AI$13</f>
        <v>0</v>
      </c>
    </row>
    <row r="109" spans="1:2" x14ac:dyDescent="0.35">
      <c r="A109" s="383" t="s">
        <v>2788</v>
      </c>
      <c r="B109">
        <f>GlobBerMedDisc!$AI$14</f>
        <v>0</v>
      </c>
    </row>
    <row r="110" spans="1:2" x14ac:dyDescent="0.35">
      <c r="A110" s="383" t="s">
        <v>2789</v>
      </c>
      <c r="B110">
        <f>GlobBerMedDisc!$AI$15</f>
        <v>0</v>
      </c>
    </row>
    <row r="111" spans="1:2" x14ac:dyDescent="0.35">
      <c r="A111" s="383" t="s">
        <v>2790</v>
      </c>
      <c r="B111">
        <f>GlobBerMedDisc!$AI$16</f>
        <v>0</v>
      </c>
    </row>
    <row r="112" spans="1:2" x14ac:dyDescent="0.35">
      <c r="A112" s="383" t="s">
        <v>2791</v>
      </c>
      <c r="B112">
        <f>GlobBerMedDisc!$AI$17</f>
        <v>0</v>
      </c>
    </row>
    <row r="113" spans="1:2" x14ac:dyDescent="0.35">
      <c r="A113" s="383" t="s">
        <v>2792</v>
      </c>
      <c r="B113">
        <f>GlobBerMedDisc!$AI$18</f>
        <v>0</v>
      </c>
    </row>
    <row r="114" spans="1:2" x14ac:dyDescent="0.35">
      <c r="A114" s="383" t="s">
        <v>2793</v>
      </c>
      <c r="B114">
        <f>GlobBerMedDisc!$AI$19</f>
        <v>0</v>
      </c>
    </row>
    <row r="115" spans="1:2" x14ac:dyDescent="0.35">
      <c r="A115" s="383" t="s">
        <v>2794</v>
      </c>
      <c r="B115">
        <f>GlobBerMedDisc!$AI$20</f>
        <v>0</v>
      </c>
    </row>
    <row r="116" spans="1:2" x14ac:dyDescent="0.35">
      <c r="A116" s="383" t="s">
        <v>2795</v>
      </c>
      <c r="B116">
        <f>GlobBerMedDisc!$AI$21</f>
        <v>0</v>
      </c>
    </row>
    <row r="117" spans="1:2" x14ac:dyDescent="0.35">
      <c r="A117" s="383" t="s">
        <v>2796</v>
      </c>
      <c r="B117">
        <f>GlobBerMedDisc!$AI$22</f>
        <v>0</v>
      </c>
    </row>
    <row r="118" spans="1:2" x14ac:dyDescent="0.35">
      <c r="A118" s="383" t="s">
        <v>2797</v>
      </c>
      <c r="B118">
        <f>GlobBerMedDisc!$AI$23</f>
        <v>0</v>
      </c>
    </row>
    <row r="119" spans="1:2" x14ac:dyDescent="0.35">
      <c r="A119" s="383" t="s">
        <v>2798</v>
      </c>
      <c r="B119">
        <f>GlobBerMedDisc!$AI$24</f>
        <v>0</v>
      </c>
    </row>
    <row r="120" spans="1:2" x14ac:dyDescent="0.35">
      <c r="A120" s="383" t="s">
        <v>2799</v>
      </c>
      <c r="B120">
        <f>GlobBerMedDisc!$AI$25</f>
        <v>0</v>
      </c>
    </row>
    <row r="121" spans="1:2" x14ac:dyDescent="0.35">
      <c r="A121" s="383" t="s">
        <v>2800</v>
      </c>
      <c r="B121">
        <f>GlobBerMedDisc!$AI$26</f>
        <v>0</v>
      </c>
    </row>
    <row r="122" spans="1:2" x14ac:dyDescent="0.35">
      <c r="A122" s="383" t="s">
        <v>2801</v>
      </c>
      <c r="B122">
        <f>GlobBerMedDisc!$AI$27</f>
        <v>0</v>
      </c>
    </row>
    <row r="123" spans="1:2" x14ac:dyDescent="0.35">
      <c r="A123" s="383" t="s">
        <v>2802</v>
      </c>
      <c r="B123">
        <f>GlobBerMedDisc!$AI$28</f>
        <v>0</v>
      </c>
    </row>
    <row r="124" spans="1:2" x14ac:dyDescent="0.35">
      <c r="A124" s="383" t="s">
        <v>2803</v>
      </c>
      <c r="B124">
        <f>GlobBerMedDisc!$AI$29</f>
        <v>0</v>
      </c>
    </row>
    <row r="125" spans="1:2" x14ac:dyDescent="0.35">
      <c r="A125" s="383" t="s">
        <v>2804</v>
      </c>
      <c r="B125">
        <f>GlobBerMedDisc!$AI$30</f>
        <v>0</v>
      </c>
    </row>
    <row r="126" spans="1:2" x14ac:dyDescent="0.35">
      <c r="A126" s="383" t="s">
        <v>2805</v>
      </c>
      <c r="B126">
        <f>GlobBerMedDisc!$AI$31</f>
        <v>0</v>
      </c>
    </row>
    <row r="127" spans="1:2" x14ac:dyDescent="0.35">
      <c r="A127" s="383" t="s">
        <v>2806</v>
      </c>
      <c r="B127">
        <f>GlobBerMedDisc!$D$2</f>
        <v>0</v>
      </c>
    </row>
    <row r="128" spans="1:2" x14ac:dyDescent="0.35">
      <c r="A128" s="383" t="s">
        <v>2807</v>
      </c>
      <c r="B128">
        <f>GlobBerMedDisc!$D$3</f>
        <v>0</v>
      </c>
    </row>
    <row r="129" spans="1:2" x14ac:dyDescent="0.35">
      <c r="A129" s="383" t="s">
        <v>2808</v>
      </c>
      <c r="B129">
        <f>GlobBerMedDisc!$D$4</f>
        <v>0</v>
      </c>
    </row>
    <row r="130" spans="1:2" x14ac:dyDescent="0.35">
      <c r="A130" s="383" t="s">
        <v>2809</v>
      </c>
      <c r="B130">
        <f>GlobBerMedDisc!$D$5</f>
        <v>0</v>
      </c>
    </row>
    <row r="131" spans="1:2" x14ac:dyDescent="0.35">
      <c r="A131" s="383" t="s">
        <v>2810</v>
      </c>
      <c r="B131">
        <f>GlobBerMedDisc!$D$6</f>
        <v>0</v>
      </c>
    </row>
    <row r="132" spans="1:2" x14ac:dyDescent="0.35">
      <c r="A132" s="383" t="s">
        <v>2811</v>
      </c>
      <c r="B132">
        <f>GlobBerMedDisc!$D$7</f>
        <v>0</v>
      </c>
    </row>
    <row r="133" spans="1:2" x14ac:dyDescent="0.35">
      <c r="A133" s="383" t="s">
        <v>2812</v>
      </c>
      <c r="B133">
        <f>GlobBerMedDisc!$D$8</f>
        <v>0</v>
      </c>
    </row>
    <row r="134" spans="1:2" x14ac:dyDescent="0.35">
      <c r="A134" s="383" t="s">
        <v>2813</v>
      </c>
      <c r="B134">
        <f>GlobBerMedDisc!$D$9</f>
        <v>0</v>
      </c>
    </row>
    <row r="135" spans="1:2" x14ac:dyDescent="0.35">
      <c r="A135" s="383" t="s">
        <v>2814</v>
      </c>
      <c r="B135">
        <f>GlobBerMedDisc!$D$10</f>
        <v>0</v>
      </c>
    </row>
    <row r="136" spans="1:2" x14ac:dyDescent="0.35">
      <c r="A136" s="383" t="s">
        <v>2815</v>
      </c>
      <c r="B136">
        <f>GlobBerMedDisc!$D$11</f>
        <v>0</v>
      </c>
    </row>
    <row r="137" spans="1:2" x14ac:dyDescent="0.35">
      <c r="A137" s="383" t="s">
        <v>2816</v>
      </c>
      <c r="B137">
        <f>GlobBerMedDisc!$D$12</f>
        <v>0</v>
      </c>
    </row>
    <row r="138" spans="1:2" x14ac:dyDescent="0.35">
      <c r="A138" s="383" t="s">
        <v>2817</v>
      </c>
      <c r="B138">
        <f>GlobBerMedDisc!$D$13</f>
        <v>0</v>
      </c>
    </row>
    <row r="139" spans="1:2" x14ac:dyDescent="0.35">
      <c r="A139" s="383" t="s">
        <v>2818</v>
      </c>
      <c r="B139">
        <f>GlobBerMedDisc!$D$14</f>
        <v>0</v>
      </c>
    </row>
    <row r="140" spans="1:2" x14ac:dyDescent="0.35">
      <c r="A140" s="383" t="s">
        <v>2819</v>
      </c>
      <c r="B140">
        <f>GlobBerMedDisc!$D$15</f>
        <v>0</v>
      </c>
    </row>
    <row r="141" spans="1:2" x14ac:dyDescent="0.35">
      <c r="A141" s="383" t="s">
        <v>2820</v>
      </c>
      <c r="B141">
        <f>GlobBerMedDisc!$D$16</f>
        <v>0</v>
      </c>
    </row>
    <row r="142" spans="1:2" x14ac:dyDescent="0.35">
      <c r="A142" s="383" t="s">
        <v>2821</v>
      </c>
      <c r="B142">
        <f>GlobBerMedDisc!$D$17</f>
        <v>0</v>
      </c>
    </row>
    <row r="143" spans="1:2" x14ac:dyDescent="0.35">
      <c r="A143" s="383" t="s">
        <v>2822</v>
      </c>
      <c r="B143">
        <f>GlobBerMedDisc!$D$18</f>
        <v>0</v>
      </c>
    </row>
    <row r="144" spans="1:2" x14ac:dyDescent="0.35">
      <c r="A144" s="383" t="s">
        <v>2823</v>
      </c>
      <c r="B144">
        <f>GlobBerMedDisc!$D$19</f>
        <v>0</v>
      </c>
    </row>
    <row r="145" spans="1:2" x14ac:dyDescent="0.35">
      <c r="A145" s="383" t="s">
        <v>2824</v>
      </c>
      <c r="B145">
        <f>GlobBerMedDisc!$D$20</f>
        <v>0</v>
      </c>
    </row>
    <row r="146" spans="1:2" x14ac:dyDescent="0.35">
      <c r="A146" s="383" t="s">
        <v>2825</v>
      </c>
      <c r="B146">
        <f>GlobBerMedDisc!$D$21</f>
        <v>0</v>
      </c>
    </row>
    <row r="147" spans="1:2" x14ac:dyDescent="0.35">
      <c r="A147" s="383" t="s">
        <v>2826</v>
      </c>
      <c r="B147">
        <f>GlobBerMedDisc!$D$22</f>
        <v>0</v>
      </c>
    </row>
    <row r="148" spans="1:2" x14ac:dyDescent="0.35">
      <c r="A148" s="383" t="s">
        <v>2827</v>
      </c>
      <c r="B148">
        <f>GlobBerMedDisc!$D$23</f>
        <v>0</v>
      </c>
    </row>
    <row r="149" spans="1:2" x14ac:dyDescent="0.35">
      <c r="A149" s="383" t="s">
        <v>2828</v>
      </c>
      <c r="B149">
        <f>GlobBerMedDisc!$D$24</f>
        <v>0</v>
      </c>
    </row>
    <row r="150" spans="1:2" x14ac:dyDescent="0.35">
      <c r="A150" s="383" t="s">
        <v>2829</v>
      </c>
      <c r="B150">
        <f>GlobBerMedDisc!$D$25</f>
        <v>0</v>
      </c>
    </row>
    <row r="151" spans="1:2" x14ac:dyDescent="0.35">
      <c r="A151" s="383" t="s">
        <v>2830</v>
      </c>
      <c r="B151">
        <f>GlobBerMedDisc!$D$26</f>
        <v>0</v>
      </c>
    </row>
    <row r="152" spans="1:2" x14ac:dyDescent="0.35">
      <c r="A152" s="383" t="s">
        <v>2831</v>
      </c>
      <c r="B152">
        <f>GlobBerMedDisc!$D$27</f>
        <v>0</v>
      </c>
    </row>
    <row r="153" spans="1:2" x14ac:dyDescent="0.35">
      <c r="A153" s="383" t="s">
        <v>2832</v>
      </c>
      <c r="B153">
        <f>GlobBerMedDisc!$D$28</f>
        <v>0</v>
      </c>
    </row>
    <row r="154" spans="1:2" x14ac:dyDescent="0.35">
      <c r="A154" s="383" t="s">
        <v>2833</v>
      </c>
      <c r="B154">
        <f>GlobBerMedDisc!$D$29</f>
        <v>0</v>
      </c>
    </row>
    <row r="155" spans="1:2" x14ac:dyDescent="0.35">
      <c r="A155" s="383" t="s">
        <v>2834</v>
      </c>
      <c r="B155">
        <f>GlobBerMedDisc!$D$30</f>
        <v>0</v>
      </c>
    </row>
    <row r="156" spans="1:2" x14ac:dyDescent="0.35">
      <c r="A156" s="383" t="s">
        <v>2835</v>
      </c>
      <c r="B156">
        <f>GlobBerMedDisc!$D$31</f>
        <v>0</v>
      </c>
    </row>
    <row r="157" spans="1:2" x14ac:dyDescent="0.35">
      <c r="A157" s="383" t="s">
        <v>2836</v>
      </c>
      <c r="B157">
        <f>GlobBerMedDisc!$U$2</f>
        <v>0</v>
      </c>
    </row>
    <row r="158" spans="1:2" x14ac:dyDescent="0.35">
      <c r="A158" s="383" t="s">
        <v>2837</v>
      </c>
      <c r="B158">
        <f>GlobBerMedDisc!$U$3</f>
        <v>0</v>
      </c>
    </row>
    <row r="159" spans="1:2" x14ac:dyDescent="0.35">
      <c r="A159" s="383" t="s">
        <v>2838</v>
      </c>
      <c r="B159">
        <f>GlobBerMedDisc!$U$4</f>
        <v>0</v>
      </c>
    </row>
    <row r="160" spans="1:2" x14ac:dyDescent="0.35">
      <c r="A160" s="383" t="s">
        <v>2839</v>
      </c>
      <c r="B160">
        <f>GlobBerMedDisc!$U$5</f>
        <v>0</v>
      </c>
    </row>
    <row r="161" spans="1:2" x14ac:dyDescent="0.35">
      <c r="A161" s="383" t="s">
        <v>2840</v>
      </c>
      <c r="B161">
        <f>GlobBerMedDisc!$U$6</f>
        <v>0</v>
      </c>
    </row>
    <row r="162" spans="1:2" x14ac:dyDescent="0.35">
      <c r="A162" s="383" t="s">
        <v>2841</v>
      </c>
      <c r="B162">
        <f>GlobBerMedDisc!$U$7</f>
        <v>0</v>
      </c>
    </row>
    <row r="163" spans="1:2" x14ac:dyDescent="0.35">
      <c r="A163" s="383" t="s">
        <v>2842</v>
      </c>
      <c r="B163">
        <f>GlobBerMedDisc!$U$8</f>
        <v>0</v>
      </c>
    </row>
    <row r="164" spans="1:2" x14ac:dyDescent="0.35">
      <c r="A164" s="383" t="s">
        <v>2843</v>
      </c>
      <c r="B164">
        <f>GlobBerMedDisc!$U$9</f>
        <v>0</v>
      </c>
    </row>
    <row r="165" spans="1:2" x14ac:dyDescent="0.35">
      <c r="A165" s="383" t="s">
        <v>2844</v>
      </c>
      <c r="B165">
        <f>GlobBerMedDisc!$U$10</f>
        <v>0</v>
      </c>
    </row>
    <row r="166" spans="1:2" x14ac:dyDescent="0.35">
      <c r="A166" s="383" t="s">
        <v>2845</v>
      </c>
      <c r="B166">
        <f>GlobBerMedDisc!$U$11</f>
        <v>0</v>
      </c>
    </row>
    <row r="167" spans="1:2" x14ac:dyDescent="0.35">
      <c r="A167" s="383" t="s">
        <v>2846</v>
      </c>
      <c r="B167">
        <f>GlobBerMedDisc!$U$12</f>
        <v>0</v>
      </c>
    </row>
    <row r="168" spans="1:2" x14ac:dyDescent="0.35">
      <c r="A168" s="383" t="s">
        <v>2847</v>
      </c>
      <c r="B168">
        <f>GlobBerMedDisc!$U$13</f>
        <v>0</v>
      </c>
    </row>
    <row r="169" spans="1:2" x14ac:dyDescent="0.35">
      <c r="A169" s="383" t="s">
        <v>2848</v>
      </c>
      <c r="B169">
        <f>GlobBerMedDisc!$U$14</f>
        <v>0</v>
      </c>
    </row>
    <row r="170" spans="1:2" x14ac:dyDescent="0.35">
      <c r="A170" s="383" t="s">
        <v>2849</v>
      </c>
      <c r="B170">
        <f>GlobBerMedDisc!$U$15</f>
        <v>0</v>
      </c>
    </row>
    <row r="171" spans="1:2" x14ac:dyDescent="0.35">
      <c r="A171" s="383" t="s">
        <v>2850</v>
      </c>
      <c r="B171">
        <f>GlobBerMedDisc!$U$16</f>
        <v>0</v>
      </c>
    </row>
    <row r="172" spans="1:2" x14ac:dyDescent="0.35">
      <c r="A172" s="383" t="s">
        <v>2851</v>
      </c>
      <c r="B172">
        <f>GlobBerMedDisc!$U$17</f>
        <v>0</v>
      </c>
    </row>
    <row r="173" spans="1:2" x14ac:dyDescent="0.35">
      <c r="A173" s="383" t="s">
        <v>2852</v>
      </c>
      <c r="B173">
        <f>GlobBerMedDisc!$U$18</f>
        <v>0</v>
      </c>
    </row>
    <row r="174" spans="1:2" x14ac:dyDescent="0.35">
      <c r="A174" s="383" t="s">
        <v>2853</v>
      </c>
      <c r="B174">
        <f>GlobBerMedDisc!$U$19</f>
        <v>0</v>
      </c>
    </row>
    <row r="175" spans="1:2" x14ac:dyDescent="0.35">
      <c r="A175" s="383" t="s">
        <v>2854</v>
      </c>
      <c r="B175">
        <f>GlobBerMedDisc!$U$20</f>
        <v>0</v>
      </c>
    </row>
    <row r="176" spans="1:2" x14ac:dyDescent="0.35">
      <c r="A176" s="383" t="s">
        <v>2855</v>
      </c>
      <c r="B176">
        <f>GlobBerMedDisc!$U$21</f>
        <v>0</v>
      </c>
    </row>
    <row r="177" spans="1:2" x14ac:dyDescent="0.35">
      <c r="A177" s="383" t="s">
        <v>2856</v>
      </c>
      <c r="B177">
        <f>GlobBerMedDisc!$U$22</f>
        <v>0</v>
      </c>
    </row>
    <row r="178" spans="1:2" x14ac:dyDescent="0.35">
      <c r="A178" s="383" t="s">
        <v>2857</v>
      </c>
      <c r="B178">
        <f>GlobBerMedDisc!$U$23</f>
        <v>0</v>
      </c>
    </row>
    <row r="179" spans="1:2" x14ac:dyDescent="0.35">
      <c r="A179" s="383" t="s">
        <v>2858</v>
      </c>
      <c r="B179">
        <f>GlobBerMedDisc!$U$24</f>
        <v>0</v>
      </c>
    </row>
    <row r="180" spans="1:2" x14ac:dyDescent="0.35">
      <c r="A180" s="383" t="s">
        <v>2859</v>
      </c>
      <c r="B180">
        <f>GlobBerMedDisc!$U$25</f>
        <v>0</v>
      </c>
    </row>
    <row r="181" spans="1:2" x14ac:dyDescent="0.35">
      <c r="A181" s="383" t="s">
        <v>2860</v>
      </c>
      <c r="B181">
        <f>GlobBerMedDisc!$U$26</f>
        <v>0</v>
      </c>
    </row>
    <row r="182" spans="1:2" x14ac:dyDescent="0.35">
      <c r="A182" s="383" t="s">
        <v>2861</v>
      </c>
      <c r="B182">
        <f>GlobBerMedDisc!$U$27</f>
        <v>0</v>
      </c>
    </row>
    <row r="183" spans="1:2" x14ac:dyDescent="0.35">
      <c r="A183" s="383" t="s">
        <v>2862</v>
      </c>
      <c r="B183">
        <f>GlobBerMedDisc!$U$28</f>
        <v>0</v>
      </c>
    </row>
    <row r="184" spans="1:2" x14ac:dyDescent="0.35">
      <c r="A184" s="383" t="s">
        <v>2863</v>
      </c>
      <c r="B184">
        <f>GlobBerMedDisc!$U$29</f>
        <v>0</v>
      </c>
    </row>
    <row r="185" spans="1:2" x14ac:dyDescent="0.35">
      <c r="A185" s="383" t="s">
        <v>2864</v>
      </c>
      <c r="B185">
        <f>GlobBerMedDisc!$U$30</f>
        <v>0</v>
      </c>
    </row>
    <row r="186" spans="1:2" x14ac:dyDescent="0.35">
      <c r="A186" s="383" t="s">
        <v>2865</v>
      </c>
      <c r="B186">
        <f>GlobBerMedDisc!$U$31</f>
        <v>0</v>
      </c>
    </row>
    <row r="187" spans="1:2" x14ac:dyDescent="0.35">
      <c r="A187" s="383" t="s">
        <v>2866</v>
      </c>
      <c r="B187">
        <f>GlobBerMedDisc!$B$2</f>
        <v>0</v>
      </c>
    </row>
    <row r="188" spans="1:2" x14ac:dyDescent="0.35">
      <c r="A188" s="383" t="s">
        <v>2867</v>
      </c>
      <c r="B188">
        <f>GlobBerMedDisc!$B$3</f>
        <v>0</v>
      </c>
    </row>
    <row r="189" spans="1:2" x14ac:dyDescent="0.35">
      <c r="A189" s="383" t="s">
        <v>2868</v>
      </c>
      <c r="B189">
        <f>GlobBerMedDisc!$B$4</f>
        <v>0</v>
      </c>
    </row>
    <row r="190" spans="1:2" x14ac:dyDescent="0.35">
      <c r="A190" s="383" t="s">
        <v>2869</v>
      </c>
      <c r="B190">
        <f>GlobBerMedDisc!$B$5</f>
        <v>0</v>
      </c>
    </row>
    <row r="191" spans="1:2" x14ac:dyDescent="0.35">
      <c r="A191" s="383" t="s">
        <v>2870</v>
      </c>
      <c r="B191">
        <f>GlobBerMedDisc!$B$6</f>
        <v>0</v>
      </c>
    </row>
    <row r="192" spans="1:2" x14ac:dyDescent="0.35">
      <c r="A192" s="383" t="s">
        <v>2871</v>
      </c>
      <c r="B192">
        <f>GlobBerMedDisc!$B$7</f>
        <v>0</v>
      </c>
    </row>
    <row r="193" spans="1:2" x14ac:dyDescent="0.35">
      <c r="A193" s="383" t="s">
        <v>2872</v>
      </c>
      <c r="B193">
        <f>GlobBerMedDisc!$B$8</f>
        <v>0</v>
      </c>
    </row>
    <row r="194" spans="1:2" x14ac:dyDescent="0.35">
      <c r="A194" s="383" t="s">
        <v>2873</v>
      </c>
      <c r="B194">
        <f>GlobBerMedDisc!$B$9</f>
        <v>0</v>
      </c>
    </row>
    <row r="195" spans="1:2" x14ac:dyDescent="0.35">
      <c r="A195" s="383" t="s">
        <v>2874</v>
      </c>
      <c r="B195">
        <f>GlobBerMedDisc!$B$10</f>
        <v>0</v>
      </c>
    </row>
    <row r="196" spans="1:2" x14ac:dyDescent="0.35">
      <c r="A196" s="383" t="s">
        <v>2875</v>
      </c>
      <c r="B196">
        <f>GlobBerMedDisc!$B$11</f>
        <v>0</v>
      </c>
    </row>
    <row r="197" spans="1:2" x14ac:dyDescent="0.35">
      <c r="A197" s="383" t="s">
        <v>2876</v>
      </c>
      <c r="B197">
        <f>GlobBerMedDisc!$B$12</f>
        <v>0</v>
      </c>
    </row>
    <row r="198" spans="1:2" x14ac:dyDescent="0.35">
      <c r="A198" s="383" t="s">
        <v>2877</v>
      </c>
      <c r="B198">
        <f>GlobBerMedDisc!$B$13</f>
        <v>0</v>
      </c>
    </row>
    <row r="199" spans="1:2" x14ac:dyDescent="0.35">
      <c r="A199" s="383" t="s">
        <v>2878</v>
      </c>
      <c r="B199">
        <f>GlobBerMedDisc!$B$14</f>
        <v>0</v>
      </c>
    </row>
    <row r="200" spans="1:2" x14ac:dyDescent="0.35">
      <c r="A200" s="383" t="s">
        <v>2879</v>
      </c>
      <c r="B200">
        <f>GlobBerMedDisc!$B$15</f>
        <v>0</v>
      </c>
    </row>
    <row r="201" spans="1:2" x14ac:dyDescent="0.35">
      <c r="A201" s="383" t="s">
        <v>2880</v>
      </c>
      <c r="B201">
        <f>GlobBerMedDisc!$B$16</f>
        <v>0</v>
      </c>
    </row>
    <row r="202" spans="1:2" x14ac:dyDescent="0.35">
      <c r="A202" s="383" t="s">
        <v>2881</v>
      </c>
      <c r="B202">
        <f>GlobBerMedDisc!$B$17</f>
        <v>0</v>
      </c>
    </row>
    <row r="203" spans="1:2" x14ac:dyDescent="0.35">
      <c r="A203" s="383" t="s">
        <v>2882</v>
      </c>
      <c r="B203">
        <f>GlobBerMedDisc!$B$18</f>
        <v>0</v>
      </c>
    </row>
    <row r="204" spans="1:2" x14ac:dyDescent="0.35">
      <c r="A204" s="383" t="s">
        <v>2883</v>
      </c>
      <c r="B204">
        <f>GlobBerMedDisc!$B$19</f>
        <v>0</v>
      </c>
    </row>
    <row r="205" spans="1:2" x14ac:dyDescent="0.35">
      <c r="A205" s="383" t="s">
        <v>2884</v>
      </c>
      <c r="B205">
        <f>GlobBerMedDisc!$B$20</f>
        <v>0</v>
      </c>
    </row>
    <row r="206" spans="1:2" x14ac:dyDescent="0.35">
      <c r="A206" s="383" t="s">
        <v>2885</v>
      </c>
      <c r="B206">
        <f>GlobBerMedDisc!$B$21</f>
        <v>0</v>
      </c>
    </row>
    <row r="207" spans="1:2" x14ac:dyDescent="0.35">
      <c r="A207" s="383" t="s">
        <v>2886</v>
      </c>
      <c r="B207">
        <f>GlobBerMedDisc!$B$22</f>
        <v>0</v>
      </c>
    </row>
    <row r="208" spans="1:2" x14ac:dyDescent="0.35">
      <c r="A208" s="383" t="s">
        <v>2887</v>
      </c>
      <c r="B208">
        <f>GlobBerMedDisc!$B$23</f>
        <v>0</v>
      </c>
    </row>
    <row r="209" spans="1:2" x14ac:dyDescent="0.35">
      <c r="A209" s="383" t="s">
        <v>2888</v>
      </c>
      <c r="B209">
        <f>GlobBerMedDisc!$B$24</f>
        <v>0</v>
      </c>
    </row>
    <row r="210" spans="1:2" x14ac:dyDescent="0.35">
      <c r="A210" s="383" t="s">
        <v>2889</v>
      </c>
      <c r="B210">
        <f>GlobBerMedDisc!$B$25</f>
        <v>0</v>
      </c>
    </row>
    <row r="211" spans="1:2" x14ac:dyDescent="0.35">
      <c r="A211" s="383" t="s">
        <v>2890</v>
      </c>
      <c r="B211">
        <f>GlobBerMedDisc!$B$26</f>
        <v>0</v>
      </c>
    </row>
    <row r="212" spans="1:2" x14ac:dyDescent="0.35">
      <c r="A212" s="383" t="s">
        <v>2891</v>
      </c>
      <c r="B212">
        <f>GlobBerMedDisc!$B$27</f>
        <v>0</v>
      </c>
    </row>
    <row r="213" spans="1:2" x14ac:dyDescent="0.35">
      <c r="A213" s="383" t="s">
        <v>2892</v>
      </c>
      <c r="B213">
        <f>GlobBerMedDisc!$B$28</f>
        <v>0</v>
      </c>
    </row>
    <row r="214" spans="1:2" x14ac:dyDescent="0.35">
      <c r="A214" s="383" t="s">
        <v>2893</v>
      </c>
      <c r="B214">
        <f>GlobBerMedDisc!$B$29</f>
        <v>0</v>
      </c>
    </row>
    <row r="215" spans="1:2" x14ac:dyDescent="0.35">
      <c r="A215" s="383" t="s">
        <v>2894</v>
      </c>
      <c r="B215">
        <f>GlobBerMedDisc!$B$30</f>
        <v>0</v>
      </c>
    </row>
    <row r="216" spans="1:2" x14ac:dyDescent="0.35">
      <c r="A216" s="383" t="s">
        <v>2895</v>
      </c>
      <c r="B216">
        <f>GlobBerMedDisc!$B$31</f>
        <v>0</v>
      </c>
    </row>
    <row r="217" spans="1:2" x14ac:dyDescent="0.35">
      <c r="A217" s="383" t="s">
        <v>2896</v>
      </c>
      <c r="B217">
        <f>GlobBerMedDisc!$Q$2</f>
        <v>0</v>
      </c>
    </row>
    <row r="218" spans="1:2" x14ac:dyDescent="0.35">
      <c r="A218" s="383" t="s">
        <v>2897</v>
      </c>
      <c r="B218">
        <f>GlobBerMedDisc!$Q$3</f>
        <v>0</v>
      </c>
    </row>
    <row r="219" spans="1:2" x14ac:dyDescent="0.35">
      <c r="A219" s="383" t="s">
        <v>2898</v>
      </c>
      <c r="B219">
        <f>GlobBerMedDisc!$Q$4</f>
        <v>0</v>
      </c>
    </row>
    <row r="220" spans="1:2" x14ac:dyDescent="0.35">
      <c r="A220" s="383" t="s">
        <v>2899</v>
      </c>
      <c r="B220">
        <f>GlobBerMedDisc!$Q$5</f>
        <v>0</v>
      </c>
    </row>
    <row r="221" spans="1:2" x14ac:dyDescent="0.35">
      <c r="A221" s="383" t="s">
        <v>2900</v>
      </c>
      <c r="B221">
        <f>GlobBerMedDisc!$Q$6</f>
        <v>0</v>
      </c>
    </row>
    <row r="222" spans="1:2" x14ac:dyDescent="0.35">
      <c r="A222" s="383" t="s">
        <v>2901</v>
      </c>
      <c r="B222">
        <f>GlobBerMedDisc!$Q$7</f>
        <v>0</v>
      </c>
    </row>
    <row r="223" spans="1:2" x14ac:dyDescent="0.35">
      <c r="A223" s="383" t="s">
        <v>2902</v>
      </c>
      <c r="B223">
        <f>GlobBerMedDisc!$Q$8</f>
        <v>0</v>
      </c>
    </row>
    <row r="224" spans="1:2" x14ac:dyDescent="0.35">
      <c r="A224" s="383" t="s">
        <v>2903</v>
      </c>
      <c r="B224">
        <f>GlobBerMedDisc!$Q$9</f>
        <v>0</v>
      </c>
    </row>
    <row r="225" spans="1:2" x14ac:dyDescent="0.35">
      <c r="A225" s="383" t="s">
        <v>2904</v>
      </c>
      <c r="B225">
        <f>GlobBerMedDisc!$Q$10</f>
        <v>0</v>
      </c>
    </row>
    <row r="226" spans="1:2" x14ac:dyDescent="0.35">
      <c r="A226" s="383" t="s">
        <v>2905</v>
      </c>
      <c r="B226">
        <f>GlobBerMedDisc!$Q$11</f>
        <v>0</v>
      </c>
    </row>
    <row r="227" spans="1:2" x14ac:dyDescent="0.35">
      <c r="A227" s="383" t="s">
        <v>2906</v>
      </c>
      <c r="B227">
        <f>GlobBerMedDisc!$Q$12</f>
        <v>0</v>
      </c>
    </row>
    <row r="228" spans="1:2" x14ac:dyDescent="0.35">
      <c r="A228" s="383" t="s">
        <v>2907</v>
      </c>
      <c r="B228">
        <f>GlobBerMedDisc!$Q$13</f>
        <v>0</v>
      </c>
    </row>
    <row r="229" spans="1:2" x14ac:dyDescent="0.35">
      <c r="A229" s="383" t="s">
        <v>2908</v>
      </c>
      <c r="B229">
        <f>GlobBerMedDisc!$Q$14</f>
        <v>0</v>
      </c>
    </row>
    <row r="230" spans="1:2" x14ac:dyDescent="0.35">
      <c r="A230" s="383" t="s">
        <v>2909</v>
      </c>
      <c r="B230">
        <f>GlobBerMedDisc!$Q$15</f>
        <v>0</v>
      </c>
    </row>
    <row r="231" spans="1:2" x14ac:dyDescent="0.35">
      <c r="A231" s="383" t="s">
        <v>2910</v>
      </c>
      <c r="B231">
        <f>GlobBerMedDisc!$Q$16</f>
        <v>0</v>
      </c>
    </row>
    <row r="232" spans="1:2" x14ac:dyDescent="0.35">
      <c r="A232" s="383" t="s">
        <v>2911</v>
      </c>
      <c r="B232">
        <f>GlobBerMedDisc!$Q$17</f>
        <v>0</v>
      </c>
    </row>
    <row r="233" spans="1:2" x14ac:dyDescent="0.35">
      <c r="A233" s="383" t="s">
        <v>2912</v>
      </c>
      <c r="B233">
        <f>GlobBerMedDisc!$Q$18</f>
        <v>0</v>
      </c>
    </row>
    <row r="234" spans="1:2" x14ac:dyDescent="0.35">
      <c r="A234" s="383" t="s">
        <v>2913</v>
      </c>
      <c r="B234">
        <f>GlobBerMedDisc!$Q$19</f>
        <v>0</v>
      </c>
    </row>
    <row r="235" spans="1:2" x14ac:dyDescent="0.35">
      <c r="A235" s="383" t="s">
        <v>2914</v>
      </c>
      <c r="B235">
        <f>GlobBerMedDisc!$Q$20</f>
        <v>0</v>
      </c>
    </row>
    <row r="236" spans="1:2" x14ac:dyDescent="0.35">
      <c r="A236" s="383" t="s">
        <v>2915</v>
      </c>
      <c r="B236">
        <f>GlobBerMedDisc!$Q$21</f>
        <v>0</v>
      </c>
    </row>
    <row r="237" spans="1:2" x14ac:dyDescent="0.35">
      <c r="A237" s="383" t="s">
        <v>2916</v>
      </c>
      <c r="B237">
        <f>GlobBerMedDisc!$Q$22</f>
        <v>0</v>
      </c>
    </row>
    <row r="238" spans="1:2" x14ac:dyDescent="0.35">
      <c r="A238" s="383" t="s">
        <v>2917</v>
      </c>
      <c r="B238">
        <f>GlobBerMedDisc!$Q$23</f>
        <v>0</v>
      </c>
    </row>
    <row r="239" spans="1:2" x14ac:dyDescent="0.35">
      <c r="A239" s="383" t="s">
        <v>2918</v>
      </c>
      <c r="B239">
        <f>GlobBerMedDisc!$Q$24</f>
        <v>0</v>
      </c>
    </row>
    <row r="240" spans="1:2" x14ac:dyDescent="0.35">
      <c r="A240" s="383" t="s">
        <v>2919</v>
      </c>
      <c r="B240">
        <f>GlobBerMedDisc!$Q$25</f>
        <v>0</v>
      </c>
    </row>
    <row r="241" spans="1:2" x14ac:dyDescent="0.35">
      <c r="A241" s="383" t="s">
        <v>2920</v>
      </c>
      <c r="B241">
        <f>GlobBerMedDisc!$Q$26</f>
        <v>0</v>
      </c>
    </row>
    <row r="242" spans="1:2" x14ac:dyDescent="0.35">
      <c r="A242" s="383" t="s">
        <v>2921</v>
      </c>
      <c r="B242">
        <f>GlobBerMedDisc!$Q$27</f>
        <v>0</v>
      </c>
    </row>
    <row r="243" spans="1:2" x14ac:dyDescent="0.35">
      <c r="A243" s="383" t="s">
        <v>2922</v>
      </c>
      <c r="B243">
        <f>GlobBerMedDisc!$Q$28</f>
        <v>0</v>
      </c>
    </row>
    <row r="244" spans="1:2" x14ac:dyDescent="0.35">
      <c r="A244" s="383" t="s">
        <v>2923</v>
      </c>
      <c r="B244">
        <f>GlobBerMedDisc!$Q$29</f>
        <v>0</v>
      </c>
    </row>
    <row r="245" spans="1:2" x14ac:dyDescent="0.35">
      <c r="A245" s="383" t="s">
        <v>2924</v>
      </c>
      <c r="B245">
        <f>GlobBerMedDisc!$Q$30</f>
        <v>0</v>
      </c>
    </row>
    <row r="246" spans="1:2" x14ac:dyDescent="0.35">
      <c r="A246" s="383" t="s">
        <v>2925</v>
      </c>
      <c r="B246">
        <f>GlobBerMedDisc!$Q$31</f>
        <v>0</v>
      </c>
    </row>
    <row r="247" spans="1:2" x14ac:dyDescent="0.35">
      <c r="A247" s="383" t="s">
        <v>2926</v>
      </c>
      <c r="B247">
        <f>GlobBerMedDisc!$C$2</f>
        <v>0</v>
      </c>
    </row>
    <row r="248" spans="1:2" x14ac:dyDescent="0.35">
      <c r="A248" s="383" t="s">
        <v>2927</v>
      </c>
      <c r="B248">
        <f>GlobBerMedDisc!$C$3</f>
        <v>0</v>
      </c>
    </row>
    <row r="249" spans="1:2" x14ac:dyDescent="0.35">
      <c r="A249" s="383" t="s">
        <v>2928</v>
      </c>
      <c r="B249">
        <f>GlobBerMedDisc!$C$4</f>
        <v>0</v>
      </c>
    </row>
    <row r="250" spans="1:2" x14ac:dyDescent="0.35">
      <c r="A250" s="383" t="s">
        <v>2929</v>
      </c>
      <c r="B250">
        <f>GlobBerMedDisc!$C$5</f>
        <v>0</v>
      </c>
    </row>
    <row r="251" spans="1:2" x14ac:dyDescent="0.35">
      <c r="A251" s="383" t="s">
        <v>2930</v>
      </c>
      <c r="B251">
        <f>GlobBerMedDisc!$C$6</f>
        <v>0</v>
      </c>
    </row>
    <row r="252" spans="1:2" x14ac:dyDescent="0.35">
      <c r="A252" s="383" t="s">
        <v>2931</v>
      </c>
      <c r="B252">
        <f>GlobBerMedDisc!$C$7</f>
        <v>0</v>
      </c>
    </row>
    <row r="253" spans="1:2" x14ac:dyDescent="0.35">
      <c r="A253" s="383" t="s">
        <v>2932</v>
      </c>
      <c r="B253">
        <f>GlobBerMedDisc!$C$8</f>
        <v>0</v>
      </c>
    </row>
    <row r="254" spans="1:2" x14ac:dyDescent="0.35">
      <c r="A254" s="383" t="s">
        <v>2933</v>
      </c>
      <c r="B254">
        <f>GlobBerMedDisc!$C$9</f>
        <v>0</v>
      </c>
    </row>
    <row r="255" spans="1:2" x14ac:dyDescent="0.35">
      <c r="A255" s="383" t="s">
        <v>2934</v>
      </c>
      <c r="B255">
        <f>GlobBerMedDisc!$C$10</f>
        <v>0</v>
      </c>
    </row>
    <row r="256" spans="1:2" x14ac:dyDescent="0.35">
      <c r="A256" s="383" t="s">
        <v>2935</v>
      </c>
      <c r="B256">
        <f>GlobBerMedDisc!$C$11</f>
        <v>0</v>
      </c>
    </row>
    <row r="257" spans="1:6" x14ac:dyDescent="0.35">
      <c r="A257" s="383" t="s">
        <v>2936</v>
      </c>
      <c r="B257">
        <f>GlobBerMedDisc!$C$12</f>
        <v>0</v>
      </c>
    </row>
    <row r="258" spans="1:6" x14ac:dyDescent="0.35">
      <c r="A258" s="383" t="s">
        <v>2937</v>
      </c>
      <c r="B258">
        <f>GlobBerMedDisc!$C$13</f>
        <v>0</v>
      </c>
    </row>
    <row r="259" spans="1:6" x14ac:dyDescent="0.35">
      <c r="A259" s="383" t="s">
        <v>2938</v>
      </c>
      <c r="B259">
        <f>GlobBerMedDisc!$C$14</f>
        <v>0</v>
      </c>
    </row>
    <row r="260" spans="1:6" x14ac:dyDescent="0.35">
      <c r="A260" s="383" t="s">
        <v>2939</v>
      </c>
      <c r="B260">
        <f>GlobBerMedDisc!$C$15</f>
        <v>0</v>
      </c>
    </row>
    <row r="261" spans="1:6" x14ac:dyDescent="0.35">
      <c r="A261" s="383" t="s">
        <v>2940</v>
      </c>
      <c r="B261">
        <f>GlobBerMedDisc!$C$16</f>
        <v>0</v>
      </c>
    </row>
    <row r="262" spans="1:6" x14ac:dyDescent="0.35">
      <c r="A262" s="383" t="s">
        <v>2941</v>
      </c>
      <c r="B262">
        <f>GlobBerMedDisc!$C$17</f>
        <v>0</v>
      </c>
    </row>
    <row r="263" spans="1:6" x14ac:dyDescent="0.35">
      <c r="A263" s="383" t="s">
        <v>2942</v>
      </c>
      <c r="B263">
        <f>GlobBerMedDisc!$C$18</f>
        <v>0</v>
      </c>
    </row>
    <row r="264" spans="1:6" x14ac:dyDescent="0.35">
      <c r="A264" s="383" t="s">
        <v>2943</v>
      </c>
      <c r="B264">
        <f>GlobBerMedDisc!$C$19</f>
        <v>0</v>
      </c>
    </row>
    <row r="265" spans="1:6" x14ac:dyDescent="0.35">
      <c r="A265" s="383" t="s">
        <v>2944</v>
      </c>
      <c r="B265">
        <f>GlobBerMedDisc!$C$20</f>
        <v>0</v>
      </c>
    </row>
    <row r="266" spans="1:6" x14ac:dyDescent="0.35">
      <c r="A266" s="383" t="s">
        <v>2945</v>
      </c>
      <c r="B266">
        <f>GlobBerMedDisc!$C$21</f>
        <v>0</v>
      </c>
      <c r="F266" s="383"/>
    </row>
    <row r="267" spans="1:6" x14ac:dyDescent="0.35">
      <c r="A267" s="383" t="s">
        <v>2946</v>
      </c>
      <c r="B267">
        <f>GlobBerMedDisc!$C$22</f>
        <v>0</v>
      </c>
    </row>
    <row r="268" spans="1:6" x14ac:dyDescent="0.35">
      <c r="A268" s="383" t="s">
        <v>2947</v>
      </c>
      <c r="B268">
        <f>GlobBerMedDisc!$C$23</f>
        <v>0</v>
      </c>
    </row>
    <row r="269" spans="1:6" x14ac:dyDescent="0.35">
      <c r="A269" s="383" t="s">
        <v>2948</v>
      </c>
      <c r="B269">
        <f>GlobBerMedDisc!$C$24</f>
        <v>0</v>
      </c>
    </row>
    <row r="270" spans="1:6" x14ac:dyDescent="0.35">
      <c r="A270" s="383" t="s">
        <v>2949</v>
      </c>
      <c r="B270">
        <f>GlobBerMedDisc!$C$25</f>
        <v>0</v>
      </c>
    </row>
    <row r="271" spans="1:6" x14ac:dyDescent="0.35">
      <c r="A271" s="383" t="s">
        <v>2950</v>
      </c>
      <c r="B271">
        <f>GlobBerMedDisc!$C$26</f>
        <v>0</v>
      </c>
    </row>
    <row r="272" spans="1:6" x14ac:dyDescent="0.35">
      <c r="A272" s="383" t="s">
        <v>2951</v>
      </c>
      <c r="B272">
        <f>GlobBerMedDisc!$C$27</f>
        <v>0</v>
      </c>
    </row>
    <row r="273" spans="1:2" x14ac:dyDescent="0.35">
      <c r="A273" s="383" t="s">
        <v>2952</v>
      </c>
      <c r="B273">
        <f>GlobBerMedDisc!$C$28</f>
        <v>0</v>
      </c>
    </row>
    <row r="274" spans="1:2" x14ac:dyDescent="0.35">
      <c r="A274" s="383" t="s">
        <v>2953</v>
      </c>
      <c r="B274">
        <f>GlobBerMedDisc!$C$29</f>
        <v>0</v>
      </c>
    </row>
    <row r="275" spans="1:2" x14ac:dyDescent="0.35">
      <c r="A275" s="383" t="s">
        <v>2954</v>
      </c>
      <c r="B275">
        <f>GlobBerMedDisc!$C$30</f>
        <v>0</v>
      </c>
    </row>
    <row r="276" spans="1:2" x14ac:dyDescent="0.35">
      <c r="A276" s="383" t="s">
        <v>2955</v>
      </c>
      <c r="B276">
        <f>GlobBerMedDisc!$C$31</f>
        <v>0</v>
      </c>
    </row>
    <row r="277" spans="1:2" x14ac:dyDescent="0.35">
      <c r="A277" s="383" t="s">
        <v>2956</v>
      </c>
      <c r="B277">
        <f>GlobBerMedDisc!$O$2</f>
        <v>0</v>
      </c>
    </row>
    <row r="278" spans="1:2" x14ac:dyDescent="0.35">
      <c r="A278" s="383" t="s">
        <v>2957</v>
      </c>
      <c r="B278">
        <f>GlobBerMedDisc!$O$3</f>
        <v>0</v>
      </c>
    </row>
    <row r="279" spans="1:2" x14ac:dyDescent="0.35">
      <c r="A279" s="383" t="s">
        <v>2958</v>
      </c>
      <c r="B279">
        <f>GlobBerMedDisc!$O$4</f>
        <v>0</v>
      </c>
    </row>
    <row r="280" spans="1:2" x14ac:dyDescent="0.35">
      <c r="A280" s="383" t="s">
        <v>2959</v>
      </c>
      <c r="B280">
        <f>GlobBerMedDisc!$O$5</f>
        <v>0</v>
      </c>
    </row>
    <row r="281" spans="1:2" s="383" customFormat="1" x14ac:dyDescent="0.35">
      <c r="A281" s="383" t="s">
        <v>2960</v>
      </c>
      <c r="B281">
        <f>GlobBerMedDisc!$O$6</f>
        <v>0</v>
      </c>
    </row>
    <row r="282" spans="1:2" s="383" customFormat="1" x14ac:dyDescent="0.35">
      <c r="A282" s="383" t="s">
        <v>2961</v>
      </c>
      <c r="B282">
        <f>GlobBerMedDisc!$O$7</f>
        <v>0</v>
      </c>
    </row>
    <row r="283" spans="1:2" s="383" customFormat="1" x14ac:dyDescent="0.35">
      <c r="A283" s="383" t="s">
        <v>2962</v>
      </c>
      <c r="B283">
        <f>GlobBerMedDisc!$O$8</f>
        <v>0</v>
      </c>
    </row>
    <row r="284" spans="1:2" s="383" customFormat="1" x14ac:dyDescent="0.35">
      <c r="A284" s="383" t="s">
        <v>2963</v>
      </c>
      <c r="B284">
        <f>GlobBerMedDisc!$O$9</f>
        <v>0</v>
      </c>
    </row>
    <row r="285" spans="1:2" s="383" customFormat="1" x14ac:dyDescent="0.35">
      <c r="A285" s="383" t="s">
        <v>2964</v>
      </c>
      <c r="B285">
        <f>GlobBerMedDisc!$O$10</f>
        <v>0</v>
      </c>
    </row>
    <row r="286" spans="1:2" s="383" customFormat="1" x14ac:dyDescent="0.35">
      <c r="A286" s="383" t="s">
        <v>2965</v>
      </c>
      <c r="B286">
        <f>GlobBerMedDisc!$O$11</f>
        <v>0</v>
      </c>
    </row>
    <row r="287" spans="1:2" s="383" customFormat="1" x14ac:dyDescent="0.35">
      <c r="A287" s="383" t="s">
        <v>2966</v>
      </c>
      <c r="B287">
        <f>GlobBerMedDisc!$O$12</f>
        <v>0</v>
      </c>
    </row>
    <row r="288" spans="1:2" s="383" customFormat="1" x14ac:dyDescent="0.35">
      <c r="A288" s="383" t="s">
        <v>2967</v>
      </c>
      <c r="B288">
        <f>GlobBerMedDisc!$O$13</f>
        <v>0</v>
      </c>
    </row>
    <row r="289" spans="1:2" s="383" customFormat="1" x14ac:dyDescent="0.35">
      <c r="A289" s="383" t="s">
        <v>2968</v>
      </c>
      <c r="B289">
        <f>GlobBerMedDisc!$O$14</f>
        <v>0</v>
      </c>
    </row>
    <row r="290" spans="1:2" s="383" customFormat="1" x14ac:dyDescent="0.35">
      <c r="A290" s="383" t="s">
        <v>2969</v>
      </c>
      <c r="B290">
        <f>GlobBerMedDisc!$O$15</f>
        <v>0</v>
      </c>
    </row>
    <row r="291" spans="1:2" x14ac:dyDescent="0.35">
      <c r="A291" s="383" t="s">
        <v>2970</v>
      </c>
      <c r="B291">
        <f>GlobBerMedDisc!$O$16</f>
        <v>0</v>
      </c>
    </row>
    <row r="292" spans="1:2" x14ac:dyDescent="0.35">
      <c r="A292" s="383" t="s">
        <v>2971</v>
      </c>
      <c r="B292">
        <f>GlobBerMedDisc!$O$17</f>
        <v>0</v>
      </c>
    </row>
    <row r="293" spans="1:2" x14ac:dyDescent="0.35">
      <c r="A293" s="383" t="s">
        <v>2972</v>
      </c>
      <c r="B293">
        <f>GlobBerMedDisc!$O$18</f>
        <v>0</v>
      </c>
    </row>
    <row r="294" spans="1:2" x14ac:dyDescent="0.35">
      <c r="A294" s="383" t="s">
        <v>2973</v>
      </c>
      <c r="B294">
        <f>GlobBerMedDisc!$O$19</f>
        <v>0</v>
      </c>
    </row>
    <row r="295" spans="1:2" x14ac:dyDescent="0.35">
      <c r="A295" s="383" t="s">
        <v>2974</v>
      </c>
      <c r="B295">
        <f>GlobBerMedDisc!$O$20</f>
        <v>0</v>
      </c>
    </row>
    <row r="296" spans="1:2" x14ac:dyDescent="0.35">
      <c r="A296" s="383" t="s">
        <v>2975</v>
      </c>
      <c r="B296">
        <f>GlobBerMedDisc!$O$21</f>
        <v>0</v>
      </c>
    </row>
    <row r="297" spans="1:2" x14ac:dyDescent="0.35">
      <c r="A297" s="383" t="s">
        <v>2976</v>
      </c>
      <c r="B297">
        <f>GlobBerMedDisc!$O$22</f>
        <v>0</v>
      </c>
    </row>
    <row r="298" spans="1:2" x14ac:dyDescent="0.35">
      <c r="A298" s="383" t="s">
        <v>2977</v>
      </c>
      <c r="B298">
        <f>GlobBerMedDisc!$O$23</f>
        <v>0</v>
      </c>
    </row>
    <row r="299" spans="1:2" x14ac:dyDescent="0.35">
      <c r="A299" s="383" t="s">
        <v>2978</v>
      </c>
      <c r="B299">
        <f>GlobBerMedDisc!$O$24</f>
        <v>0</v>
      </c>
    </row>
    <row r="300" spans="1:2" x14ac:dyDescent="0.35">
      <c r="A300" s="383" t="s">
        <v>2979</v>
      </c>
      <c r="B300">
        <f>GlobBerMedDisc!$O$25</f>
        <v>0</v>
      </c>
    </row>
    <row r="301" spans="1:2" x14ac:dyDescent="0.35">
      <c r="A301" s="383" t="s">
        <v>2980</v>
      </c>
      <c r="B301">
        <f>GlobBerMedDisc!$O$26</f>
        <v>0</v>
      </c>
    </row>
    <row r="302" spans="1:2" x14ac:dyDescent="0.35">
      <c r="A302" s="383" t="s">
        <v>2981</v>
      </c>
      <c r="B302">
        <f>GlobBerMedDisc!$O$27</f>
        <v>0</v>
      </c>
    </row>
    <row r="303" spans="1:2" x14ac:dyDescent="0.35">
      <c r="A303" s="383" t="s">
        <v>2982</v>
      </c>
      <c r="B303">
        <f>GlobBerMedDisc!$O$28</f>
        <v>0</v>
      </c>
    </row>
    <row r="304" spans="1:2" x14ac:dyDescent="0.35">
      <c r="A304" s="383" t="s">
        <v>2983</v>
      </c>
      <c r="B304">
        <f>GlobBerMedDisc!$O$29</f>
        <v>0</v>
      </c>
    </row>
    <row r="305" spans="1:2" x14ac:dyDescent="0.35">
      <c r="A305" s="383" t="s">
        <v>2984</v>
      </c>
      <c r="B305">
        <f>GlobBerMedDisc!$O$30</f>
        <v>0</v>
      </c>
    </row>
    <row r="306" spans="1:2" x14ac:dyDescent="0.35">
      <c r="A306" s="383" t="s">
        <v>2985</v>
      </c>
      <c r="B306">
        <f>GlobBerMedDisc!$O$31</f>
        <v>0</v>
      </c>
    </row>
    <row r="307" spans="1:2" x14ac:dyDescent="0.35">
      <c r="A307" s="383" t="s">
        <v>2986</v>
      </c>
      <c r="B307">
        <f>GlobBerMedDisc!$N$2</f>
        <v>0</v>
      </c>
    </row>
    <row r="308" spans="1:2" x14ac:dyDescent="0.35">
      <c r="A308" s="383" t="s">
        <v>2987</v>
      </c>
      <c r="B308">
        <f>GlobBerMedDisc!$N$3</f>
        <v>0</v>
      </c>
    </row>
    <row r="309" spans="1:2" x14ac:dyDescent="0.35">
      <c r="A309" s="383" t="s">
        <v>2988</v>
      </c>
      <c r="B309">
        <f>GlobBerMedDisc!$N$4</f>
        <v>0</v>
      </c>
    </row>
    <row r="310" spans="1:2" x14ac:dyDescent="0.35">
      <c r="A310" s="383" t="s">
        <v>2989</v>
      </c>
      <c r="B310">
        <f>GlobBerMedDisc!$N$5</f>
        <v>0</v>
      </c>
    </row>
    <row r="311" spans="1:2" x14ac:dyDescent="0.35">
      <c r="A311" s="383" t="s">
        <v>2990</v>
      </c>
      <c r="B311" s="383">
        <f>GlobBerMedDisc!$N$6</f>
        <v>0</v>
      </c>
    </row>
    <row r="312" spans="1:2" x14ac:dyDescent="0.35">
      <c r="A312" s="383" t="s">
        <v>2991</v>
      </c>
      <c r="B312" s="383">
        <f>GlobBerMedDisc!$N$7</f>
        <v>0</v>
      </c>
    </row>
    <row r="313" spans="1:2" x14ac:dyDescent="0.35">
      <c r="A313" s="383" t="s">
        <v>2992</v>
      </c>
      <c r="B313" s="383">
        <f>GlobBerMedDisc!$N$8</f>
        <v>0</v>
      </c>
    </row>
    <row r="314" spans="1:2" x14ac:dyDescent="0.35">
      <c r="A314" s="383" t="s">
        <v>2993</v>
      </c>
      <c r="B314" s="383">
        <f>GlobBerMedDisc!$N$9</f>
        <v>0</v>
      </c>
    </row>
    <row r="315" spans="1:2" x14ac:dyDescent="0.35">
      <c r="A315" s="383" t="s">
        <v>2994</v>
      </c>
      <c r="B315" s="383">
        <f>GlobBerMedDisc!$N$10</f>
        <v>0</v>
      </c>
    </row>
    <row r="316" spans="1:2" x14ac:dyDescent="0.35">
      <c r="A316" s="383" t="s">
        <v>2995</v>
      </c>
      <c r="B316" s="383">
        <f>GlobBerMedDisc!$N$11</f>
        <v>0</v>
      </c>
    </row>
    <row r="317" spans="1:2" x14ac:dyDescent="0.35">
      <c r="A317" s="383" t="s">
        <v>2996</v>
      </c>
      <c r="B317" s="383">
        <f>GlobBerMedDisc!$N$12</f>
        <v>0</v>
      </c>
    </row>
    <row r="318" spans="1:2" x14ac:dyDescent="0.35">
      <c r="A318" s="383" t="s">
        <v>2997</v>
      </c>
      <c r="B318" s="383">
        <f>GlobBerMedDisc!$N$13</f>
        <v>0</v>
      </c>
    </row>
    <row r="319" spans="1:2" x14ac:dyDescent="0.35">
      <c r="A319" s="383" t="s">
        <v>2998</v>
      </c>
      <c r="B319" s="383">
        <f>GlobBerMedDisc!$N$14</f>
        <v>0</v>
      </c>
    </row>
    <row r="320" spans="1:2" x14ac:dyDescent="0.35">
      <c r="A320" s="383" t="s">
        <v>2999</v>
      </c>
      <c r="B320" s="383">
        <f>GlobBerMedDisc!$N$15</f>
        <v>0</v>
      </c>
    </row>
    <row r="321" spans="1:2" x14ac:dyDescent="0.35">
      <c r="A321" s="383" t="s">
        <v>3000</v>
      </c>
      <c r="B321">
        <f>GlobBerMedDisc!$N$16</f>
        <v>0</v>
      </c>
    </row>
    <row r="322" spans="1:2" x14ac:dyDescent="0.35">
      <c r="A322" s="383" t="s">
        <v>3001</v>
      </c>
      <c r="B322">
        <f>GlobBerMedDisc!$N$17</f>
        <v>0</v>
      </c>
    </row>
    <row r="323" spans="1:2" x14ac:dyDescent="0.35">
      <c r="A323" s="383" t="s">
        <v>3002</v>
      </c>
      <c r="B323">
        <f>GlobBerMedDisc!$N$18</f>
        <v>0</v>
      </c>
    </row>
    <row r="324" spans="1:2" x14ac:dyDescent="0.35">
      <c r="A324" s="383" t="s">
        <v>3003</v>
      </c>
      <c r="B324">
        <f>GlobBerMedDisc!$N$19</f>
        <v>0</v>
      </c>
    </row>
    <row r="325" spans="1:2" x14ac:dyDescent="0.35">
      <c r="A325" s="383" t="s">
        <v>3004</v>
      </c>
      <c r="B325">
        <f>GlobBerMedDisc!$N$20</f>
        <v>0</v>
      </c>
    </row>
    <row r="326" spans="1:2" s="383" customFormat="1" x14ac:dyDescent="0.35">
      <c r="A326" s="383" t="s">
        <v>3005</v>
      </c>
      <c r="B326">
        <f>GlobBerMedDisc!$N$21</f>
        <v>0</v>
      </c>
    </row>
    <row r="327" spans="1:2" s="383" customFormat="1" x14ac:dyDescent="0.35">
      <c r="A327" s="383" t="s">
        <v>3006</v>
      </c>
      <c r="B327">
        <f>GlobBerMedDisc!$N$22</f>
        <v>0</v>
      </c>
    </row>
    <row r="328" spans="1:2" s="383" customFormat="1" x14ac:dyDescent="0.35">
      <c r="A328" s="383" t="s">
        <v>3007</v>
      </c>
      <c r="B328">
        <f>GlobBerMedDisc!$N$23</f>
        <v>0</v>
      </c>
    </row>
    <row r="329" spans="1:2" s="383" customFormat="1" x14ac:dyDescent="0.35">
      <c r="A329" s="383" t="s">
        <v>3008</v>
      </c>
      <c r="B329">
        <f>GlobBerMedDisc!$N$24</f>
        <v>0</v>
      </c>
    </row>
    <row r="330" spans="1:2" s="383" customFormat="1" x14ac:dyDescent="0.35">
      <c r="A330" s="383" t="s">
        <v>3009</v>
      </c>
      <c r="B330">
        <f>GlobBerMedDisc!$N$25</f>
        <v>0</v>
      </c>
    </row>
    <row r="331" spans="1:2" s="383" customFormat="1" x14ac:dyDescent="0.35">
      <c r="A331" s="383" t="s">
        <v>3010</v>
      </c>
      <c r="B331">
        <f>GlobBerMedDisc!$N$26</f>
        <v>0</v>
      </c>
    </row>
    <row r="332" spans="1:2" s="383" customFormat="1" x14ac:dyDescent="0.35">
      <c r="A332" s="383" t="s">
        <v>3011</v>
      </c>
      <c r="B332">
        <f>GlobBerMedDisc!$N$27</f>
        <v>0</v>
      </c>
    </row>
    <row r="333" spans="1:2" s="383" customFormat="1" x14ac:dyDescent="0.35">
      <c r="A333" s="383" t="s">
        <v>3012</v>
      </c>
      <c r="B333">
        <f>GlobBerMedDisc!$N$28</f>
        <v>0</v>
      </c>
    </row>
    <row r="334" spans="1:2" s="383" customFormat="1" x14ac:dyDescent="0.35">
      <c r="A334" s="383" t="s">
        <v>3013</v>
      </c>
      <c r="B334">
        <f>GlobBerMedDisc!$N$29</f>
        <v>0</v>
      </c>
    </row>
    <row r="335" spans="1:2" s="383" customFormat="1" x14ac:dyDescent="0.35">
      <c r="A335" s="383" t="s">
        <v>3014</v>
      </c>
      <c r="B335">
        <f>GlobBerMedDisc!$N$30</f>
        <v>0</v>
      </c>
    </row>
    <row r="336" spans="1:2" x14ac:dyDescent="0.35">
      <c r="A336" s="383" t="s">
        <v>3015</v>
      </c>
      <c r="B336">
        <f>GlobBerMedDisc!$N$31</f>
        <v>0</v>
      </c>
    </row>
    <row r="337" spans="1:2" x14ac:dyDescent="0.35">
      <c r="A337" s="383" t="s">
        <v>3016</v>
      </c>
      <c r="B337">
        <f>GlobBerOpm!$C$7</f>
        <v>0</v>
      </c>
    </row>
    <row r="338" spans="1:2" x14ac:dyDescent="0.35">
      <c r="A338" s="383" t="s">
        <v>3017</v>
      </c>
      <c r="B338">
        <f>GlobBerOpm!$C$8</f>
        <v>0</v>
      </c>
    </row>
    <row r="339" spans="1:2" x14ac:dyDescent="0.35">
      <c r="A339" s="383" t="s">
        <v>3018</v>
      </c>
      <c r="B339">
        <f>GlobBerOpm!$C$9</f>
        <v>0</v>
      </c>
    </row>
    <row r="340" spans="1:2" x14ac:dyDescent="0.35">
      <c r="A340" s="383" t="s">
        <v>3019</v>
      </c>
      <c r="B340">
        <f>GlobBerOpm!$C$10</f>
        <v>0</v>
      </c>
    </row>
    <row r="341" spans="1:2" x14ac:dyDescent="0.35">
      <c r="A341" s="383" t="s">
        <v>3020</v>
      </c>
      <c r="B341">
        <f>GlobBerOpm!$C$11</f>
        <v>0</v>
      </c>
    </row>
    <row r="342" spans="1:2" x14ac:dyDescent="0.35">
      <c r="A342" s="383" t="s">
        <v>3021</v>
      </c>
      <c r="B342">
        <f>GlobBerOpm!$C$12</f>
        <v>0</v>
      </c>
    </row>
    <row r="343" spans="1:2" x14ac:dyDescent="0.35">
      <c r="A343" s="383" t="s">
        <v>3022</v>
      </c>
      <c r="B343">
        <f>GlobBerOpm!$C$13</f>
        <v>0</v>
      </c>
    </row>
    <row r="344" spans="1:2" x14ac:dyDescent="0.35">
      <c r="A344" s="383" t="s">
        <v>3023</v>
      </c>
      <c r="B344">
        <f>GlobBerOpm!$C$14</f>
        <v>0</v>
      </c>
    </row>
    <row r="345" spans="1:2" x14ac:dyDescent="0.35">
      <c r="A345" s="383" t="s">
        <v>3024</v>
      </c>
      <c r="B345">
        <f>GlobBerOpm!$C$15</f>
        <v>0</v>
      </c>
    </row>
    <row r="346" spans="1:2" x14ac:dyDescent="0.35">
      <c r="A346" s="383" t="s">
        <v>3025</v>
      </c>
      <c r="B346">
        <f>GlobBerOpm!$C$16</f>
        <v>0</v>
      </c>
    </row>
    <row r="347" spans="1:2" x14ac:dyDescent="0.35">
      <c r="A347" s="383" t="s">
        <v>3026</v>
      </c>
      <c r="B347">
        <f>GlobBerOpm!$C$17</f>
        <v>0</v>
      </c>
    </row>
    <row r="348" spans="1:2" x14ac:dyDescent="0.35">
      <c r="A348" s="383" t="s">
        <v>3027</v>
      </c>
      <c r="B348">
        <f>GlobBerOpm!$C$18</f>
        <v>0</v>
      </c>
    </row>
    <row r="349" spans="1:2" x14ac:dyDescent="0.35">
      <c r="A349" s="383" t="s">
        <v>3028</v>
      </c>
      <c r="B349">
        <f>GlobBerOpm!$C$19</f>
        <v>0</v>
      </c>
    </row>
    <row r="350" spans="1:2" x14ac:dyDescent="0.35">
      <c r="A350" s="383" t="s">
        <v>3029</v>
      </c>
      <c r="B350">
        <f>GlobBerOpm!$C$20</f>
        <v>0</v>
      </c>
    </row>
    <row r="351" spans="1:2" x14ac:dyDescent="0.35">
      <c r="A351" s="383" t="s">
        <v>3030</v>
      </c>
      <c r="B351">
        <f>GlobBerOpm!$C$21</f>
        <v>0</v>
      </c>
    </row>
    <row r="352" spans="1:2" x14ac:dyDescent="0.35">
      <c r="A352" s="383" t="s">
        <v>3031</v>
      </c>
      <c r="B352">
        <f>GlobBerOpm!$C$22</f>
        <v>0</v>
      </c>
    </row>
    <row r="353" spans="1:8" x14ac:dyDescent="0.35">
      <c r="A353" s="383" t="s">
        <v>3032</v>
      </c>
      <c r="B353">
        <f>GlobBerOpm!$C$23</f>
        <v>0</v>
      </c>
      <c r="E353" s="383"/>
      <c r="F353" s="383"/>
      <c r="G353" s="383"/>
      <c r="H353" s="383"/>
    </row>
    <row r="354" spans="1:8" x14ac:dyDescent="0.35">
      <c r="A354" s="383" t="s">
        <v>3033</v>
      </c>
      <c r="B354">
        <f>GlobBerOpm!$C$24</f>
        <v>0</v>
      </c>
      <c r="E354" s="383"/>
      <c r="F354" s="383"/>
      <c r="G354" s="383"/>
      <c r="H354" s="383"/>
    </row>
    <row r="355" spans="1:8" x14ac:dyDescent="0.35">
      <c r="A355" s="383" t="s">
        <v>3034</v>
      </c>
      <c r="B355">
        <f>GlobBerOpm!$C$25</f>
        <v>0</v>
      </c>
      <c r="E355" s="383"/>
      <c r="F355" s="383"/>
      <c r="G355" s="383"/>
      <c r="H355" s="383"/>
    </row>
    <row r="356" spans="1:8" x14ac:dyDescent="0.35">
      <c r="A356" s="383" t="s">
        <v>3035</v>
      </c>
      <c r="B356" s="383">
        <f>GlobBerOpm!$C$26</f>
        <v>0</v>
      </c>
      <c r="E356" s="383"/>
      <c r="F356" s="383"/>
      <c r="G356" s="383"/>
      <c r="H356" s="383"/>
    </row>
    <row r="357" spans="1:8" x14ac:dyDescent="0.35">
      <c r="A357" s="383" t="s">
        <v>3036</v>
      </c>
      <c r="B357" s="383">
        <f>GlobBerOpm!$C$27</f>
        <v>0</v>
      </c>
      <c r="E357" s="383"/>
      <c r="F357" s="383"/>
      <c r="G357" s="383"/>
      <c r="H357" s="383"/>
    </row>
    <row r="358" spans="1:8" x14ac:dyDescent="0.35">
      <c r="A358" s="383" t="s">
        <v>3037</v>
      </c>
      <c r="B358" s="383">
        <f>GlobBerOpm!$C$28</f>
        <v>0</v>
      </c>
      <c r="E358" s="383"/>
      <c r="F358" s="383"/>
      <c r="G358" s="383"/>
      <c r="H358" s="383"/>
    </row>
    <row r="359" spans="1:8" x14ac:dyDescent="0.35">
      <c r="A359" s="383" t="s">
        <v>3038</v>
      </c>
      <c r="B359" s="383">
        <f>GlobBerOpm!$C$29</f>
        <v>0</v>
      </c>
      <c r="E359" s="383"/>
      <c r="F359" s="383"/>
      <c r="G359" s="383"/>
      <c r="H359" s="383"/>
    </row>
    <row r="360" spans="1:8" x14ac:dyDescent="0.35">
      <c r="A360" s="383" t="s">
        <v>3039</v>
      </c>
      <c r="B360" s="383">
        <f>GlobBerOpm!$C$30</f>
        <v>0</v>
      </c>
      <c r="E360" s="383"/>
      <c r="F360" s="383"/>
      <c r="G360" s="383"/>
      <c r="H360" s="383"/>
    </row>
    <row r="361" spans="1:8" x14ac:dyDescent="0.35">
      <c r="A361" s="383" t="s">
        <v>3040</v>
      </c>
      <c r="B361" s="383">
        <f>GlobBerOpm!$C$31</f>
        <v>0</v>
      </c>
      <c r="E361" s="383"/>
      <c r="F361" s="383"/>
      <c r="G361" s="383"/>
      <c r="H361" s="383"/>
    </row>
    <row r="362" spans="1:8" x14ac:dyDescent="0.35">
      <c r="A362" s="383" t="s">
        <v>3041</v>
      </c>
      <c r="B362" s="383">
        <f>GlobBerOpm!$C$32</f>
        <v>0</v>
      </c>
      <c r="E362" s="383"/>
      <c r="F362" s="383"/>
      <c r="G362" s="383"/>
      <c r="H362" s="383"/>
    </row>
    <row r="363" spans="1:8" x14ac:dyDescent="0.35">
      <c r="A363" s="383" t="s">
        <v>3042</v>
      </c>
      <c r="B363" s="383">
        <f>GlobBerOpm!$C$33</f>
        <v>0</v>
      </c>
      <c r="E363" s="383"/>
      <c r="F363" s="383"/>
      <c r="G363" s="383"/>
      <c r="H363" s="383"/>
    </row>
    <row r="364" spans="1:8" x14ac:dyDescent="0.35">
      <c r="A364" s="383" t="s">
        <v>3043</v>
      </c>
      <c r="B364" s="383">
        <f>GlobBerOpm!$C$34</f>
        <v>0</v>
      </c>
    </row>
    <row r="365" spans="1:8" x14ac:dyDescent="0.35">
      <c r="A365" s="383" t="s">
        <v>3044</v>
      </c>
      <c r="B365" s="383">
        <f>GlobBerOpm!$C$35</f>
        <v>0</v>
      </c>
    </row>
    <row r="366" spans="1:8" x14ac:dyDescent="0.35">
      <c r="A366" s="383" t="s">
        <v>3045</v>
      </c>
      <c r="B366">
        <f>GlobBerOpm!$C$36</f>
        <v>0</v>
      </c>
    </row>
    <row r="367" spans="1:8" x14ac:dyDescent="0.35">
      <c r="A367" s="383" t="s">
        <v>3046</v>
      </c>
      <c r="B367" s="385">
        <f>GlobBerMedDisc!$E$2</f>
        <v>0</v>
      </c>
    </row>
    <row r="368" spans="1:8" x14ac:dyDescent="0.35">
      <c r="A368" s="383" t="s">
        <v>3047</v>
      </c>
      <c r="B368" s="385">
        <f>GlobBerMedDisc!$E$3</f>
        <v>0</v>
      </c>
    </row>
    <row r="369" spans="1:2" x14ac:dyDescent="0.35">
      <c r="A369" s="383" t="s">
        <v>3048</v>
      </c>
      <c r="B369" s="385">
        <f>GlobBerMedDisc!$E$4</f>
        <v>0</v>
      </c>
    </row>
    <row r="370" spans="1:2" x14ac:dyDescent="0.35">
      <c r="A370" s="383" t="s">
        <v>3049</v>
      </c>
      <c r="B370" s="385">
        <f>GlobBerMedDisc!$E$5</f>
        <v>0</v>
      </c>
    </row>
    <row r="371" spans="1:2" x14ac:dyDescent="0.35">
      <c r="A371" s="383" t="s">
        <v>3050</v>
      </c>
      <c r="B371" s="385">
        <f>GlobBerMedDisc!$E$6</f>
        <v>0</v>
      </c>
    </row>
    <row r="372" spans="1:2" x14ac:dyDescent="0.35">
      <c r="A372" s="383" t="s">
        <v>3051</v>
      </c>
      <c r="B372" s="385">
        <f>GlobBerMedDisc!$E$7</f>
        <v>0</v>
      </c>
    </row>
    <row r="373" spans="1:2" x14ac:dyDescent="0.35">
      <c r="A373" s="383" t="s">
        <v>3052</v>
      </c>
      <c r="B373" s="385">
        <f>GlobBerMedDisc!$E$8</f>
        <v>0</v>
      </c>
    </row>
    <row r="374" spans="1:2" x14ac:dyDescent="0.35">
      <c r="A374" s="383" t="s">
        <v>3053</v>
      </c>
      <c r="B374" s="385">
        <f>GlobBerMedDisc!$E$9</f>
        <v>0</v>
      </c>
    </row>
    <row r="375" spans="1:2" x14ac:dyDescent="0.35">
      <c r="A375" s="383" t="s">
        <v>3054</v>
      </c>
      <c r="B375" s="385">
        <f>GlobBerMedDisc!$E$10</f>
        <v>0</v>
      </c>
    </row>
    <row r="376" spans="1:2" x14ac:dyDescent="0.35">
      <c r="A376" s="383" t="s">
        <v>3055</v>
      </c>
      <c r="B376" s="385">
        <f>GlobBerMedDisc!$E$11</f>
        <v>0</v>
      </c>
    </row>
    <row r="377" spans="1:2" x14ac:dyDescent="0.35">
      <c r="A377" s="383" t="s">
        <v>3056</v>
      </c>
      <c r="B377" s="385">
        <f>GlobBerMedDisc!$E$12</f>
        <v>0</v>
      </c>
    </row>
    <row r="378" spans="1:2" x14ac:dyDescent="0.35">
      <c r="A378" s="383" t="s">
        <v>3057</v>
      </c>
      <c r="B378" s="385">
        <f>GlobBerMedDisc!$E$13</f>
        <v>0</v>
      </c>
    </row>
    <row r="379" spans="1:2" x14ac:dyDescent="0.35">
      <c r="A379" s="383" t="s">
        <v>3058</v>
      </c>
      <c r="B379" s="385">
        <f>GlobBerMedDisc!$E$14</f>
        <v>0</v>
      </c>
    </row>
    <row r="380" spans="1:2" x14ac:dyDescent="0.35">
      <c r="A380" s="383" t="s">
        <v>3059</v>
      </c>
      <c r="B380" s="385">
        <f>GlobBerMedDisc!$E$15</f>
        <v>0</v>
      </c>
    </row>
    <row r="381" spans="1:2" x14ac:dyDescent="0.35">
      <c r="A381" s="383" t="s">
        <v>3060</v>
      </c>
      <c r="B381" s="385">
        <f>GlobBerMedDisc!$E$16</f>
        <v>0</v>
      </c>
    </row>
    <row r="382" spans="1:2" x14ac:dyDescent="0.35">
      <c r="A382" s="383" t="s">
        <v>3061</v>
      </c>
      <c r="B382" s="385">
        <f>GlobBerMedDisc!$E$17</f>
        <v>0</v>
      </c>
    </row>
    <row r="383" spans="1:2" x14ac:dyDescent="0.35">
      <c r="A383" s="383" t="s">
        <v>3062</v>
      </c>
      <c r="B383" s="385">
        <f>GlobBerMedDisc!$E$18</f>
        <v>0</v>
      </c>
    </row>
    <row r="384" spans="1:2" x14ac:dyDescent="0.35">
      <c r="A384" s="383" t="s">
        <v>3063</v>
      </c>
      <c r="B384" s="385">
        <f>GlobBerMedDisc!$E$19</f>
        <v>0</v>
      </c>
    </row>
    <row r="385" spans="1:6" x14ac:dyDescent="0.35">
      <c r="A385" s="383" t="s">
        <v>3064</v>
      </c>
      <c r="B385" s="385">
        <f>GlobBerMedDisc!$E$20</f>
        <v>0</v>
      </c>
    </row>
    <row r="386" spans="1:6" x14ac:dyDescent="0.35">
      <c r="A386" s="383" t="s">
        <v>3065</v>
      </c>
      <c r="B386" s="385">
        <f>GlobBerMedDisc!$E$21</f>
        <v>0</v>
      </c>
      <c r="F386" s="383"/>
    </row>
    <row r="387" spans="1:6" x14ac:dyDescent="0.35">
      <c r="A387" s="383" t="s">
        <v>3066</v>
      </c>
      <c r="B387" s="385">
        <f>GlobBerMedDisc!$E$22</f>
        <v>0</v>
      </c>
    </row>
    <row r="388" spans="1:6" x14ac:dyDescent="0.35">
      <c r="A388" s="383" t="s">
        <v>3067</v>
      </c>
      <c r="B388" s="385">
        <f>GlobBerMedDisc!$E$23</f>
        <v>0</v>
      </c>
    </row>
    <row r="389" spans="1:6" x14ac:dyDescent="0.35">
      <c r="A389" s="383" t="s">
        <v>3068</v>
      </c>
      <c r="B389" s="385">
        <f>GlobBerMedDisc!$E$24</f>
        <v>0</v>
      </c>
    </row>
    <row r="390" spans="1:6" x14ac:dyDescent="0.35">
      <c r="A390" s="383" t="s">
        <v>3069</v>
      </c>
      <c r="B390" s="385">
        <f>GlobBerMedDisc!$E$25</f>
        <v>0</v>
      </c>
    </row>
    <row r="391" spans="1:6" x14ac:dyDescent="0.35">
      <c r="A391" s="383" t="s">
        <v>3070</v>
      </c>
      <c r="B391" s="385">
        <f>GlobBerMedDisc!$E$26</f>
        <v>0</v>
      </c>
    </row>
    <row r="392" spans="1:6" x14ac:dyDescent="0.35">
      <c r="A392" s="383" t="s">
        <v>3071</v>
      </c>
      <c r="B392" s="385">
        <f>GlobBerMedDisc!$E$27</f>
        <v>0</v>
      </c>
    </row>
    <row r="393" spans="1:6" x14ac:dyDescent="0.35">
      <c r="A393" s="383" t="s">
        <v>3072</v>
      </c>
      <c r="B393" s="385">
        <f>GlobBerMedDisc!$E$28</f>
        <v>0</v>
      </c>
    </row>
    <row r="394" spans="1:6" x14ac:dyDescent="0.35">
      <c r="A394" s="383" t="s">
        <v>3073</v>
      </c>
      <c r="B394" s="385">
        <f>GlobBerMedDisc!$E$29</f>
        <v>0</v>
      </c>
    </row>
    <row r="395" spans="1:6" x14ac:dyDescent="0.35">
      <c r="A395" s="383" t="s">
        <v>3074</v>
      </c>
      <c r="B395" s="385">
        <f>GlobBerMedDisc!$E$30</f>
        <v>0</v>
      </c>
    </row>
    <row r="396" spans="1:6" x14ac:dyDescent="0.35">
      <c r="A396" s="383" t="s">
        <v>3075</v>
      </c>
      <c r="B396" s="385">
        <f>GlobBerMedDisc!$E$31</f>
        <v>0</v>
      </c>
    </row>
    <row r="397" spans="1:6" x14ac:dyDescent="0.35">
      <c r="A397" s="383" t="s">
        <v>3076</v>
      </c>
      <c r="B397">
        <f>GlobBerMedDisc!$AG$2</f>
        <v>0</v>
      </c>
    </row>
    <row r="398" spans="1:6" x14ac:dyDescent="0.35">
      <c r="A398" s="383" t="s">
        <v>3077</v>
      </c>
      <c r="B398">
        <f>GlobBerMedDisc!$AG$3</f>
        <v>0</v>
      </c>
    </row>
    <row r="399" spans="1:6" x14ac:dyDescent="0.35">
      <c r="A399" s="383" t="s">
        <v>3078</v>
      </c>
      <c r="B399">
        <f>GlobBerMedDisc!$AG$4</f>
        <v>0</v>
      </c>
    </row>
    <row r="400" spans="1:6" x14ac:dyDescent="0.35">
      <c r="A400" s="383" t="s">
        <v>3079</v>
      </c>
      <c r="B400">
        <f>GlobBerMedDisc!$AG$5</f>
        <v>0</v>
      </c>
    </row>
    <row r="401" spans="1:2" x14ac:dyDescent="0.35">
      <c r="A401" s="383" t="s">
        <v>3080</v>
      </c>
      <c r="B401">
        <f>GlobBerMedDisc!$AG$6</f>
        <v>0</v>
      </c>
    </row>
    <row r="402" spans="1:2" x14ac:dyDescent="0.35">
      <c r="A402" s="383" t="s">
        <v>3081</v>
      </c>
      <c r="B402">
        <f>GlobBerMedDisc!$AG$7</f>
        <v>0</v>
      </c>
    </row>
    <row r="403" spans="1:2" x14ac:dyDescent="0.35">
      <c r="A403" s="383" t="s">
        <v>3082</v>
      </c>
      <c r="B403">
        <f>GlobBerMedDisc!$AG$8</f>
        <v>0</v>
      </c>
    </row>
    <row r="404" spans="1:2" x14ac:dyDescent="0.35">
      <c r="A404" s="383" t="s">
        <v>3083</v>
      </c>
      <c r="B404">
        <f>GlobBerMedDisc!$AG$9</f>
        <v>0</v>
      </c>
    </row>
    <row r="405" spans="1:2" x14ac:dyDescent="0.35">
      <c r="A405" s="383" t="s">
        <v>3084</v>
      </c>
      <c r="B405">
        <f>GlobBerMedDisc!$AG$10</f>
        <v>0</v>
      </c>
    </row>
    <row r="406" spans="1:2" x14ac:dyDescent="0.35">
      <c r="A406" s="383" t="s">
        <v>3085</v>
      </c>
      <c r="B406">
        <f>GlobBerMedDisc!$AG$11</f>
        <v>0</v>
      </c>
    </row>
    <row r="407" spans="1:2" x14ac:dyDescent="0.35">
      <c r="A407" s="383" t="s">
        <v>3086</v>
      </c>
      <c r="B407">
        <f>GlobBerMedDisc!$AG$12</f>
        <v>0</v>
      </c>
    </row>
    <row r="408" spans="1:2" x14ac:dyDescent="0.35">
      <c r="A408" s="383" t="s">
        <v>3087</v>
      </c>
      <c r="B408">
        <f>GlobBerMedDisc!$AG$13</f>
        <v>0</v>
      </c>
    </row>
    <row r="409" spans="1:2" x14ac:dyDescent="0.35">
      <c r="A409" s="383" t="s">
        <v>3088</v>
      </c>
      <c r="B409">
        <f>GlobBerMedDisc!$AG$14</f>
        <v>0</v>
      </c>
    </row>
    <row r="410" spans="1:2" x14ac:dyDescent="0.35">
      <c r="A410" s="383" t="s">
        <v>3089</v>
      </c>
      <c r="B410">
        <f>GlobBerMedDisc!$AG$15</f>
        <v>0</v>
      </c>
    </row>
    <row r="411" spans="1:2" x14ac:dyDescent="0.35">
      <c r="A411" s="383" t="s">
        <v>3090</v>
      </c>
      <c r="B411">
        <f>GlobBerMedDisc!$AG$16</f>
        <v>0</v>
      </c>
    </row>
    <row r="412" spans="1:2" x14ac:dyDescent="0.35">
      <c r="A412" s="383" t="s">
        <v>3091</v>
      </c>
      <c r="B412">
        <f>GlobBerMedDisc!$AG$17</f>
        <v>0</v>
      </c>
    </row>
    <row r="413" spans="1:2" x14ac:dyDescent="0.35">
      <c r="A413" s="383" t="s">
        <v>3092</v>
      </c>
      <c r="B413">
        <f>GlobBerMedDisc!$AG$18</f>
        <v>0</v>
      </c>
    </row>
    <row r="414" spans="1:2" x14ac:dyDescent="0.35">
      <c r="A414" s="383" t="s">
        <v>3093</v>
      </c>
      <c r="B414">
        <f>GlobBerMedDisc!$AG$19</f>
        <v>0</v>
      </c>
    </row>
    <row r="415" spans="1:2" x14ac:dyDescent="0.35">
      <c r="A415" s="383" t="s">
        <v>3094</v>
      </c>
      <c r="B415">
        <f>GlobBerMedDisc!$AG$20</f>
        <v>0</v>
      </c>
    </row>
    <row r="416" spans="1:2" x14ac:dyDescent="0.35">
      <c r="A416" s="383" t="s">
        <v>3095</v>
      </c>
      <c r="B416">
        <f>GlobBerMedDisc!$AG$21</f>
        <v>0</v>
      </c>
    </row>
    <row r="417" spans="1:6" x14ac:dyDescent="0.35">
      <c r="A417" s="383" t="s">
        <v>3096</v>
      </c>
      <c r="B417">
        <f>GlobBerMedDisc!$AG$22</f>
        <v>0</v>
      </c>
    </row>
    <row r="418" spans="1:6" x14ac:dyDescent="0.35">
      <c r="A418" s="383" t="s">
        <v>3097</v>
      </c>
      <c r="B418">
        <f>GlobBerMedDisc!$AG$23</f>
        <v>0</v>
      </c>
    </row>
    <row r="419" spans="1:6" x14ac:dyDescent="0.35">
      <c r="A419" s="383" t="s">
        <v>3098</v>
      </c>
      <c r="B419">
        <f>GlobBerMedDisc!$AG$24</f>
        <v>0</v>
      </c>
    </row>
    <row r="420" spans="1:6" x14ac:dyDescent="0.35">
      <c r="A420" s="383" t="s">
        <v>3099</v>
      </c>
      <c r="B420">
        <f>GlobBerMedDisc!$AG$25</f>
        <v>0</v>
      </c>
    </row>
    <row r="421" spans="1:6" x14ac:dyDescent="0.35">
      <c r="A421" s="383" t="s">
        <v>3100</v>
      </c>
      <c r="B421">
        <f>GlobBerMedDisc!$AG$26</f>
        <v>0</v>
      </c>
    </row>
    <row r="422" spans="1:6" x14ac:dyDescent="0.35">
      <c r="A422" s="383" t="s">
        <v>3101</v>
      </c>
      <c r="B422">
        <f>GlobBerMedDisc!$AG$27</f>
        <v>0</v>
      </c>
    </row>
    <row r="423" spans="1:6" x14ac:dyDescent="0.35">
      <c r="A423" s="383" t="s">
        <v>3102</v>
      </c>
      <c r="B423">
        <f>GlobBerMedDisc!$AG$28</f>
        <v>0</v>
      </c>
    </row>
    <row r="424" spans="1:6" x14ac:dyDescent="0.35">
      <c r="A424" s="383" t="s">
        <v>3103</v>
      </c>
      <c r="B424">
        <f>GlobBerMedDisc!$AG$29</f>
        <v>0</v>
      </c>
    </row>
    <row r="425" spans="1:6" x14ac:dyDescent="0.35">
      <c r="A425" s="383" t="s">
        <v>3104</v>
      </c>
      <c r="B425">
        <f>GlobBerMedDisc!$AG$30</f>
        <v>0</v>
      </c>
    </row>
    <row r="426" spans="1:6" x14ac:dyDescent="0.35">
      <c r="A426" s="383" t="s">
        <v>3105</v>
      </c>
      <c r="B426">
        <f>GlobBerMedDisc!$AG$31</f>
        <v>0</v>
      </c>
    </row>
    <row r="427" spans="1:6" x14ac:dyDescent="0.35">
      <c r="A427" s="383" t="s">
        <v>3106</v>
      </c>
      <c r="B427">
        <f>GlobBerMedDisc!$AH$2</f>
        <v>0</v>
      </c>
    </row>
    <row r="428" spans="1:6" x14ac:dyDescent="0.35">
      <c r="A428" s="383" t="s">
        <v>3107</v>
      </c>
      <c r="B428">
        <f>GlobBerMedDisc!$AH$3</f>
        <v>0</v>
      </c>
    </row>
    <row r="429" spans="1:6" x14ac:dyDescent="0.35">
      <c r="A429" s="383" t="s">
        <v>3108</v>
      </c>
      <c r="B429">
        <f>GlobBerMedDisc!$AH$4</f>
        <v>0</v>
      </c>
    </row>
    <row r="430" spans="1:6" x14ac:dyDescent="0.35">
      <c r="A430" s="383" t="s">
        <v>3109</v>
      </c>
      <c r="B430">
        <f>GlobBerMedDisc!$AH$5</f>
        <v>0</v>
      </c>
    </row>
    <row r="431" spans="1:6" x14ac:dyDescent="0.35">
      <c r="A431" s="383" t="s">
        <v>3110</v>
      </c>
      <c r="B431">
        <f>GlobBerMedDisc!$AH$6</f>
        <v>0</v>
      </c>
    </row>
    <row r="432" spans="1:6" x14ac:dyDescent="0.35">
      <c r="A432" s="383" t="s">
        <v>3111</v>
      </c>
      <c r="B432">
        <f>GlobBerMedDisc!$AH$7</f>
        <v>0</v>
      </c>
      <c r="F432" s="383"/>
    </row>
    <row r="433" spans="1:6" x14ac:dyDescent="0.35">
      <c r="A433" s="383" t="s">
        <v>3112</v>
      </c>
      <c r="B433">
        <f>GlobBerMedDisc!$AH$8</f>
        <v>0</v>
      </c>
    </row>
    <row r="434" spans="1:6" x14ac:dyDescent="0.35">
      <c r="A434" s="383" t="s">
        <v>3113</v>
      </c>
      <c r="B434">
        <f>GlobBerMedDisc!$AH$9</f>
        <v>0</v>
      </c>
    </row>
    <row r="435" spans="1:6" x14ac:dyDescent="0.35">
      <c r="A435" s="383" t="s">
        <v>3114</v>
      </c>
      <c r="B435">
        <f>GlobBerMedDisc!$AH$10</f>
        <v>0</v>
      </c>
    </row>
    <row r="436" spans="1:6" x14ac:dyDescent="0.35">
      <c r="A436" s="383" t="s">
        <v>3115</v>
      </c>
      <c r="B436">
        <f>GlobBerMedDisc!$AH$11</f>
        <v>0</v>
      </c>
    </row>
    <row r="437" spans="1:6" x14ac:dyDescent="0.35">
      <c r="A437" s="383" t="s">
        <v>3116</v>
      </c>
      <c r="B437">
        <f>GlobBerMedDisc!$AH$12</f>
        <v>0</v>
      </c>
      <c r="F437" s="383"/>
    </row>
    <row r="438" spans="1:6" x14ac:dyDescent="0.35">
      <c r="A438" s="383" t="s">
        <v>3117</v>
      </c>
      <c r="B438">
        <f>GlobBerMedDisc!$AH$13</f>
        <v>0</v>
      </c>
    </row>
    <row r="439" spans="1:6" x14ac:dyDescent="0.35">
      <c r="A439" s="383" t="s">
        <v>3118</v>
      </c>
      <c r="B439">
        <f>GlobBerMedDisc!$AH$14</f>
        <v>0</v>
      </c>
    </row>
    <row r="440" spans="1:6" x14ac:dyDescent="0.35">
      <c r="A440" s="383" t="s">
        <v>3119</v>
      </c>
      <c r="B440">
        <f>GlobBerMedDisc!$AH$15</f>
        <v>0</v>
      </c>
    </row>
    <row r="441" spans="1:6" x14ac:dyDescent="0.35">
      <c r="A441" s="383" t="s">
        <v>3120</v>
      </c>
      <c r="B441">
        <f>GlobBerMedDisc!$AH$16</f>
        <v>0</v>
      </c>
    </row>
    <row r="442" spans="1:6" x14ac:dyDescent="0.35">
      <c r="A442" s="383" t="s">
        <v>3121</v>
      </c>
      <c r="B442">
        <f>GlobBerMedDisc!$AH$17</f>
        <v>0</v>
      </c>
    </row>
    <row r="443" spans="1:6" x14ac:dyDescent="0.35">
      <c r="A443" s="383" t="s">
        <v>3122</v>
      </c>
      <c r="B443">
        <f>GlobBerMedDisc!$AH$18</f>
        <v>0</v>
      </c>
    </row>
    <row r="444" spans="1:6" x14ac:dyDescent="0.35">
      <c r="A444" s="383" t="s">
        <v>3123</v>
      </c>
      <c r="B444">
        <f>GlobBerMedDisc!$AH$19</f>
        <v>0</v>
      </c>
    </row>
    <row r="445" spans="1:6" x14ac:dyDescent="0.35">
      <c r="A445" s="383" t="s">
        <v>3124</v>
      </c>
      <c r="B445">
        <f>GlobBerMedDisc!$AH$20</f>
        <v>0</v>
      </c>
    </row>
    <row r="446" spans="1:6" x14ac:dyDescent="0.35">
      <c r="A446" s="383" t="s">
        <v>3125</v>
      </c>
      <c r="B446">
        <f>GlobBerMedDisc!$AH$21</f>
        <v>0</v>
      </c>
    </row>
    <row r="447" spans="1:6" x14ac:dyDescent="0.35">
      <c r="A447" s="383" t="s">
        <v>3126</v>
      </c>
      <c r="B447">
        <f>GlobBerMedDisc!$AH$22</f>
        <v>0</v>
      </c>
    </row>
    <row r="448" spans="1:6" x14ac:dyDescent="0.35">
      <c r="A448" s="383" t="s">
        <v>3127</v>
      </c>
      <c r="B448">
        <f>GlobBerMedDisc!$AH$23</f>
        <v>0</v>
      </c>
    </row>
    <row r="449" spans="1:3" x14ac:dyDescent="0.35">
      <c r="A449" s="383" t="s">
        <v>3128</v>
      </c>
      <c r="B449">
        <f>GlobBerMedDisc!$AH$24</f>
        <v>0</v>
      </c>
    </row>
    <row r="450" spans="1:3" x14ac:dyDescent="0.35">
      <c r="A450" s="383" t="s">
        <v>3129</v>
      </c>
      <c r="B450">
        <f>GlobBerMedDisc!$AH$25</f>
        <v>0</v>
      </c>
    </row>
    <row r="451" spans="1:3" x14ac:dyDescent="0.35">
      <c r="A451" s="383" t="s">
        <v>3130</v>
      </c>
      <c r="B451">
        <f>GlobBerMedDisc!$AH$26</f>
        <v>0</v>
      </c>
    </row>
    <row r="452" spans="1:3" x14ac:dyDescent="0.35">
      <c r="A452" s="383" t="s">
        <v>3131</v>
      </c>
      <c r="B452">
        <f>GlobBerMedDisc!$AH$27</f>
        <v>0</v>
      </c>
    </row>
    <row r="453" spans="1:3" s="383" customFormat="1" x14ac:dyDescent="0.35">
      <c r="A453" s="383" t="s">
        <v>3132</v>
      </c>
      <c r="B453">
        <f>GlobBerMedDisc!$AH$28</f>
        <v>0</v>
      </c>
    </row>
    <row r="454" spans="1:3" x14ac:dyDescent="0.35">
      <c r="A454" s="383" t="s">
        <v>3133</v>
      </c>
      <c r="B454">
        <f>GlobBerMedDisc!$AH$29</f>
        <v>0</v>
      </c>
    </row>
    <row r="455" spans="1:3" x14ac:dyDescent="0.35">
      <c r="A455" s="383" t="s">
        <v>3134</v>
      </c>
      <c r="B455">
        <f>GlobBerMedDisc!$AH$30</f>
        <v>0</v>
      </c>
    </row>
    <row r="456" spans="1:3" x14ac:dyDescent="0.35">
      <c r="A456" s="383" t="s">
        <v>3135</v>
      </c>
      <c r="B456">
        <f>GlobBerMedDisc!$AH$31</f>
        <v>0</v>
      </c>
    </row>
    <row r="457" spans="1:3" x14ac:dyDescent="0.35">
      <c r="A457" s="383" t="s">
        <v>3136</v>
      </c>
      <c r="B457">
        <f>GlobBerMedDisc!$I$2</f>
        <v>1</v>
      </c>
      <c r="C457">
        <v>1</v>
      </c>
    </row>
    <row r="458" spans="1:3" x14ac:dyDescent="0.35">
      <c r="A458" s="383" t="s">
        <v>3137</v>
      </c>
      <c r="B458">
        <f>GlobBerMedDisc!$I$3</f>
        <v>1</v>
      </c>
      <c r="C458">
        <v>1</v>
      </c>
    </row>
    <row r="459" spans="1:3" x14ac:dyDescent="0.35">
      <c r="A459" s="383" t="s">
        <v>3138</v>
      </c>
      <c r="B459">
        <f>GlobBerMedDisc!$I$4</f>
        <v>1</v>
      </c>
      <c r="C459">
        <v>1</v>
      </c>
    </row>
    <row r="460" spans="1:3" x14ac:dyDescent="0.35">
      <c r="A460" s="383" t="s">
        <v>3139</v>
      </c>
      <c r="B460">
        <f>GlobBerMedDisc!$I$5</f>
        <v>1</v>
      </c>
      <c r="C460">
        <v>1</v>
      </c>
    </row>
    <row r="461" spans="1:3" x14ac:dyDescent="0.35">
      <c r="A461" s="383" t="s">
        <v>3140</v>
      </c>
      <c r="B461">
        <f>GlobBerMedDisc!$I$6</f>
        <v>1</v>
      </c>
      <c r="C461">
        <v>1</v>
      </c>
    </row>
    <row r="462" spans="1:3" x14ac:dyDescent="0.35">
      <c r="A462" s="383" t="s">
        <v>3141</v>
      </c>
      <c r="B462">
        <f>GlobBerMedDisc!$I$7</f>
        <v>1</v>
      </c>
      <c r="C462">
        <v>1</v>
      </c>
    </row>
    <row r="463" spans="1:3" x14ac:dyDescent="0.35">
      <c r="A463" s="383" t="s">
        <v>3142</v>
      </c>
      <c r="B463">
        <f>GlobBerMedDisc!$I$8</f>
        <v>1</v>
      </c>
      <c r="C463">
        <v>1</v>
      </c>
    </row>
    <row r="464" spans="1:3" x14ac:dyDescent="0.35">
      <c r="A464" s="383" t="s">
        <v>3143</v>
      </c>
      <c r="B464">
        <f>GlobBerMedDisc!$I$9</f>
        <v>1</v>
      </c>
      <c r="C464">
        <v>1</v>
      </c>
    </row>
    <row r="465" spans="1:6" x14ac:dyDescent="0.35">
      <c r="A465" s="383" t="s">
        <v>3144</v>
      </c>
      <c r="B465">
        <f>GlobBerMedDisc!$I$10</f>
        <v>1</v>
      </c>
      <c r="C465">
        <v>1</v>
      </c>
      <c r="F465" s="383"/>
    </row>
    <row r="466" spans="1:6" x14ac:dyDescent="0.35">
      <c r="A466" s="383" t="s">
        <v>3145</v>
      </c>
      <c r="B466">
        <f>GlobBerMedDisc!$I$11</f>
        <v>1</v>
      </c>
      <c r="C466">
        <v>1</v>
      </c>
    </row>
    <row r="467" spans="1:6" x14ac:dyDescent="0.35">
      <c r="A467" s="383" t="s">
        <v>3146</v>
      </c>
      <c r="B467">
        <f>GlobBerMedDisc!$I$12</f>
        <v>1</v>
      </c>
      <c r="C467">
        <v>1</v>
      </c>
    </row>
    <row r="468" spans="1:6" x14ac:dyDescent="0.35">
      <c r="A468" s="383" t="s">
        <v>3147</v>
      </c>
      <c r="B468">
        <f>GlobBerMedDisc!$I$13</f>
        <v>1</v>
      </c>
      <c r="C468">
        <v>1</v>
      </c>
    </row>
    <row r="469" spans="1:6" x14ac:dyDescent="0.35">
      <c r="A469" s="383" t="s">
        <v>3148</v>
      </c>
      <c r="B469">
        <f>GlobBerMedDisc!$I$14</f>
        <v>1</v>
      </c>
      <c r="C469">
        <v>1</v>
      </c>
    </row>
    <row r="470" spans="1:6" x14ac:dyDescent="0.35">
      <c r="A470" s="383" t="s">
        <v>3149</v>
      </c>
      <c r="B470">
        <f>GlobBerMedDisc!$I$15</f>
        <v>1</v>
      </c>
      <c r="C470">
        <v>1</v>
      </c>
    </row>
    <row r="471" spans="1:6" x14ac:dyDescent="0.35">
      <c r="A471" s="383" t="s">
        <v>3150</v>
      </c>
      <c r="B471">
        <f>GlobBerMedDisc!$I$16</f>
        <v>1</v>
      </c>
      <c r="C471">
        <v>1</v>
      </c>
    </row>
    <row r="472" spans="1:6" x14ac:dyDescent="0.35">
      <c r="A472" s="383" t="s">
        <v>3151</v>
      </c>
      <c r="B472">
        <f>GlobBerMedDisc!$I$17</f>
        <v>1</v>
      </c>
      <c r="C472">
        <v>1</v>
      </c>
    </row>
    <row r="473" spans="1:6" x14ac:dyDescent="0.35">
      <c r="A473" s="383" t="s">
        <v>3152</v>
      </c>
      <c r="B473">
        <f>GlobBerMedDisc!$I$18</f>
        <v>1</v>
      </c>
      <c r="C473">
        <v>1</v>
      </c>
    </row>
    <row r="474" spans="1:6" x14ac:dyDescent="0.35">
      <c r="A474" s="383" t="s">
        <v>3153</v>
      </c>
      <c r="B474">
        <f>GlobBerMedDisc!$I$19</f>
        <v>1</v>
      </c>
      <c r="C474">
        <v>1</v>
      </c>
    </row>
    <row r="475" spans="1:6" x14ac:dyDescent="0.35">
      <c r="A475" s="383" t="s">
        <v>3154</v>
      </c>
      <c r="B475">
        <f>GlobBerMedDisc!$I$20</f>
        <v>1</v>
      </c>
      <c r="C475">
        <v>1</v>
      </c>
    </row>
    <row r="476" spans="1:6" x14ac:dyDescent="0.35">
      <c r="A476" s="383" t="s">
        <v>3155</v>
      </c>
      <c r="B476">
        <f>GlobBerMedDisc!$I$21</f>
        <v>1</v>
      </c>
      <c r="C476">
        <v>1</v>
      </c>
    </row>
    <row r="477" spans="1:6" x14ac:dyDescent="0.35">
      <c r="A477" s="383" t="s">
        <v>3156</v>
      </c>
      <c r="B477">
        <f>GlobBerMedDisc!$I$22</f>
        <v>1</v>
      </c>
      <c r="C477">
        <v>1</v>
      </c>
    </row>
    <row r="478" spans="1:6" x14ac:dyDescent="0.35">
      <c r="A478" s="383" t="s">
        <v>3157</v>
      </c>
      <c r="B478">
        <f>GlobBerMedDisc!$I$23</f>
        <v>1</v>
      </c>
      <c r="C478">
        <v>1</v>
      </c>
    </row>
    <row r="479" spans="1:6" x14ac:dyDescent="0.35">
      <c r="A479" s="383" t="s">
        <v>3158</v>
      </c>
      <c r="B479">
        <f>GlobBerMedDisc!$I$24</f>
        <v>1</v>
      </c>
      <c r="C479">
        <v>1</v>
      </c>
    </row>
    <row r="480" spans="1:6" x14ac:dyDescent="0.35">
      <c r="A480" s="383" t="s">
        <v>3159</v>
      </c>
      <c r="B480">
        <f>GlobBerMedDisc!$I$25</f>
        <v>1</v>
      </c>
      <c r="C480">
        <v>1</v>
      </c>
    </row>
    <row r="481" spans="1:3" x14ac:dyDescent="0.35">
      <c r="A481" s="383" t="s">
        <v>3160</v>
      </c>
      <c r="B481">
        <f>GlobBerMedDisc!$I$26</f>
        <v>1</v>
      </c>
      <c r="C481">
        <v>1</v>
      </c>
    </row>
    <row r="482" spans="1:3" x14ac:dyDescent="0.35">
      <c r="A482" s="383" t="s">
        <v>3161</v>
      </c>
      <c r="B482">
        <f>GlobBerMedDisc!$I$27</f>
        <v>1</v>
      </c>
      <c r="C482">
        <v>1</v>
      </c>
    </row>
    <row r="483" spans="1:3" x14ac:dyDescent="0.35">
      <c r="A483" s="383" t="s">
        <v>3162</v>
      </c>
      <c r="B483">
        <f>GlobBerMedDisc!$I$28</f>
        <v>1</v>
      </c>
      <c r="C483">
        <v>1</v>
      </c>
    </row>
    <row r="484" spans="1:3" x14ac:dyDescent="0.35">
      <c r="A484" s="383" t="s">
        <v>3163</v>
      </c>
      <c r="B484">
        <f>GlobBerMedDisc!$I$29</f>
        <v>1</v>
      </c>
      <c r="C484">
        <v>1</v>
      </c>
    </row>
    <row r="485" spans="1:3" x14ac:dyDescent="0.35">
      <c r="A485" s="383" t="s">
        <v>3164</v>
      </c>
      <c r="B485">
        <f>GlobBerMedDisc!$I$30</f>
        <v>1</v>
      </c>
      <c r="C485">
        <v>1</v>
      </c>
    </row>
    <row r="486" spans="1:3" x14ac:dyDescent="0.35">
      <c r="A486" s="383" t="s">
        <v>3165</v>
      </c>
      <c r="B486">
        <f>GlobBerMedDisc!$I$31</f>
        <v>1</v>
      </c>
      <c r="C486">
        <v>1</v>
      </c>
    </row>
    <row r="487" spans="1:3" x14ac:dyDescent="0.35">
      <c r="A487" s="383" t="s">
        <v>3166</v>
      </c>
      <c r="B487">
        <f>GlobBerMedDisc!$L$2</f>
        <v>0</v>
      </c>
    </row>
    <row r="488" spans="1:3" x14ac:dyDescent="0.35">
      <c r="A488" s="383" t="s">
        <v>3167</v>
      </c>
      <c r="B488">
        <f>GlobBerMedDisc!$L$3</f>
        <v>0</v>
      </c>
    </row>
    <row r="489" spans="1:3" x14ac:dyDescent="0.35">
      <c r="A489" s="383" t="s">
        <v>3168</v>
      </c>
      <c r="B489">
        <f>GlobBerMedDisc!$L$4</f>
        <v>0</v>
      </c>
    </row>
    <row r="490" spans="1:3" x14ac:dyDescent="0.35">
      <c r="A490" s="383" t="s">
        <v>3169</v>
      </c>
      <c r="B490">
        <f>GlobBerMedDisc!$L$5</f>
        <v>0</v>
      </c>
    </row>
    <row r="491" spans="1:3" x14ac:dyDescent="0.35">
      <c r="A491" s="383" t="s">
        <v>3170</v>
      </c>
      <c r="B491">
        <f>GlobBerMedDisc!$L$6</f>
        <v>0</v>
      </c>
    </row>
    <row r="492" spans="1:3" x14ac:dyDescent="0.35">
      <c r="A492" s="383" t="s">
        <v>3171</v>
      </c>
      <c r="B492">
        <f>GlobBerMedDisc!$L$7</f>
        <v>0</v>
      </c>
    </row>
    <row r="493" spans="1:3" x14ac:dyDescent="0.35">
      <c r="A493" s="383" t="s">
        <v>3172</v>
      </c>
      <c r="B493">
        <f>GlobBerMedDisc!$L$8</f>
        <v>0</v>
      </c>
    </row>
    <row r="494" spans="1:3" x14ac:dyDescent="0.35">
      <c r="A494" s="383" t="s">
        <v>3173</v>
      </c>
      <c r="B494">
        <f>GlobBerMedDisc!$L$9</f>
        <v>0</v>
      </c>
    </row>
    <row r="495" spans="1:3" x14ac:dyDescent="0.35">
      <c r="A495" s="383" t="s">
        <v>3174</v>
      </c>
      <c r="B495">
        <f>GlobBerMedDisc!$L$10</f>
        <v>0</v>
      </c>
    </row>
    <row r="496" spans="1:3" x14ac:dyDescent="0.35">
      <c r="A496" s="383" t="s">
        <v>3175</v>
      </c>
      <c r="B496">
        <f>GlobBerMedDisc!$L$11</f>
        <v>0</v>
      </c>
    </row>
    <row r="497" spans="1:2" x14ac:dyDescent="0.35">
      <c r="A497" s="383" t="s">
        <v>3176</v>
      </c>
      <c r="B497">
        <f>GlobBerMedDisc!$L$12</f>
        <v>0</v>
      </c>
    </row>
    <row r="498" spans="1:2" x14ac:dyDescent="0.35">
      <c r="A498" s="383" t="s">
        <v>3177</v>
      </c>
      <c r="B498">
        <f>GlobBerMedDisc!$L$13</f>
        <v>0</v>
      </c>
    </row>
    <row r="499" spans="1:2" x14ac:dyDescent="0.35">
      <c r="A499" s="383" t="s">
        <v>3178</v>
      </c>
      <c r="B499">
        <f>GlobBerMedDisc!$L$14</f>
        <v>0</v>
      </c>
    </row>
    <row r="500" spans="1:2" x14ac:dyDescent="0.35">
      <c r="A500" s="383" t="s">
        <v>3179</v>
      </c>
      <c r="B500">
        <f>GlobBerMedDisc!$L$15</f>
        <v>0</v>
      </c>
    </row>
    <row r="501" spans="1:2" x14ac:dyDescent="0.35">
      <c r="A501" s="383" t="s">
        <v>3180</v>
      </c>
      <c r="B501">
        <f>GlobBerMedDisc!$L$16</f>
        <v>0</v>
      </c>
    </row>
    <row r="502" spans="1:2" x14ac:dyDescent="0.35">
      <c r="A502" s="383" t="s">
        <v>3181</v>
      </c>
      <c r="B502">
        <f>GlobBerMedDisc!$L$17</f>
        <v>0</v>
      </c>
    </row>
    <row r="503" spans="1:2" x14ac:dyDescent="0.35">
      <c r="A503" s="383" t="s">
        <v>3182</v>
      </c>
      <c r="B503">
        <f>GlobBerMedDisc!$L$18</f>
        <v>0</v>
      </c>
    </row>
    <row r="504" spans="1:2" x14ac:dyDescent="0.35">
      <c r="A504" s="383" t="s">
        <v>3183</v>
      </c>
      <c r="B504">
        <f>GlobBerMedDisc!$L$19</f>
        <v>0</v>
      </c>
    </row>
    <row r="505" spans="1:2" x14ac:dyDescent="0.35">
      <c r="A505" s="383" t="s">
        <v>3184</v>
      </c>
      <c r="B505">
        <f>GlobBerMedDisc!$L$20</f>
        <v>0</v>
      </c>
    </row>
    <row r="506" spans="1:2" x14ac:dyDescent="0.35">
      <c r="A506" s="383" t="s">
        <v>3185</v>
      </c>
      <c r="B506">
        <f>GlobBerMedDisc!$L$21</f>
        <v>0</v>
      </c>
    </row>
    <row r="507" spans="1:2" x14ac:dyDescent="0.35">
      <c r="A507" s="383" t="s">
        <v>3186</v>
      </c>
      <c r="B507">
        <f>GlobBerMedDisc!$L$22</f>
        <v>0</v>
      </c>
    </row>
    <row r="508" spans="1:2" x14ac:dyDescent="0.35">
      <c r="A508" s="383" t="s">
        <v>3187</v>
      </c>
      <c r="B508">
        <f>GlobBerMedDisc!$L$23</f>
        <v>0</v>
      </c>
    </row>
    <row r="509" spans="1:2" x14ac:dyDescent="0.35">
      <c r="A509" s="383" t="s">
        <v>3188</v>
      </c>
      <c r="B509">
        <f>GlobBerMedDisc!$L$24</f>
        <v>0</v>
      </c>
    </row>
    <row r="510" spans="1:2" x14ac:dyDescent="0.35">
      <c r="A510" s="383" t="s">
        <v>3189</v>
      </c>
      <c r="B510">
        <f>GlobBerMedDisc!$L$25</f>
        <v>0</v>
      </c>
    </row>
    <row r="511" spans="1:2" x14ac:dyDescent="0.35">
      <c r="A511" s="383" t="s">
        <v>3190</v>
      </c>
      <c r="B511">
        <f>GlobBerMedDisc!$L$26</f>
        <v>0</v>
      </c>
    </row>
    <row r="512" spans="1:2" x14ac:dyDescent="0.35">
      <c r="A512" s="383" t="s">
        <v>3191</v>
      </c>
      <c r="B512">
        <f>GlobBerMedDisc!$L$27</f>
        <v>0</v>
      </c>
    </row>
    <row r="513" spans="1:3" x14ac:dyDescent="0.35">
      <c r="A513" s="383" t="s">
        <v>3192</v>
      </c>
      <c r="B513">
        <f>GlobBerMedDisc!$L$28</f>
        <v>0</v>
      </c>
    </row>
    <row r="514" spans="1:3" x14ac:dyDescent="0.35">
      <c r="A514" s="383" t="s">
        <v>3193</v>
      </c>
      <c r="B514">
        <f>GlobBerMedDisc!$L$29</f>
        <v>0</v>
      </c>
    </row>
    <row r="515" spans="1:3" x14ac:dyDescent="0.35">
      <c r="A515" s="383" t="s">
        <v>3194</v>
      </c>
      <c r="B515">
        <f>GlobBerMedDisc!$L$30</f>
        <v>0</v>
      </c>
    </row>
    <row r="516" spans="1:3" x14ac:dyDescent="0.35">
      <c r="A516" s="383" t="s">
        <v>3195</v>
      </c>
      <c r="B516">
        <f>GlobBerMedDisc!$L$31</f>
        <v>0</v>
      </c>
    </row>
    <row r="517" spans="1:3" x14ac:dyDescent="0.35">
      <c r="A517" s="383" t="s">
        <v>3225</v>
      </c>
      <c r="B517">
        <f>NeoBer1700!$B$18</f>
        <v>0</v>
      </c>
      <c r="C517">
        <v>0</v>
      </c>
    </row>
    <row r="518" spans="1:3" x14ac:dyDescent="0.35">
      <c r="A518" s="383" t="s">
        <v>3227</v>
      </c>
      <c r="B518">
        <f>NeoBer1700!$F$1</f>
        <v>0</v>
      </c>
    </row>
    <row r="519" spans="1:3" x14ac:dyDescent="0.35">
      <c r="A519" s="383" t="s">
        <v>3229</v>
      </c>
      <c r="B519">
        <f>NeoBer1700!$D$39</f>
        <v>5000</v>
      </c>
      <c r="C519">
        <v>5000</v>
      </c>
    </row>
    <row r="520" spans="1:3" x14ac:dyDescent="0.35">
      <c r="A520" s="383" t="s">
        <v>3230</v>
      </c>
      <c r="B520">
        <f>NeoBer1700!$D$36</f>
        <v>1</v>
      </c>
      <c r="C520">
        <v>1</v>
      </c>
    </row>
    <row r="521" spans="1:3" x14ac:dyDescent="0.35">
      <c r="A521" s="383" t="s">
        <v>3232</v>
      </c>
      <c r="B521">
        <f>NeoBer1700!$B$15</f>
        <v>2</v>
      </c>
      <c r="C521">
        <v>2</v>
      </c>
    </row>
    <row r="522" spans="1:3" x14ac:dyDescent="0.35">
      <c r="A522" s="383" t="s">
        <v>3235</v>
      </c>
      <c r="B522">
        <f>NeoBer1700!$D$10</f>
        <v>0</v>
      </c>
      <c r="C522">
        <v>0</v>
      </c>
    </row>
    <row r="523" spans="1:3" x14ac:dyDescent="0.35">
      <c r="A523" s="383" t="s">
        <v>3236</v>
      </c>
      <c r="B523">
        <f>NeoBer1700!$D$12</f>
        <v>0</v>
      </c>
      <c r="C523">
        <v>0</v>
      </c>
    </row>
    <row r="524" spans="1:3" x14ac:dyDescent="0.35">
      <c r="A524" s="383" t="s">
        <v>3238</v>
      </c>
      <c r="B524">
        <f>NeoBer1700!$D$45</f>
        <v>2</v>
      </c>
      <c r="C524">
        <v>2</v>
      </c>
    </row>
    <row r="525" spans="1:3" x14ac:dyDescent="0.35">
      <c r="A525" s="383" t="s">
        <v>3241</v>
      </c>
      <c r="B525">
        <f>NeoBer1700!$D$11</f>
        <v>0</v>
      </c>
      <c r="C525">
        <v>0</v>
      </c>
    </row>
    <row r="526" spans="1:3" x14ac:dyDescent="0.35">
      <c r="A526" s="383" t="s">
        <v>3242</v>
      </c>
      <c r="B526">
        <f>NeoBer1700!$D$13</f>
        <v>0</v>
      </c>
      <c r="C526">
        <v>0</v>
      </c>
    </row>
    <row r="527" spans="1:3" x14ac:dyDescent="0.35">
      <c r="A527" s="383" t="s">
        <v>3244</v>
      </c>
      <c r="B527">
        <f>NeoBer1700!$D$16</f>
        <v>5000</v>
      </c>
      <c r="C527">
        <v>5000</v>
      </c>
    </row>
    <row r="528" spans="1:3" x14ac:dyDescent="0.35">
      <c r="A528" s="383" t="s">
        <v>3246</v>
      </c>
      <c r="B528">
        <f>NeoBer1700!$D$35</f>
        <v>5000</v>
      </c>
      <c r="C528">
        <v>5000</v>
      </c>
    </row>
    <row r="529" spans="1:6" x14ac:dyDescent="0.35">
      <c r="A529" s="383" t="s">
        <v>3359</v>
      </c>
      <c r="B529">
        <f>NeoBer1700!$F$35</f>
        <v>1</v>
      </c>
      <c r="C529">
        <v>1</v>
      </c>
      <c r="F529" s="383"/>
    </row>
    <row r="530" spans="1:6" x14ac:dyDescent="0.35">
      <c r="A530" s="383" t="s">
        <v>3248</v>
      </c>
      <c r="B530">
        <f>NeoBer1700!$D$38</f>
        <v>5000</v>
      </c>
      <c r="C530">
        <v>5000</v>
      </c>
    </row>
    <row r="531" spans="1:6" x14ac:dyDescent="0.35">
      <c r="A531" s="383" t="s">
        <v>3258</v>
      </c>
      <c r="B531" s="383">
        <f>NeoBer1700!$B$20</f>
        <v>1</v>
      </c>
      <c r="C531">
        <v>1</v>
      </c>
    </row>
    <row r="532" spans="1:6" x14ac:dyDescent="0.35">
      <c r="A532" s="383" t="s">
        <v>3259</v>
      </c>
      <c r="B532">
        <f>NeoBer1700!$B$21</f>
        <v>1</v>
      </c>
      <c r="C532">
        <v>1</v>
      </c>
    </row>
    <row r="533" spans="1:6" x14ac:dyDescent="0.35">
      <c r="A533" s="383" t="s">
        <v>3260</v>
      </c>
      <c r="B533">
        <f>NeoBer1700!$B$22</f>
        <v>1</v>
      </c>
      <c r="C533">
        <v>1</v>
      </c>
    </row>
    <row r="534" spans="1:6" x14ac:dyDescent="0.35">
      <c r="A534" s="383" t="s">
        <v>3261</v>
      </c>
      <c r="B534">
        <f>NeoBer1700!$B$23</f>
        <v>1</v>
      </c>
      <c r="C534">
        <v>1</v>
      </c>
    </row>
    <row r="535" spans="1:6" x14ac:dyDescent="0.35">
      <c r="A535" s="383" t="s">
        <v>3262</v>
      </c>
      <c r="B535">
        <f>NeoBer1700!$B$24</f>
        <v>1</v>
      </c>
      <c r="C535">
        <v>1</v>
      </c>
    </row>
    <row r="536" spans="1:6" x14ac:dyDescent="0.35">
      <c r="A536" s="383" t="s">
        <v>3263</v>
      </c>
      <c r="B536">
        <f>NeoBer1700!$B$25</f>
        <v>1</v>
      </c>
      <c r="C536">
        <v>1</v>
      </c>
    </row>
    <row r="537" spans="1:6" x14ac:dyDescent="0.35">
      <c r="A537" s="383" t="s">
        <v>3264</v>
      </c>
      <c r="B537">
        <f>NeoBer1700!$B$26</f>
        <v>1</v>
      </c>
      <c r="C537">
        <v>1</v>
      </c>
    </row>
    <row r="538" spans="1:6" x14ac:dyDescent="0.35">
      <c r="A538" s="383" t="s">
        <v>3265</v>
      </c>
      <c r="B538">
        <f>NeoBer1700!$B$27</f>
        <v>1</v>
      </c>
      <c r="C538">
        <v>1</v>
      </c>
    </row>
    <row r="539" spans="1:6" x14ac:dyDescent="0.35">
      <c r="A539" s="383" t="s">
        <v>3266</v>
      </c>
      <c r="B539">
        <f>NeoBer1700!$B$28</f>
        <v>1</v>
      </c>
      <c r="C539">
        <v>1</v>
      </c>
    </row>
    <row r="540" spans="1:6" x14ac:dyDescent="0.35">
      <c r="A540" s="383" t="s">
        <v>3276</v>
      </c>
      <c r="B540">
        <f>NeoBer1700!$C$20</f>
        <v>0</v>
      </c>
      <c r="C540">
        <v>0</v>
      </c>
    </row>
    <row r="541" spans="1:6" x14ac:dyDescent="0.35">
      <c r="A541" s="383" t="s">
        <v>3277</v>
      </c>
      <c r="B541">
        <f>NeoBer1700!$C$21</f>
        <v>0</v>
      </c>
      <c r="C541">
        <v>0</v>
      </c>
    </row>
    <row r="542" spans="1:6" x14ac:dyDescent="0.35">
      <c r="A542" s="383" t="s">
        <v>3278</v>
      </c>
      <c r="B542">
        <f>NeoBer1700!$C$22</f>
        <v>0</v>
      </c>
      <c r="C542">
        <v>0</v>
      </c>
      <c r="F542" s="383"/>
    </row>
    <row r="543" spans="1:6" x14ac:dyDescent="0.35">
      <c r="A543" s="383" t="s">
        <v>3279</v>
      </c>
      <c r="B543">
        <f>NeoBer1700!$C$23</f>
        <v>0</v>
      </c>
      <c r="C543">
        <v>0</v>
      </c>
    </row>
    <row r="544" spans="1:6" x14ac:dyDescent="0.35">
      <c r="A544" s="383" t="s">
        <v>3280</v>
      </c>
      <c r="B544">
        <f>NeoBer1700!$C$24</f>
        <v>0</v>
      </c>
      <c r="C544">
        <v>0</v>
      </c>
    </row>
    <row r="545" spans="1:6" x14ac:dyDescent="0.35">
      <c r="A545" s="383" t="s">
        <v>3281</v>
      </c>
      <c r="B545">
        <f>NeoBer1700!$C$25</f>
        <v>0</v>
      </c>
      <c r="C545">
        <v>0</v>
      </c>
    </row>
    <row r="546" spans="1:6" x14ac:dyDescent="0.35">
      <c r="A546" s="383" t="s">
        <v>3282</v>
      </c>
      <c r="B546">
        <f>NeoBer1700!$C$26</f>
        <v>0</v>
      </c>
      <c r="C546">
        <v>0</v>
      </c>
    </row>
    <row r="547" spans="1:6" x14ac:dyDescent="0.35">
      <c r="A547" s="383" t="s">
        <v>3283</v>
      </c>
      <c r="B547">
        <f>NeoBer1700!$C$27</f>
        <v>0</v>
      </c>
      <c r="C547">
        <v>0</v>
      </c>
    </row>
    <row r="548" spans="1:6" x14ac:dyDescent="0.35">
      <c r="A548" s="383" t="s">
        <v>3284</v>
      </c>
      <c r="B548">
        <f>NeoBer1700!$C$28</f>
        <v>0</v>
      </c>
      <c r="C548">
        <v>0</v>
      </c>
    </row>
    <row r="549" spans="1:6" x14ac:dyDescent="0.35">
      <c r="A549" s="383" t="s">
        <v>3287</v>
      </c>
      <c r="B549">
        <f>NeoBer1700!$B$32</f>
        <v>0</v>
      </c>
    </row>
    <row r="550" spans="1:6" x14ac:dyDescent="0.35">
      <c r="A550" s="383" t="s">
        <v>3288</v>
      </c>
      <c r="B550">
        <f>NeoBer1700!$B$33</f>
        <v>0</v>
      </c>
    </row>
    <row r="551" spans="1:6" x14ac:dyDescent="0.35">
      <c r="A551" s="383" t="s">
        <v>3290</v>
      </c>
      <c r="B551">
        <f>NeoBer1700!$D$40</f>
        <v>5000</v>
      </c>
      <c r="C551">
        <v>5000</v>
      </c>
    </row>
    <row r="552" spans="1:6" x14ac:dyDescent="0.35">
      <c r="A552" s="383" t="s">
        <v>3291</v>
      </c>
      <c r="B552">
        <f>NeoBer1700!$D$37</f>
        <v>5000</v>
      </c>
      <c r="C552">
        <v>5000</v>
      </c>
    </row>
    <row r="553" spans="1:6" x14ac:dyDescent="0.35">
      <c r="A553" s="383" t="s">
        <v>3293</v>
      </c>
      <c r="B553">
        <f>NeoBer1700!$D$43</f>
        <v>5000</v>
      </c>
      <c r="C553">
        <v>5000</v>
      </c>
      <c r="F553" s="383"/>
    </row>
    <row r="554" spans="1:6" x14ac:dyDescent="0.35">
      <c r="A554" s="383" t="s">
        <v>3303</v>
      </c>
      <c r="B554">
        <f>NeoBer1700!$D$20</f>
        <v>0</v>
      </c>
      <c r="C554">
        <v>0</v>
      </c>
      <c r="F554" s="383"/>
    </row>
    <row r="555" spans="1:6" x14ac:dyDescent="0.35">
      <c r="A555" s="383" t="s">
        <v>3304</v>
      </c>
      <c r="B555">
        <f>NeoBer1700!$D$21</f>
        <v>0</v>
      </c>
      <c r="C555">
        <v>0</v>
      </c>
      <c r="F555" s="383"/>
    </row>
    <row r="556" spans="1:6" x14ac:dyDescent="0.35">
      <c r="A556" s="383" t="s">
        <v>3305</v>
      </c>
      <c r="B556">
        <f>NeoBer1700!$D$22</f>
        <v>0</v>
      </c>
      <c r="C556">
        <v>0</v>
      </c>
      <c r="F556" s="383"/>
    </row>
    <row r="557" spans="1:6" x14ac:dyDescent="0.35">
      <c r="A557" s="383" t="s">
        <v>3306</v>
      </c>
      <c r="B557">
        <f>NeoBer1700!$D$23</f>
        <v>0</v>
      </c>
      <c r="C557">
        <v>0</v>
      </c>
      <c r="F557" s="383"/>
    </row>
    <row r="558" spans="1:6" x14ac:dyDescent="0.35">
      <c r="A558" s="383" t="s">
        <v>3307</v>
      </c>
      <c r="B558">
        <f>NeoBer1700!$D$24</f>
        <v>0</v>
      </c>
      <c r="C558">
        <v>0</v>
      </c>
      <c r="F558" s="383"/>
    </row>
    <row r="559" spans="1:6" x14ac:dyDescent="0.35">
      <c r="A559" s="383" t="s">
        <v>3308</v>
      </c>
      <c r="B559">
        <f>NeoBer1700!$D$25</f>
        <v>0</v>
      </c>
      <c r="C559">
        <v>0</v>
      </c>
      <c r="F559" s="383"/>
    </row>
    <row r="560" spans="1:6" x14ac:dyDescent="0.35">
      <c r="A560" s="383" t="s">
        <v>3309</v>
      </c>
      <c r="B560">
        <f>NeoBer1700!$D$26</f>
        <v>0</v>
      </c>
      <c r="C560">
        <v>0</v>
      </c>
      <c r="F560" s="383"/>
    </row>
    <row r="561" spans="1:6" x14ac:dyDescent="0.35">
      <c r="A561" s="383" t="s">
        <v>3310</v>
      </c>
      <c r="B561">
        <f>NeoBer1700!$D$27</f>
        <v>0</v>
      </c>
      <c r="C561">
        <v>0</v>
      </c>
      <c r="F561" s="383"/>
    </row>
    <row r="562" spans="1:6" x14ac:dyDescent="0.35">
      <c r="A562" s="383" t="s">
        <v>3311</v>
      </c>
      <c r="B562">
        <f>NeoBer1700!$D$28</f>
        <v>0</v>
      </c>
      <c r="C562">
        <v>0</v>
      </c>
    </row>
    <row r="563" spans="1:6" x14ac:dyDescent="0.35">
      <c r="A563" s="383" t="s">
        <v>3327</v>
      </c>
      <c r="B563">
        <f>NeoBer1700!$E$20</f>
        <v>1</v>
      </c>
      <c r="C563">
        <v>1</v>
      </c>
    </row>
    <row r="564" spans="1:6" x14ac:dyDescent="0.35">
      <c r="A564" s="383" t="s">
        <v>3328</v>
      </c>
      <c r="B564">
        <f>NeoBer1700!$E$21</f>
        <v>1</v>
      </c>
      <c r="C564">
        <v>1</v>
      </c>
    </row>
    <row r="565" spans="1:6" x14ac:dyDescent="0.35">
      <c r="A565" s="383" t="s">
        <v>3329</v>
      </c>
      <c r="B565">
        <f>NeoBer1700!$E$22</f>
        <v>1</v>
      </c>
      <c r="C565">
        <v>1</v>
      </c>
    </row>
    <row r="566" spans="1:6" x14ac:dyDescent="0.35">
      <c r="A566" s="383" t="s">
        <v>3330</v>
      </c>
      <c r="B566">
        <f>NeoBer1700!$E$23</f>
        <v>1</v>
      </c>
      <c r="C566">
        <v>1</v>
      </c>
    </row>
    <row r="567" spans="1:6" x14ac:dyDescent="0.35">
      <c r="A567" s="383" t="s">
        <v>3331</v>
      </c>
      <c r="B567">
        <f>NeoBer1700!$E$24</f>
        <v>1</v>
      </c>
      <c r="C567">
        <v>1</v>
      </c>
    </row>
    <row r="568" spans="1:6" x14ac:dyDescent="0.35">
      <c r="A568" s="383" t="s">
        <v>3332</v>
      </c>
      <c r="B568">
        <f>NeoBer1700!$E$25</f>
        <v>1</v>
      </c>
      <c r="C568">
        <v>1</v>
      </c>
    </row>
    <row r="569" spans="1:6" x14ac:dyDescent="0.35">
      <c r="A569" s="383" t="s">
        <v>3333</v>
      </c>
      <c r="B569">
        <f>NeoBer1700!$E$26</f>
        <v>1</v>
      </c>
      <c r="C569">
        <v>1</v>
      </c>
    </row>
    <row r="570" spans="1:6" x14ac:dyDescent="0.35">
      <c r="A570" s="383" t="s">
        <v>3334</v>
      </c>
      <c r="B570" s="19">
        <f>NeoBer1700!$E$27</f>
        <v>1</v>
      </c>
      <c r="C570">
        <v>1</v>
      </c>
    </row>
    <row r="571" spans="1:6" x14ac:dyDescent="0.35">
      <c r="A571" s="383" t="s">
        <v>3335</v>
      </c>
      <c r="B571">
        <f>NeoBer1700!$E$28</f>
        <v>1</v>
      </c>
      <c r="C571">
        <v>1</v>
      </c>
    </row>
    <row r="572" spans="1:6" x14ac:dyDescent="0.35">
      <c r="A572" s="383" t="s">
        <v>3324</v>
      </c>
      <c r="B572">
        <f>NeoBer1700!$E$29</f>
        <v>1</v>
      </c>
      <c r="C572">
        <v>1</v>
      </c>
    </row>
    <row r="573" spans="1:6" x14ac:dyDescent="0.35">
      <c r="A573" s="383" t="s">
        <v>3325</v>
      </c>
      <c r="B573">
        <f>NeoBer1700!$E$30</f>
        <v>1</v>
      </c>
      <c r="C573">
        <v>1</v>
      </c>
    </row>
    <row r="574" spans="1:6" x14ac:dyDescent="0.35">
      <c r="A574" s="383" t="s">
        <v>3326</v>
      </c>
      <c r="B574">
        <f>NeoBer1700!$E$31</f>
        <v>1</v>
      </c>
      <c r="C574">
        <v>1</v>
      </c>
    </row>
    <row r="575" spans="1:6" x14ac:dyDescent="0.35">
      <c r="A575" s="383" t="s">
        <v>3337</v>
      </c>
      <c r="B575" t="b">
        <f>NeoBer1700!$B$17</f>
        <v>0</v>
      </c>
      <c r="C575" t="b">
        <v>0</v>
      </c>
    </row>
    <row r="576" spans="1:6" x14ac:dyDescent="0.35">
      <c r="A576" s="383" t="s">
        <v>3347</v>
      </c>
      <c r="B576">
        <f>NeoBer1700!$J$52</f>
        <v>1</v>
      </c>
      <c r="C576">
        <v>1</v>
      </c>
    </row>
    <row r="577" spans="1:3" x14ac:dyDescent="0.35">
      <c r="A577" s="383" t="s">
        <v>3348</v>
      </c>
      <c r="B577">
        <f>NeoBer1700!$J$53</f>
        <v>1</v>
      </c>
      <c r="C577">
        <v>1</v>
      </c>
    </row>
    <row r="578" spans="1:3" x14ac:dyDescent="0.35">
      <c r="A578" s="383" t="s">
        <v>3349</v>
      </c>
      <c r="B578">
        <f>NeoBer1700!$J$54</f>
        <v>1</v>
      </c>
      <c r="C578">
        <v>1</v>
      </c>
    </row>
    <row r="579" spans="1:3" x14ac:dyDescent="0.35">
      <c r="A579" s="383" t="s">
        <v>3350</v>
      </c>
      <c r="B579">
        <f>NeoBer1700!$J$55</f>
        <v>1</v>
      </c>
      <c r="C579">
        <v>1</v>
      </c>
    </row>
    <row r="580" spans="1:3" x14ac:dyDescent="0.35">
      <c r="A580" s="383" t="s">
        <v>3351</v>
      </c>
      <c r="B580">
        <f>NeoBer1700!$J$56</f>
        <v>1</v>
      </c>
      <c r="C580">
        <v>1</v>
      </c>
    </row>
    <row r="581" spans="1:3" x14ac:dyDescent="0.35">
      <c r="A581" s="383" t="s">
        <v>3352</v>
      </c>
      <c r="B581">
        <f>NeoBer1700!$J$58</f>
        <v>1</v>
      </c>
      <c r="C581">
        <v>1</v>
      </c>
    </row>
    <row r="582" spans="1:3" x14ac:dyDescent="0.35">
      <c r="A582" s="383" t="s">
        <v>3353</v>
      </c>
      <c r="B582">
        <f>NeoBer1700!$J$59</f>
        <v>1</v>
      </c>
      <c r="C582">
        <v>1</v>
      </c>
    </row>
    <row r="583" spans="1:3" x14ac:dyDescent="0.35">
      <c r="A583" s="383" t="s">
        <v>3354</v>
      </c>
      <c r="B583">
        <f>NeoBer1700!$J$60</f>
        <v>1</v>
      </c>
      <c r="C583">
        <v>1</v>
      </c>
    </row>
    <row r="584" spans="1:3" x14ac:dyDescent="0.35">
      <c r="A584" s="383" t="s">
        <v>3355</v>
      </c>
      <c r="B584">
        <f>NeoBer1700!$J$61</f>
        <v>1</v>
      </c>
      <c r="C584">
        <v>1</v>
      </c>
    </row>
    <row r="585" spans="1:3" x14ac:dyDescent="0.35">
      <c r="A585" s="383" t="s">
        <v>3357</v>
      </c>
      <c r="B585">
        <f>NeoBer1700!$D$42</f>
        <v>5000</v>
      </c>
      <c r="C585">
        <v>5000</v>
      </c>
    </row>
    <row r="586" spans="1:3" x14ac:dyDescent="0.35">
      <c r="A586" s="383" t="s">
        <v>3361</v>
      </c>
      <c r="B586">
        <f>NeoBer1700!$D$41</f>
        <v>5000</v>
      </c>
      <c r="C586">
        <v>5000</v>
      </c>
    </row>
    <row r="587" spans="1:3" x14ac:dyDescent="0.35">
      <c r="A587" s="383" t="s">
        <v>3363</v>
      </c>
      <c r="B587">
        <f>NeoBer1700!$D$44</f>
        <v>5000</v>
      </c>
      <c r="C587">
        <v>5000</v>
      </c>
    </row>
    <row r="588" spans="1:3" x14ac:dyDescent="0.35">
      <c r="A588" s="383" t="s">
        <v>3379</v>
      </c>
      <c r="B588">
        <f>NeoBer1700!$F$20</f>
        <v>0</v>
      </c>
      <c r="C588">
        <v>0</v>
      </c>
    </row>
    <row r="589" spans="1:3" x14ac:dyDescent="0.35">
      <c r="A589" s="383" t="s">
        <v>3380</v>
      </c>
      <c r="B589">
        <f>NeoBer1700!$F$21</f>
        <v>0</v>
      </c>
      <c r="C589">
        <v>0</v>
      </c>
    </row>
    <row r="590" spans="1:3" x14ac:dyDescent="0.35">
      <c r="A590" s="383" t="s">
        <v>3381</v>
      </c>
      <c r="B590">
        <f>NeoBer1700!$F$22</f>
        <v>0</v>
      </c>
      <c r="C590">
        <v>0</v>
      </c>
    </row>
    <row r="591" spans="1:3" x14ac:dyDescent="0.35">
      <c r="A591" s="383" t="s">
        <v>3382</v>
      </c>
      <c r="B591">
        <f>NeoBer1700!$F$23</f>
        <v>0</v>
      </c>
      <c r="C591">
        <v>0</v>
      </c>
    </row>
    <row r="592" spans="1:3" x14ac:dyDescent="0.35">
      <c r="A592" s="383" t="s">
        <v>3383</v>
      </c>
      <c r="B592">
        <f>NeoBer1700!$F$24</f>
        <v>0</v>
      </c>
      <c r="C592">
        <v>0</v>
      </c>
    </row>
    <row r="593" spans="1:3" x14ac:dyDescent="0.35">
      <c r="A593" s="383" t="s">
        <v>3384</v>
      </c>
      <c r="B593">
        <f>NeoBer1700!$F$25</f>
        <v>0</v>
      </c>
      <c r="C593">
        <v>0</v>
      </c>
    </row>
    <row r="594" spans="1:3" x14ac:dyDescent="0.35">
      <c r="A594" s="383" t="s">
        <v>3385</v>
      </c>
      <c r="B594">
        <f>NeoBer1700!$F$26</f>
        <v>0</v>
      </c>
      <c r="C594">
        <v>0</v>
      </c>
    </row>
    <row r="595" spans="1:3" x14ac:dyDescent="0.35">
      <c r="A595" s="383" t="s">
        <v>3386</v>
      </c>
      <c r="B595">
        <f>NeoBer1700!$F$27</f>
        <v>0</v>
      </c>
      <c r="C595">
        <v>0</v>
      </c>
    </row>
    <row r="596" spans="1:3" x14ac:dyDescent="0.35">
      <c r="A596" s="383" t="s">
        <v>3387</v>
      </c>
      <c r="B596">
        <f>NeoBer1700!$F$28</f>
        <v>0</v>
      </c>
      <c r="C596">
        <v>0</v>
      </c>
    </row>
    <row r="597" spans="1:3" x14ac:dyDescent="0.35">
      <c r="A597" s="383" t="s">
        <v>3376</v>
      </c>
      <c r="B597">
        <f>NeoBer1700!$F$29</f>
        <v>0</v>
      </c>
      <c r="C597">
        <v>0</v>
      </c>
    </row>
    <row r="598" spans="1:3" x14ac:dyDescent="0.35">
      <c r="A598" s="383" t="s">
        <v>3377</v>
      </c>
      <c r="B598">
        <f>NeoBer1700!$F$30</f>
        <v>0</v>
      </c>
      <c r="C598">
        <v>0</v>
      </c>
    </row>
    <row r="599" spans="1:3" x14ac:dyDescent="0.35">
      <c r="A599" s="383" t="s">
        <v>3378</v>
      </c>
      <c r="B599">
        <f>NeoBer1700!$F$31</f>
        <v>0</v>
      </c>
      <c r="C599">
        <v>0</v>
      </c>
    </row>
    <row r="600" spans="1:3" x14ac:dyDescent="0.35">
      <c r="A600" s="383" t="s">
        <v>3398</v>
      </c>
      <c r="B600">
        <f>NeoBer1700!$A$63</f>
        <v>0</v>
      </c>
    </row>
    <row r="601" spans="1:3" x14ac:dyDescent="0.35">
      <c r="A601" s="383" t="s">
        <v>3408</v>
      </c>
      <c r="B601">
        <f>NeoBer1700!$B$52</f>
        <v>2</v>
      </c>
      <c r="C601">
        <v>2</v>
      </c>
    </row>
    <row r="602" spans="1:3" x14ac:dyDescent="0.35">
      <c r="A602" s="383" t="s">
        <v>3409</v>
      </c>
      <c r="B602">
        <f>NeoBer1700!$B$53</f>
        <v>1</v>
      </c>
      <c r="C602">
        <v>1</v>
      </c>
    </row>
    <row r="603" spans="1:3" x14ac:dyDescent="0.35">
      <c r="A603" s="383" t="s">
        <v>3410</v>
      </c>
      <c r="B603">
        <f>NeoBer1700!$B$54</f>
        <v>1</v>
      </c>
      <c r="C603">
        <v>1</v>
      </c>
    </row>
    <row r="604" spans="1:3" x14ac:dyDescent="0.35">
      <c r="A604" s="383" t="s">
        <v>3411</v>
      </c>
      <c r="B604">
        <f>NeoBer1700!$B$55</f>
        <v>1</v>
      </c>
      <c r="C604">
        <v>1</v>
      </c>
    </row>
    <row r="605" spans="1:3" x14ac:dyDescent="0.35">
      <c r="A605" s="383" t="s">
        <v>3412</v>
      </c>
      <c r="B605">
        <f>NeoBer1700!$B$56</f>
        <v>1</v>
      </c>
      <c r="C605">
        <v>1</v>
      </c>
    </row>
    <row r="606" spans="1:3" x14ac:dyDescent="0.35">
      <c r="A606" s="383" t="s">
        <v>3413</v>
      </c>
      <c r="B606">
        <f>NeoBer1700!$B$58</f>
        <v>1</v>
      </c>
      <c r="C606">
        <v>1</v>
      </c>
    </row>
    <row r="607" spans="1:3" x14ac:dyDescent="0.35">
      <c r="A607" s="383" t="s">
        <v>3414</v>
      </c>
      <c r="B607">
        <f>NeoBer1700!$B$59</f>
        <v>1</v>
      </c>
      <c r="C607">
        <v>1</v>
      </c>
    </row>
    <row r="608" spans="1:3" x14ac:dyDescent="0.35">
      <c r="A608" s="383" t="s">
        <v>3415</v>
      </c>
      <c r="B608">
        <f>NeoBer1700!$B$60</f>
        <v>1</v>
      </c>
      <c r="C608">
        <v>1</v>
      </c>
    </row>
    <row r="609" spans="1:3" x14ac:dyDescent="0.35">
      <c r="A609" s="383" t="s">
        <v>3416</v>
      </c>
      <c r="B609">
        <f>NeoBer1700!$B$61</f>
        <v>1</v>
      </c>
      <c r="C609">
        <v>1</v>
      </c>
    </row>
    <row r="610" spans="1:3" x14ac:dyDescent="0.35">
      <c r="A610" s="383" t="s">
        <v>3210</v>
      </c>
      <c r="B610">
        <f>NeoBer1700!$J$14</f>
        <v>1</v>
      </c>
      <c r="C610">
        <v>1</v>
      </c>
    </row>
    <row r="611" spans="1:3" x14ac:dyDescent="0.35">
      <c r="A611" s="383" t="s">
        <v>3211</v>
      </c>
      <c r="B611">
        <f>NeoBer1700!$J$20</f>
        <v>0</v>
      </c>
      <c r="C611">
        <v>0</v>
      </c>
    </row>
    <row r="612" spans="1:3" x14ac:dyDescent="0.35">
      <c r="A612" s="383" t="s">
        <v>3216</v>
      </c>
      <c r="B612">
        <f>NeoBer1700!$J$21</f>
        <v>0</v>
      </c>
      <c r="C612">
        <v>0</v>
      </c>
    </row>
    <row r="613" spans="1:3" x14ac:dyDescent="0.35">
      <c r="A613" s="383" t="s">
        <v>3217</v>
      </c>
      <c r="B613">
        <f>NeoBer1700!$J$22</f>
        <v>0</v>
      </c>
      <c r="C613">
        <v>0</v>
      </c>
    </row>
    <row r="614" spans="1:3" x14ac:dyDescent="0.35">
      <c r="A614" s="383" t="s">
        <v>3218</v>
      </c>
      <c r="B614">
        <f>NeoBer1700!$J$23</f>
        <v>0</v>
      </c>
      <c r="C614">
        <v>0</v>
      </c>
    </row>
    <row r="615" spans="1:3" x14ac:dyDescent="0.35">
      <c r="A615" s="383" t="s">
        <v>3219</v>
      </c>
      <c r="B615">
        <f>NeoBer1700!$J$24</f>
        <v>0</v>
      </c>
      <c r="C615">
        <v>0</v>
      </c>
    </row>
    <row r="616" spans="1:3" x14ac:dyDescent="0.35">
      <c r="A616" s="383" t="s">
        <v>3220</v>
      </c>
      <c r="B616">
        <f>NeoBer1700!$J$25</f>
        <v>0</v>
      </c>
      <c r="C616">
        <v>0</v>
      </c>
    </row>
    <row r="617" spans="1:3" x14ac:dyDescent="0.35">
      <c r="A617" s="383" t="s">
        <v>3221</v>
      </c>
      <c r="B617">
        <f>NeoBer1700!$J$26</f>
        <v>0</v>
      </c>
      <c r="C617">
        <v>0</v>
      </c>
    </row>
    <row r="618" spans="1:3" x14ac:dyDescent="0.35">
      <c r="A618" s="383" t="s">
        <v>3222</v>
      </c>
      <c r="B618">
        <f>NeoBer1700!$J$27</f>
        <v>0</v>
      </c>
      <c r="C618">
        <v>0</v>
      </c>
    </row>
    <row r="619" spans="1:3" x14ac:dyDescent="0.35">
      <c r="A619" s="383" t="s">
        <v>3223</v>
      </c>
      <c r="B619">
        <f>NeoBer1700!$J$28</f>
        <v>0</v>
      </c>
      <c r="C619">
        <v>0</v>
      </c>
    </row>
    <row r="620" spans="1:3" x14ac:dyDescent="0.35">
      <c r="A620" s="383" t="s">
        <v>3212</v>
      </c>
      <c r="B620" t="b">
        <f>NeoBer1700!$J$18</f>
        <v>0</v>
      </c>
      <c r="C620" t="b">
        <v>0</v>
      </c>
    </row>
    <row r="621" spans="1:3" x14ac:dyDescent="0.35">
      <c r="A621" s="383" t="s">
        <v>3213</v>
      </c>
      <c r="B621" t="b">
        <f>NeoBer1700!$J$29</f>
        <v>0</v>
      </c>
      <c r="C621" t="b">
        <v>0</v>
      </c>
    </row>
    <row r="622" spans="1:3" x14ac:dyDescent="0.35">
      <c r="A622" s="383" t="s">
        <v>3214</v>
      </c>
      <c r="B622" t="b">
        <f>NeoBer1700!$J$30</f>
        <v>0</v>
      </c>
      <c r="C622" t="b">
        <v>0</v>
      </c>
    </row>
    <row r="623" spans="1:3" x14ac:dyDescent="0.35">
      <c r="A623" s="383" t="s">
        <v>3215</v>
      </c>
      <c r="B623" t="b">
        <f>NeoBer1700!$J$31</f>
        <v>0</v>
      </c>
      <c r="C623" t="b">
        <v>0</v>
      </c>
    </row>
    <row r="624" spans="1:3" x14ac:dyDescent="0.35">
      <c r="A624" s="383" t="s">
        <v>3420</v>
      </c>
      <c r="B624">
        <f>NeoBer1700!$D$14</f>
        <v>1</v>
      </c>
      <c r="C624">
        <v>1</v>
      </c>
    </row>
    <row r="625" spans="1:2" x14ac:dyDescent="0.35">
      <c r="A625" s="383" t="s">
        <v>2364</v>
      </c>
      <c r="B625">
        <f>NeoBerAfspr!$B$22</f>
        <v>0</v>
      </c>
    </row>
    <row r="626" spans="1:2" x14ac:dyDescent="0.35">
      <c r="A626" s="383" t="s">
        <v>2365</v>
      </c>
      <c r="B626">
        <f>NeoBerAfspr!$D$11</f>
        <v>0</v>
      </c>
    </row>
    <row r="627" spans="1:2" x14ac:dyDescent="0.35">
      <c r="A627" s="383" t="s">
        <v>2366</v>
      </c>
      <c r="B627">
        <f>NeoBerAfspr!$D$12</f>
        <v>0</v>
      </c>
    </row>
    <row r="628" spans="1:2" x14ac:dyDescent="0.35">
      <c r="A628" s="383" t="s">
        <v>2367</v>
      </c>
      <c r="B628">
        <f>NeoBerAfspr!$D$13</f>
        <v>0</v>
      </c>
    </row>
    <row r="629" spans="1:2" x14ac:dyDescent="0.35">
      <c r="A629" s="383" t="s">
        <v>2368</v>
      </c>
      <c r="B629">
        <f>NeoBerAfspr!$D$14</f>
        <v>0</v>
      </c>
    </row>
    <row r="630" spans="1:2" x14ac:dyDescent="0.35">
      <c r="A630" s="383" t="s">
        <v>2369</v>
      </c>
      <c r="B630">
        <f>NeoBerAfspr!$F$7</f>
        <v>0</v>
      </c>
    </row>
    <row r="631" spans="1:2" x14ac:dyDescent="0.35">
      <c r="A631" s="383" t="s">
        <v>2370</v>
      </c>
      <c r="B631">
        <f>NeoBerAfspr!$J$7</f>
        <v>0</v>
      </c>
    </row>
    <row r="632" spans="1:2" x14ac:dyDescent="0.35">
      <c r="A632" s="383" t="s">
        <v>2371</v>
      </c>
      <c r="B632">
        <f>NeoBerAfspr!$B$23</f>
        <v>0</v>
      </c>
    </row>
    <row r="633" spans="1:2" x14ac:dyDescent="0.35">
      <c r="A633" s="383" t="s">
        <v>2372</v>
      </c>
      <c r="B633">
        <f>NeoBerAfspr!$B$24</f>
        <v>0</v>
      </c>
    </row>
    <row r="634" spans="1:2" x14ac:dyDescent="0.35">
      <c r="A634" s="383" t="s">
        <v>2373</v>
      </c>
      <c r="B634">
        <f>NeoBerAfspr!$B$25</f>
        <v>0</v>
      </c>
    </row>
    <row r="635" spans="1:2" x14ac:dyDescent="0.35">
      <c r="A635" s="383" t="s">
        <v>2374</v>
      </c>
      <c r="B635">
        <f>NeoBerAfspr!$B$26</f>
        <v>0</v>
      </c>
    </row>
    <row r="636" spans="1:2" x14ac:dyDescent="0.35">
      <c r="A636" s="383" t="s">
        <v>2375</v>
      </c>
      <c r="B636">
        <f>NeoBerAfspr!$H$8</f>
        <v>0</v>
      </c>
    </row>
    <row r="637" spans="1:2" x14ac:dyDescent="0.35">
      <c r="A637" s="383" t="s">
        <v>2376</v>
      </c>
      <c r="B637">
        <f>NeoBerAfspr!$F$8</f>
        <v>0</v>
      </c>
    </row>
    <row r="638" spans="1:2" x14ac:dyDescent="0.35">
      <c r="A638" s="383" t="s">
        <v>2377</v>
      </c>
      <c r="B638">
        <f>NeoBerAfspr!$H$9</f>
        <v>0</v>
      </c>
    </row>
    <row r="639" spans="1:2" x14ac:dyDescent="0.35">
      <c r="A639" s="383" t="s">
        <v>2378</v>
      </c>
      <c r="B639">
        <f>NeoBerAfspr!$H$10</f>
        <v>0</v>
      </c>
    </row>
    <row r="640" spans="1:2" x14ac:dyDescent="0.35">
      <c r="A640" s="383" t="s">
        <v>2379</v>
      </c>
      <c r="B640">
        <f>NeoBerAfspr!$H$11</f>
        <v>0</v>
      </c>
    </row>
    <row r="641" spans="1:2" x14ac:dyDescent="0.35">
      <c r="A641" s="383" t="s">
        <v>2380</v>
      </c>
      <c r="B641">
        <f>NeoBerAfspr!$B$7</f>
        <v>0</v>
      </c>
    </row>
    <row r="642" spans="1:2" x14ac:dyDescent="0.35">
      <c r="A642" s="383" t="s">
        <v>2381</v>
      </c>
      <c r="B642">
        <f>NeoBerAfspr!$J$29</f>
        <v>0</v>
      </c>
    </row>
    <row r="643" spans="1:2" x14ac:dyDescent="0.35">
      <c r="A643" s="383" t="s">
        <v>2382</v>
      </c>
      <c r="B643">
        <f>NeoBerAfspr!$J$8</f>
        <v>0</v>
      </c>
    </row>
    <row r="644" spans="1:2" x14ac:dyDescent="0.35">
      <c r="A644" s="383" t="s">
        <v>2383</v>
      </c>
      <c r="B644">
        <f>NeoBerAfspr!$J$9</f>
        <v>0</v>
      </c>
    </row>
    <row r="645" spans="1:2" x14ac:dyDescent="0.35">
      <c r="A645" s="383" t="s">
        <v>2384</v>
      </c>
      <c r="B645">
        <f>NeoBerAfspr!$B$8</f>
        <v>0</v>
      </c>
    </row>
    <row r="646" spans="1:2" x14ac:dyDescent="0.35">
      <c r="A646" s="383" t="s">
        <v>2385</v>
      </c>
      <c r="B646">
        <f>NeoBerAfspr!$J$10</f>
        <v>0</v>
      </c>
    </row>
    <row r="647" spans="1:2" s="383" customFormat="1" x14ac:dyDescent="0.35">
      <c r="A647" s="383" t="s">
        <v>2386</v>
      </c>
      <c r="B647">
        <f>NeoBerAfspr!$J$11</f>
        <v>0</v>
      </c>
    </row>
    <row r="648" spans="1:2" x14ac:dyDescent="0.35">
      <c r="A648" s="383" t="s">
        <v>2387</v>
      </c>
      <c r="B648">
        <f>NeoBerAfspr!$F$12</f>
        <v>0</v>
      </c>
    </row>
    <row r="649" spans="1:2" x14ac:dyDescent="0.35">
      <c r="A649" s="383" t="s">
        <v>2388</v>
      </c>
      <c r="B649">
        <f>NeoBerAfspr!$B$9</f>
        <v>0</v>
      </c>
    </row>
    <row r="650" spans="1:2" x14ac:dyDescent="0.35">
      <c r="A650" s="383" t="s">
        <v>2389</v>
      </c>
      <c r="B650">
        <f>NeoBerAfspr!$B$46</f>
        <v>0</v>
      </c>
    </row>
    <row r="651" spans="1:2" x14ac:dyDescent="0.35">
      <c r="A651" s="383" t="s">
        <v>2390</v>
      </c>
      <c r="B651">
        <f>NeoBerAfspr!$J$12</f>
        <v>0</v>
      </c>
    </row>
    <row r="652" spans="1:2" s="383" customFormat="1" x14ac:dyDescent="0.35">
      <c r="A652" s="383" t="s">
        <v>2391</v>
      </c>
      <c r="B652">
        <f>NeoBerAfspr!$B$10</f>
        <v>0</v>
      </c>
    </row>
    <row r="653" spans="1:2" s="383" customFormat="1" x14ac:dyDescent="0.35">
      <c r="A653" s="383" t="s">
        <v>2392</v>
      </c>
      <c r="B653">
        <f>NeoBerAfspr!$B$27</f>
        <v>0</v>
      </c>
    </row>
    <row r="654" spans="1:2" s="383" customFormat="1" x14ac:dyDescent="0.35">
      <c r="A654" s="383" t="s">
        <v>2393</v>
      </c>
      <c r="B654">
        <f>NeoBerAfspr!$F$13</f>
        <v>0</v>
      </c>
    </row>
    <row r="655" spans="1:2" s="383" customFormat="1" x14ac:dyDescent="0.35">
      <c r="A655" s="383" t="s">
        <v>2394</v>
      </c>
      <c r="B655">
        <f>NeoBerAfspr!$H$13</f>
        <v>0</v>
      </c>
    </row>
    <row r="656" spans="1:2" x14ac:dyDescent="0.35">
      <c r="A656" s="383" t="s">
        <v>2395</v>
      </c>
      <c r="B656">
        <f>NeoBerAfspr!$B$11</f>
        <v>0</v>
      </c>
    </row>
    <row r="657" spans="1:2" x14ac:dyDescent="0.35">
      <c r="A657" s="383" t="s">
        <v>2396</v>
      </c>
      <c r="B657">
        <f>NeoBerAfspr!$B$15</f>
        <v>0</v>
      </c>
    </row>
    <row r="658" spans="1:2" x14ac:dyDescent="0.35">
      <c r="A658" s="383" t="s">
        <v>2397</v>
      </c>
      <c r="B658">
        <f>NeoBerAfspr!$B$28</f>
        <v>0</v>
      </c>
    </row>
    <row r="659" spans="1:2" x14ac:dyDescent="0.35">
      <c r="A659" s="383" t="s">
        <v>2398</v>
      </c>
      <c r="B659">
        <f>NeoBerAfspr!$B$29</f>
        <v>0</v>
      </c>
    </row>
    <row r="660" spans="1:2" x14ac:dyDescent="0.35">
      <c r="A660" s="383" t="s">
        <v>2399</v>
      </c>
      <c r="B660">
        <f>NeoBerAfspr!$B$30</f>
        <v>0</v>
      </c>
    </row>
    <row r="661" spans="1:2" x14ac:dyDescent="0.35">
      <c r="A661" s="383" t="s">
        <v>2400</v>
      </c>
      <c r="B661">
        <f>NeoBerAfspr!$J$15</f>
        <v>0</v>
      </c>
    </row>
    <row r="662" spans="1:2" x14ac:dyDescent="0.35">
      <c r="A662" s="383" t="s">
        <v>2401</v>
      </c>
      <c r="B662">
        <f>NeoBerAfspr!$J$13</f>
        <v>0</v>
      </c>
    </row>
    <row r="663" spans="1:2" x14ac:dyDescent="0.35">
      <c r="A663" s="383" t="s">
        <v>2402</v>
      </c>
      <c r="B663">
        <f>NeoBerAfspr!$J$14</f>
        <v>0</v>
      </c>
    </row>
    <row r="664" spans="1:2" x14ac:dyDescent="0.35">
      <c r="A664" s="383" t="s">
        <v>2403</v>
      </c>
      <c r="B664">
        <f>NeoBerAfspr!$F$14</f>
        <v>0</v>
      </c>
    </row>
    <row r="665" spans="1:2" x14ac:dyDescent="0.35">
      <c r="A665" s="383" t="s">
        <v>2404</v>
      </c>
      <c r="B665">
        <f>NeoBerAfspr!$H$16</f>
        <v>0</v>
      </c>
    </row>
    <row r="666" spans="1:2" x14ac:dyDescent="0.35">
      <c r="A666" s="383" t="s">
        <v>2405</v>
      </c>
      <c r="B666" s="383">
        <f>NeoBerAfspr!$F$15</f>
        <v>0</v>
      </c>
    </row>
    <row r="667" spans="1:2" x14ac:dyDescent="0.35">
      <c r="A667" s="383" t="s">
        <v>2406</v>
      </c>
      <c r="B667" s="383">
        <f>NeoBerAfspr!$H$15</f>
        <v>0</v>
      </c>
    </row>
    <row r="668" spans="1:2" x14ac:dyDescent="0.35">
      <c r="A668" s="383" t="s">
        <v>2407</v>
      </c>
      <c r="B668" s="383">
        <f>NeoBerAfspr!$J$16</f>
        <v>0</v>
      </c>
    </row>
    <row r="669" spans="1:2" x14ac:dyDescent="0.35">
      <c r="A669" s="383" t="s">
        <v>2408</v>
      </c>
      <c r="B669" s="383">
        <f>NeoBerAfspr!$B$43</f>
        <v>0</v>
      </c>
    </row>
    <row r="670" spans="1:2" x14ac:dyDescent="0.35">
      <c r="A670" s="383" t="s">
        <v>2409</v>
      </c>
      <c r="B670" s="383">
        <f>NeoBerAfspr!$D$43</f>
        <v>0</v>
      </c>
    </row>
    <row r="671" spans="1:2" x14ac:dyDescent="0.35">
      <c r="A671" s="383" t="s">
        <v>2410</v>
      </c>
      <c r="B671" s="383">
        <f>NeoBerAfspr!$B$44</f>
        <v>0</v>
      </c>
    </row>
    <row r="672" spans="1:2" x14ac:dyDescent="0.35">
      <c r="A672" s="383" t="s">
        <v>2411</v>
      </c>
      <c r="B672" s="383">
        <f>NeoBerAfspr!$D$44</f>
        <v>0</v>
      </c>
    </row>
    <row r="673" spans="1:2" x14ac:dyDescent="0.35">
      <c r="A673" s="383" t="s">
        <v>2412</v>
      </c>
      <c r="B673" s="383">
        <f>NeoBerAfspr!$B$45</f>
        <v>0</v>
      </c>
    </row>
    <row r="674" spans="1:2" x14ac:dyDescent="0.35">
      <c r="A674" s="383" t="s">
        <v>2413</v>
      </c>
      <c r="B674" s="383">
        <f>NeoBerAfspr!$D$45</f>
        <v>0</v>
      </c>
    </row>
    <row r="675" spans="1:2" x14ac:dyDescent="0.35">
      <c r="A675" s="383" t="s">
        <v>2414</v>
      </c>
      <c r="B675" s="383">
        <f>NeoBerAfspr!$J$17</f>
        <v>0</v>
      </c>
    </row>
    <row r="676" spans="1:2" x14ac:dyDescent="0.35">
      <c r="A676" s="383" t="s">
        <v>2415</v>
      </c>
      <c r="B676">
        <f>NeoBerAfspr!$J$18</f>
        <v>0</v>
      </c>
    </row>
    <row r="677" spans="1:2" s="383" customFormat="1" x14ac:dyDescent="0.35">
      <c r="A677" s="383" t="s">
        <v>2416</v>
      </c>
      <c r="B677">
        <f>NeoBerAfspr!$F$17</f>
        <v>0</v>
      </c>
    </row>
    <row r="678" spans="1:2" x14ac:dyDescent="0.35">
      <c r="A678" s="383" t="s">
        <v>2417</v>
      </c>
      <c r="B678">
        <f>NeoBerAfspr!$B$16</f>
        <v>0</v>
      </c>
    </row>
    <row r="679" spans="1:2" x14ac:dyDescent="0.35">
      <c r="A679" s="383" t="s">
        <v>2418</v>
      </c>
      <c r="B679">
        <f>NeoBerAfspr!$B$17</f>
        <v>0</v>
      </c>
    </row>
    <row r="680" spans="1:2" x14ac:dyDescent="0.35">
      <c r="A680" s="383" t="s">
        <v>2419</v>
      </c>
      <c r="B680">
        <f>NeoBerAfspr!$B$18</f>
        <v>0</v>
      </c>
    </row>
    <row r="681" spans="1:2" x14ac:dyDescent="0.35">
      <c r="A681" s="383" t="s">
        <v>2420</v>
      </c>
      <c r="B681">
        <f>NeoBerAfspr!$H$18</f>
        <v>0</v>
      </c>
    </row>
    <row r="682" spans="1:2" s="383" customFormat="1" x14ac:dyDescent="0.35">
      <c r="A682" s="383" t="s">
        <v>2421</v>
      </c>
      <c r="B682">
        <f>NeoBerAfspr!$F$18</f>
        <v>0</v>
      </c>
    </row>
    <row r="683" spans="1:2" s="383" customFormat="1" x14ac:dyDescent="0.35">
      <c r="A683" s="383" t="s">
        <v>2422</v>
      </c>
      <c r="B683">
        <f>NeoBerAfspr!$H$19</f>
        <v>0</v>
      </c>
    </row>
    <row r="684" spans="1:2" s="383" customFormat="1" x14ac:dyDescent="0.35">
      <c r="A684" s="383" t="s">
        <v>2423</v>
      </c>
      <c r="B684">
        <f>NeoBerAfspr!$H$20</f>
        <v>0</v>
      </c>
    </row>
    <row r="685" spans="1:2" s="383" customFormat="1" x14ac:dyDescent="0.35">
      <c r="A685" s="383" t="s">
        <v>2424</v>
      </c>
      <c r="B685">
        <f>NeoBerAfspr!$B$34</f>
        <v>0</v>
      </c>
    </row>
    <row r="686" spans="1:2" x14ac:dyDescent="0.35">
      <c r="A686" s="383" t="s">
        <v>2425</v>
      </c>
      <c r="B686">
        <f>NeoBerAfspr!$B$37</f>
        <v>0</v>
      </c>
    </row>
    <row r="687" spans="1:2" x14ac:dyDescent="0.35">
      <c r="A687" s="383" t="s">
        <v>2426</v>
      </c>
      <c r="B687">
        <f>NeoBerAfspr!$B$40</f>
        <v>0</v>
      </c>
    </row>
    <row r="688" spans="1:2" x14ac:dyDescent="0.35">
      <c r="A688" s="383" t="s">
        <v>2427</v>
      </c>
      <c r="B688">
        <f>NeoBerAfspr!$F$21</f>
        <v>0</v>
      </c>
    </row>
    <row r="689" spans="1:2" x14ac:dyDescent="0.35">
      <c r="A689" s="383" t="s">
        <v>2428</v>
      </c>
      <c r="B689">
        <f>NeoBerAfspr!$F$23</f>
        <v>0</v>
      </c>
    </row>
    <row r="690" spans="1:2" x14ac:dyDescent="0.35">
      <c r="A690" s="383" t="s">
        <v>2429</v>
      </c>
      <c r="B690">
        <f>NeoBerAfspr!$H$27</f>
        <v>0</v>
      </c>
    </row>
    <row r="691" spans="1:2" x14ac:dyDescent="0.35">
      <c r="A691" s="383" t="s">
        <v>2430</v>
      </c>
      <c r="B691" s="377">
        <f>NeoBerAfspr!$H$28</f>
        <v>0</v>
      </c>
    </row>
    <row r="692" spans="1:2" x14ac:dyDescent="0.35">
      <c r="A692" s="383" t="s">
        <v>2431</v>
      </c>
      <c r="B692" s="377">
        <f>NeoBerAfspr!$F$22</f>
        <v>0</v>
      </c>
    </row>
    <row r="693" spans="1:2" x14ac:dyDescent="0.35">
      <c r="A693" s="383" t="s">
        <v>2432</v>
      </c>
      <c r="B693" s="377">
        <f>NeoBerAfspr!$H$22</f>
        <v>0</v>
      </c>
    </row>
    <row r="694" spans="1:2" x14ac:dyDescent="0.35">
      <c r="A694" s="383" t="s">
        <v>2433</v>
      </c>
      <c r="B694" s="377">
        <f>NeoBerAfspr!$H$29</f>
        <v>0</v>
      </c>
    </row>
    <row r="695" spans="1:2" x14ac:dyDescent="0.35">
      <c r="A695" s="383" t="s">
        <v>2434</v>
      </c>
      <c r="B695" s="377">
        <f>NeoBerAfspr!$H$23</f>
        <v>0</v>
      </c>
    </row>
    <row r="696" spans="1:2" x14ac:dyDescent="0.35">
      <c r="A696" s="383" t="s">
        <v>2435</v>
      </c>
      <c r="B696" s="377">
        <f>NeoBerAfspr!$H$30</f>
        <v>0</v>
      </c>
    </row>
    <row r="697" spans="1:2" x14ac:dyDescent="0.35">
      <c r="A697" s="383" t="s">
        <v>2436</v>
      </c>
      <c r="B697" s="377">
        <f>NeoBerAfspr!$H$24</f>
        <v>0</v>
      </c>
    </row>
    <row r="698" spans="1:2" x14ac:dyDescent="0.35">
      <c r="A698" s="383" t="s">
        <v>2437</v>
      </c>
      <c r="B698" s="377">
        <f>NeoBerAfspr!$H$25</f>
        <v>0</v>
      </c>
    </row>
    <row r="699" spans="1:2" x14ac:dyDescent="0.35">
      <c r="A699" s="383" t="s">
        <v>2438</v>
      </c>
      <c r="B699" s="377">
        <f>NeoBerAfspr!$H$26</f>
        <v>0</v>
      </c>
    </row>
    <row r="700" spans="1:2" x14ac:dyDescent="0.35">
      <c r="A700" s="383" t="s">
        <v>2439</v>
      </c>
      <c r="B700" s="377">
        <f>NeoBerAfspr!$J$19</f>
        <v>0</v>
      </c>
    </row>
    <row r="701" spans="1:2" x14ac:dyDescent="0.35">
      <c r="A701" s="383" t="s">
        <v>2440</v>
      </c>
      <c r="B701" s="377">
        <f>NeoBerAfspr!$J$20</f>
        <v>0</v>
      </c>
    </row>
    <row r="702" spans="1:2" x14ac:dyDescent="0.35">
      <c r="A702" s="383" t="s">
        <v>2441</v>
      </c>
      <c r="B702" s="377">
        <f>NeoBerAfspr!$L$23</f>
        <v>0</v>
      </c>
    </row>
    <row r="703" spans="1:2" x14ac:dyDescent="0.35">
      <c r="A703" s="383" t="s">
        <v>2442</v>
      </c>
      <c r="B703" s="377">
        <f>NeoBerAfspr!$L$22</f>
        <v>0</v>
      </c>
    </row>
    <row r="704" spans="1:2" x14ac:dyDescent="0.35">
      <c r="A704" s="383" t="s">
        <v>2443</v>
      </c>
      <c r="B704" s="377">
        <f>NeoBerAfspr!$L$21</f>
        <v>0</v>
      </c>
    </row>
    <row r="705" spans="1:2" x14ac:dyDescent="0.35">
      <c r="A705" s="383" t="s">
        <v>2444</v>
      </c>
      <c r="B705" s="377">
        <f>NeoBerAfspr!$J$24</f>
        <v>0</v>
      </c>
    </row>
    <row r="706" spans="1:2" x14ac:dyDescent="0.35">
      <c r="A706" s="383" t="s">
        <v>2445</v>
      </c>
      <c r="B706" s="377">
        <f>NeoBerAfspr!$L$24</f>
        <v>0</v>
      </c>
    </row>
    <row r="707" spans="1:2" x14ac:dyDescent="0.35">
      <c r="A707" s="383" t="s">
        <v>2446</v>
      </c>
      <c r="B707" s="377">
        <f>NeoBerAfspr!$L$25</f>
        <v>0</v>
      </c>
    </row>
    <row r="708" spans="1:2" x14ac:dyDescent="0.35">
      <c r="A708" s="383" t="s">
        <v>2447</v>
      </c>
      <c r="B708" s="377">
        <f>NeoBerAfspr!$L$26</f>
        <v>0</v>
      </c>
    </row>
    <row r="709" spans="1:2" x14ac:dyDescent="0.35">
      <c r="A709" s="383" t="s">
        <v>2448</v>
      </c>
      <c r="B709" s="377">
        <f>NeoBerAfspr!$L$27</f>
        <v>0</v>
      </c>
    </row>
    <row r="710" spans="1:2" x14ac:dyDescent="0.35">
      <c r="A710" s="383" t="s">
        <v>2449</v>
      </c>
      <c r="B710" s="377">
        <f>NeoBerAfspr!$B$19</f>
        <v>0</v>
      </c>
    </row>
    <row r="711" spans="1:2" x14ac:dyDescent="0.35">
      <c r="A711" s="383" t="s">
        <v>2363</v>
      </c>
      <c r="B711" s="377">
        <f>NeoBerAfspr!$G$31</f>
        <v>0</v>
      </c>
    </row>
    <row r="712" spans="1:2" x14ac:dyDescent="0.35">
      <c r="A712" s="383" t="s">
        <v>2450</v>
      </c>
      <c r="B712" s="377">
        <f>NeoBerAfspr!$B$31</f>
        <v>0</v>
      </c>
    </row>
    <row r="713" spans="1:2" x14ac:dyDescent="0.35">
      <c r="A713" s="383" t="s">
        <v>2451</v>
      </c>
      <c r="B713" s="377">
        <f>NeoBerAfspr!$B$32</f>
        <v>0</v>
      </c>
    </row>
    <row r="714" spans="1:2" x14ac:dyDescent="0.35">
      <c r="A714" s="383" t="s">
        <v>2452</v>
      </c>
      <c r="B714" s="377">
        <f>NeoBerAfspr!$K$29</f>
        <v>0</v>
      </c>
    </row>
    <row r="715" spans="1:2" x14ac:dyDescent="0.35">
      <c r="A715" s="383" t="s">
        <v>2453</v>
      </c>
      <c r="B715" s="377">
        <f>NeoBerAfspr!$D$22</f>
        <v>0</v>
      </c>
    </row>
    <row r="716" spans="1:2" x14ac:dyDescent="0.35">
      <c r="A716" s="383" t="s">
        <v>2454</v>
      </c>
      <c r="B716" s="377">
        <f>NeoBerAfspr!$C$8</f>
        <v>0</v>
      </c>
    </row>
    <row r="717" spans="1:2" x14ac:dyDescent="0.35">
      <c r="A717" s="383" t="s">
        <v>2455</v>
      </c>
      <c r="B717" s="377">
        <f>NeoBerAfspr!$D$8</f>
        <v>0</v>
      </c>
    </row>
    <row r="718" spans="1:2" x14ac:dyDescent="0.35">
      <c r="A718" s="383" t="s">
        <v>2456</v>
      </c>
      <c r="B718" s="378">
        <f>NeoBerAfspr!$C$9</f>
        <v>0</v>
      </c>
    </row>
    <row r="719" spans="1:2" x14ac:dyDescent="0.35">
      <c r="A719" s="383" t="s">
        <v>2457</v>
      </c>
      <c r="B719" s="377">
        <f>NeoBerAfspr!$D$9</f>
        <v>0</v>
      </c>
    </row>
    <row r="720" spans="1:2" x14ac:dyDescent="0.35">
      <c r="A720" s="383" t="s">
        <v>2458</v>
      </c>
      <c r="B720" s="377">
        <f>NeoBerAfspr!$D$47</f>
        <v>0</v>
      </c>
    </row>
    <row r="721" spans="1:6" x14ac:dyDescent="0.35">
      <c r="A721" s="383" t="s">
        <v>2459</v>
      </c>
      <c r="B721" s="377">
        <f>NeoBerAfspr!$D$46</f>
        <v>0</v>
      </c>
    </row>
    <row r="722" spans="1:6" x14ac:dyDescent="0.35">
      <c r="A722" s="383" t="s">
        <v>2460</v>
      </c>
      <c r="B722" s="377">
        <f>NeoBerAfspr!$B$12</f>
        <v>0</v>
      </c>
    </row>
    <row r="723" spans="1:6" x14ac:dyDescent="0.35">
      <c r="A723" s="383" t="s">
        <v>2461</v>
      </c>
      <c r="B723" s="377">
        <f>NeoBerAfspr!$K$17</f>
        <v>0</v>
      </c>
    </row>
    <row r="724" spans="1:6" x14ac:dyDescent="0.35">
      <c r="A724" s="383" t="s">
        <v>2462</v>
      </c>
      <c r="B724" s="377">
        <f>NeoBerAfspr!$L$17</f>
        <v>0</v>
      </c>
    </row>
    <row r="725" spans="1:6" x14ac:dyDescent="0.35">
      <c r="A725" s="383" t="s">
        <v>2463</v>
      </c>
      <c r="B725" s="377">
        <f>NeoBerAfspr!$C$18</f>
        <v>0</v>
      </c>
    </row>
    <row r="726" spans="1:6" x14ac:dyDescent="0.35">
      <c r="A726" s="383" t="s">
        <v>2464</v>
      </c>
      <c r="B726" s="377">
        <f>NeoBerAfspr!$D$18</f>
        <v>0</v>
      </c>
    </row>
    <row r="727" spans="1:6" x14ac:dyDescent="0.35">
      <c r="A727" s="383" t="s">
        <v>2465</v>
      </c>
      <c r="B727" s="377">
        <f>NeoBerAfspr!$D$36</f>
        <v>0</v>
      </c>
    </row>
    <row r="728" spans="1:6" x14ac:dyDescent="0.35">
      <c r="A728" s="383" t="s">
        <v>2466</v>
      </c>
      <c r="B728" s="377">
        <f>NeoBerAfspr!$D$34</f>
        <v>0</v>
      </c>
    </row>
    <row r="729" spans="1:6" x14ac:dyDescent="0.35">
      <c r="A729" s="383" t="s">
        <v>2467</v>
      </c>
      <c r="B729" s="377">
        <f>NeoBerAfspr!$D$35</f>
        <v>0</v>
      </c>
    </row>
    <row r="730" spans="1:6" x14ac:dyDescent="0.35">
      <c r="A730" s="383" t="s">
        <v>2468</v>
      </c>
      <c r="B730" s="377">
        <f>NeoBerAfspr!$D$39</f>
        <v>0</v>
      </c>
    </row>
    <row r="731" spans="1:6" x14ac:dyDescent="0.35">
      <c r="A731" s="383" t="s">
        <v>2469</v>
      </c>
      <c r="B731" s="377">
        <f>NeoBerAfspr!$D$37</f>
        <v>0</v>
      </c>
      <c r="F731" s="383"/>
    </row>
    <row r="732" spans="1:6" x14ac:dyDescent="0.35">
      <c r="A732" s="383" t="s">
        <v>2470</v>
      </c>
      <c r="B732" s="377">
        <f>NeoBerAfspr!$D$38</f>
        <v>0</v>
      </c>
      <c r="F732" s="383"/>
    </row>
    <row r="733" spans="1:6" x14ac:dyDescent="0.35">
      <c r="A733" s="383" t="s">
        <v>2471</v>
      </c>
      <c r="B733" s="377">
        <f>NeoBerAfspr!$D$42</f>
        <v>0</v>
      </c>
      <c r="F733" s="383"/>
    </row>
    <row r="734" spans="1:6" x14ac:dyDescent="0.35">
      <c r="A734" s="383" t="s">
        <v>2472</v>
      </c>
      <c r="B734" s="377">
        <f>NeoBerAfspr!$D$40</f>
        <v>0</v>
      </c>
      <c r="F734" s="383"/>
    </row>
    <row r="735" spans="1:6" x14ac:dyDescent="0.35">
      <c r="A735" s="383" t="s">
        <v>2473</v>
      </c>
      <c r="B735" s="377">
        <f>NeoBerAfspr!$D$41</f>
        <v>0</v>
      </c>
      <c r="F735" s="383"/>
    </row>
    <row r="736" spans="1:6" x14ac:dyDescent="0.35">
      <c r="A736" s="383" t="s">
        <v>2474</v>
      </c>
      <c r="B736" s="377">
        <f>NeoBerAfspr!$K$20</f>
        <v>0</v>
      </c>
      <c r="F736" s="383"/>
    </row>
    <row r="737" spans="1:6" x14ac:dyDescent="0.35">
      <c r="A737" s="383" t="s">
        <v>2475</v>
      </c>
      <c r="B737" s="377">
        <f>NeoBerAfspr!$D$27</f>
        <v>50</v>
      </c>
      <c r="C737">
        <v>50</v>
      </c>
      <c r="F737" s="383"/>
    </row>
    <row r="738" spans="1:6" x14ac:dyDescent="0.35">
      <c r="A738" s="383" t="s">
        <v>2476</v>
      </c>
      <c r="B738" s="377">
        <f>NeoBerAfspr!$G$31</f>
        <v>0</v>
      </c>
      <c r="F738" s="383"/>
    </row>
    <row r="739" spans="1:6" x14ac:dyDescent="0.35">
      <c r="A739" s="383" t="s">
        <v>2328</v>
      </c>
      <c r="B739" s="377">
        <f>NeoBerAfspr!$D$27</f>
        <v>50</v>
      </c>
      <c r="C739">
        <v>50</v>
      </c>
      <c r="F739" s="383"/>
    </row>
    <row r="740" spans="1:6" x14ac:dyDescent="0.35">
      <c r="A740" s="383" t="s">
        <v>3224</v>
      </c>
      <c r="B740" s="377">
        <f>NeoBerInfB!$B$18</f>
        <v>0</v>
      </c>
      <c r="C740">
        <v>0</v>
      </c>
      <c r="F740" s="383"/>
    </row>
    <row r="741" spans="1:6" x14ac:dyDescent="0.35">
      <c r="A741" s="383" t="s">
        <v>3226</v>
      </c>
      <c r="B741" s="377">
        <f>NeoBerInfB!$F$1</f>
        <v>0</v>
      </c>
      <c r="F741" s="383"/>
    </row>
    <row r="742" spans="1:6" x14ac:dyDescent="0.35">
      <c r="A742" s="383" t="s">
        <v>3228</v>
      </c>
      <c r="B742" s="377">
        <f>NeoBerInfB!$D$36</f>
        <v>1</v>
      </c>
      <c r="C742">
        <v>1</v>
      </c>
    </row>
    <row r="743" spans="1:6" x14ac:dyDescent="0.35">
      <c r="A743" s="383" t="s">
        <v>3231</v>
      </c>
      <c r="B743" s="377">
        <f>NeoBerInfB!$B$15</f>
        <v>2</v>
      </c>
      <c r="C743">
        <v>2</v>
      </c>
    </row>
    <row r="744" spans="1:6" x14ac:dyDescent="0.35">
      <c r="A744" s="383" t="s">
        <v>3233</v>
      </c>
      <c r="B744" s="377">
        <f>NeoBerInfB!$D$10</f>
        <v>0</v>
      </c>
      <c r="C744">
        <v>0</v>
      </c>
    </row>
    <row r="745" spans="1:6" x14ac:dyDescent="0.35">
      <c r="A745" s="383" t="s">
        <v>3234</v>
      </c>
      <c r="B745" s="377">
        <f>NeoBerInfB!$D$12</f>
        <v>0</v>
      </c>
      <c r="C745">
        <v>0</v>
      </c>
    </row>
    <row r="746" spans="1:6" x14ac:dyDescent="0.35">
      <c r="A746" s="383" t="s">
        <v>3237</v>
      </c>
      <c r="B746" s="377">
        <f>NeoBerInfB!$D$45</f>
        <v>2</v>
      </c>
      <c r="C746">
        <v>2</v>
      </c>
    </row>
    <row r="747" spans="1:6" x14ac:dyDescent="0.35">
      <c r="A747" s="383" t="s">
        <v>3239</v>
      </c>
      <c r="B747" s="377">
        <f>NeoBerInfB!$D$11</f>
        <v>0</v>
      </c>
      <c r="C747">
        <v>0</v>
      </c>
    </row>
    <row r="748" spans="1:6" x14ac:dyDescent="0.35">
      <c r="A748" s="383" t="s">
        <v>3240</v>
      </c>
      <c r="B748" s="377">
        <f>NeoBerInfB!$D$13</f>
        <v>0</v>
      </c>
      <c r="C748">
        <v>0</v>
      </c>
    </row>
    <row r="749" spans="1:6" x14ac:dyDescent="0.35">
      <c r="A749" s="383" t="s">
        <v>3243</v>
      </c>
      <c r="B749" s="377">
        <f>NeoBerInfB!$D$16</f>
        <v>5000</v>
      </c>
      <c r="C749">
        <v>5000</v>
      </c>
    </row>
    <row r="750" spans="1:6" x14ac:dyDescent="0.35">
      <c r="A750" s="383" t="s">
        <v>3245</v>
      </c>
      <c r="B750" s="377">
        <f>NeoBerInfB!$D$35</f>
        <v>5000</v>
      </c>
      <c r="C750">
        <v>5000</v>
      </c>
    </row>
    <row r="751" spans="1:6" x14ac:dyDescent="0.35">
      <c r="A751" s="383" t="s">
        <v>3358</v>
      </c>
      <c r="B751" s="377">
        <f>NeoBerInfB!$F$35</f>
        <v>1</v>
      </c>
      <c r="C751">
        <v>1</v>
      </c>
    </row>
    <row r="752" spans="1:6" x14ac:dyDescent="0.35">
      <c r="A752" s="383" t="s">
        <v>3247</v>
      </c>
      <c r="B752" s="377">
        <f>NeoBerInfB!$D$38</f>
        <v>5000</v>
      </c>
      <c r="C752">
        <v>5000</v>
      </c>
    </row>
    <row r="753" spans="1:3" x14ac:dyDescent="0.35">
      <c r="A753" s="383" t="s">
        <v>3249</v>
      </c>
      <c r="B753" s="377">
        <f>NeoBerInfB!$B$20</f>
        <v>1</v>
      </c>
      <c r="C753">
        <v>1</v>
      </c>
    </row>
    <row r="754" spans="1:3" x14ac:dyDescent="0.35">
      <c r="A754" s="383" t="s">
        <v>3250</v>
      </c>
      <c r="B754" s="377">
        <f>NeoBerInfB!$B$21</f>
        <v>1</v>
      </c>
      <c r="C754">
        <v>1</v>
      </c>
    </row>
    <row r="755" spans="1:3" x14ac:dyDescent="0.35">
      <c r="A755" s="383" t="s">
        <v>3251</v>
      </c>
      <c r="B755" s="377">
        <f>NeoBerInfB!$B$22</f>
        <v>1</v>
      </c>
      <c r="C755">
        <v>1</v>
      </c>
    </row>
    <row r="756" spans="1:3" x14ac:dyDescent="0.35">
      <c r="A756" s="383" t="s">
        <v>3252</v>
      </c>
      <c r="B756" s="377">
        <f>NeoBerInfB!$B$23</f>
        <v>1</v>
      </c>
      <c r="C756">
        <v>1</v>
      </c>
    </row>
    <row r="757" spans="1:3" x14ac:dyDescent="0.35">
      <c r="A757" s="383" t="s">
        <v>3253</v>
      </c>
      <c r="B757" s="377">
        <f>NeoBerInfB!$B$24</f>
        <v>1</v>
      </c>
      <c r="C757">
        <v>1</v>
      </c>
    </row>
    <row r="758" spans="1:3" x14ac:dyDescent="0.35">
      <c r="A758" s="383" t="s">
        <v>3254</v>
      </c>
      <c r="B758" s="377">
        <f>NeoBerInfB!$B$25</f>
        <v>1</v>
      </c>
      <c r="C758">
        <v>1</v>
      </c>
    </row>
    <row r="759" spans="1:3" x14ac:dyDescent="0.35">
      <c r="A759" s="383" t="s">
        <v>3255</v>
      </c>
      <c r="B759" s="377">
        <f>NeoBerInfB!$B$26</f>
        <v>1</v>
      </c>
      <c r="C759">
        <v>1</v>
      </c>
    </row>
    <row r="760" spans="1:3" x14ac:dyDescent="0.35">
      <c r="A760" s="383" t="s">
        <v>3256</v>
      </c>
      <c r="B760" s="377">
        <f>NeoBerInfB!$B$27</f>
        <v>1</v>
      </c>
      <c r="C760">
        <v>1</v>
      </c>
    </row>
    <row r="761" spans="1:3" x14ac:dyDescent="0.35">
      <c r="A761" s="383" t="s">
        <v>3257</v>
      </c>
      <c r="B761" s="377">
        <f>NeoBerInfB!$B$28</f>
        <v>1</v>
      </c>
      <c r="C761">
        <v>1</v>
      </c>
    </row>
    <row r="762" spans="1:3" x14ac:dyDescent="0.35">
      <c r="A762" s="383" t="s">
        <v>3267</v>
      </c>
      <c r="B762" s="377">
        <f>NeoBerInfB!$C$20</f>
        <v>0</v>
      </c>
      <c r="C762">
        <v>0</v>
      </c>
    </row>
    <row r="763" spans="1:3" x14ac:dyDescent="0.35">
      <c r="A763" s="383" t="s">
        <v>3268</v>
      </c>
      <c r="B763" s="377">
        <f>NeoBerInfB!$C$21</f>
        <v>0</v>
      </c>
      <c r="C763">
        <v>0</v>
      </c>
    </row>
    <row r="764" spans="1:3" x14ac:dyDescent="0.35">
      <c r="A764" s="383" t="s">
        <v>3269</v>
      </c>
      <c r="B764" s="377">
        <f>NeoBerInfB!$C$22</f>
        <v>0</v>
      </c>
      <c r="C764">
        <v>0</v>
      </c>
    </row>
    <row r="765" spans="1:3" x14ac:dyDescent="0.35">
      <c r="A765" s="383" t="s">
        <v>3270</v>
      </c>
      <c r="B765" s="377">
        <f>NeoBerInfB!$C$23</f>
        <v>0</v>
      </c>
      <c r="C765">
        <v>0</v>
      </c>
    </row>
    <row r="766" spans="1:3" x14ac:dyDescent="0.35">
      <c r="A766" s="383" t="s">
        <v>3271</v>
      </c>
      <c r="B766" s="377">
        <f>NeoBerInfB!$C$24</f>
        <v>0</v>
      </c>
      <c r="C766">
        <v>0</v>
      </c>
    </row>
    <row r="767" spans="1:3" x14ac:dyDescent="0.35">
      <c r="A767" s="383" t="s">
        <v>3272</v>
      </c>
      <c r="B767" s="377">
        <f>NeoBerInfB!$C$25</f>
        <v>0</v>
      </c>
      <c r="C767">
        <v>0</v>
      </c>
    </row>
    <row r="768" spans="1:3" x14ac:dyDescent="0.35">
      <c r="A768" s="383" t="s">
        <v>3273</v>
      </c>
      <c r="B768" s="377">
        <f>NeoBerInfB!$C$26</f>
        <v>0</v>
      </c>
      <c r="C768">
        <v>0</v>
      </c>
    </row>
    <row r="769" spans="1:3" x14ac:dyDescent="0.35">
      <c r="A769" s="383" t="s">
        <v>3274</v>
      </c>
      <c r="B769" s="377">
        <f>NeoBerInfB!$C$27</f>
        <v>0</v>
      </c>
      <c r="C769">
        <v>0</v>
      </c>
    </row>
    <row r="770" spans="1:3" x14ac:dyDescent="0.35">
      <c r="A770" s="383" t="s">
        <v>3275</v>
      </c>
      <c r="B770" s="377">
        <f>NeoBerInfB!$C$28</f>
        <v>0</v>
      </c>
      <c r="C770">
        <v>0</v>
      </c>
    </row>
    <row r="771" spans="1:3" x14ac:dyDescent="0.35">
      <c r="A771" s="383" t="s">
        <v>3285</v>
      </c>
      <c r="B771" s="377">
        <f>NeoBerInfB!$B$32</f>
        <v>0</v>
      </c>
    </row>
    <row r="772" spans="1:3" x14ac:dyDescent="0.35">
      <c r="A772" s="383" t="s">
        <v>3286</v>
      </c>
      <c r="B772" s="377">
        <f>NeoBerInfB!$B$33</f>
        <v>0</v>
      </c>
    </row>
    <row r="773" spans="1:3" x14ac:dyDescent="0.35">
      <c r="A773" s="383" t="s">
        <v>3289</v>
      </c>
      <c r="B773" s="377">
        <f>NeoBerInfB!$D$40</f>
        <v>5000</v>
      </c>
      <c r="C773">
        <v>5000</v>
      </c>
    </row>
    <row r="774" spans="1:3" x14ac:dyDescent="0.35">
      <c r="A774" s="383" t="s">
        <v>3292</v>
      </c>
      <c r="B774" s="377">
        <f>NeoBerInfB!$D$43</f>
        <v>5000</v>
      </c>
      <c r="C774">
        <v>5000</v>
      </c>
    </row>
    <row r="775" spans="1:3" x14ac:dyDescent="0.35">
      <c r="A775" s="383" t="s">
        <v>3294</v>
      </c>
      <c r="B775" s="377">
        <f>NeoBerInfB!$D$20</f>
        <v>0</v>
      </c>
      <c r="C775">
        <v>0</v>
      </c>
    </row>
    <row r="776" spans="1:3" x14ac:dyDescent="0.35">
      <c r="A776" s="383" t="s">
        <v>3295</v>
      </c>
      <c r="B776" s="377">
        <f>NeoBerInfB!$D$21</f>
        <v>0</v>
      </c>
      <c r="C776">
        <v>0</v>
      </c>
    </row>
    <row r="777" spans="1:3" x14ac:dyDescent="0.35">
      <c r="A777" s="383" t="s">
        <v>3296</v>
      </c>
      <c r="B777" s="377">
        <f>NeoBerInfB!$D$22</f>
        <v>0</v>
      </c>
      <c r="C777">
        <v>0</v>
      </c>
    </row>
    <row r="778" spans="1:3" x14ac:dyDescent="0.35">
      <c r="A778" s="383" t="s">
        <v>3297</v>
      </c>
      <c r="B778" s="377">
        <f>NeoBerInfB!$D$23</f>
        <v>0</v>
      </c>
      <c r="C778">
        <v>0</v>
      </c>
    </row>
    <row r="779" spans="1:3" x14ac:dyDescent="0.35">
      <c r="A779" s="383" t="s">
        <v>3298</v>
      </c>
      <c r="B779" s="377">
        <f>NeoBerInfB!$D$24</f>
        <v>0</v>
      </c>
      <c r="C779">
        <v>0</v>
      </c>
    </row>
    <row r="780" spans="1:3" x14ac:dyDescent="0.35">
      <c r="A780" s="383" t="s">
        <v>3299</v>
      </c>
      <c r="B780" s="377">
        <f>NeoBerInfB!$D$25</f>
        <v>0</v>
      </c>
      <c r="C780">
        <v>0</v>
      </c>
    </row>
    <row r="781" spans="1:3" x14ac:dyDescent="0.35">
      <c r="A781" s="383" t="s">
        <v>3300</v>
      </c>
      <c r="B781" s="377">
        <f>NeoBerInfB!$D$26</f>
        <v>0</v>
      </c>
      <c r="C781">
        <v>0</v>
      </c>
    </row>
    <row r="782" spans="1:3" x14ac:dyDescent="0.35">
      <c r="A782" s="383" t="s">
        <v>3301</v>
      </c>
      <c r="B782" s="377">
        <f>NeoBerInfB!$D$27</f>
        <v>0</v>
      </c>
      <c r="C782">
        <v>0</v>
      </c>
    </row>
    <row r="783" spans="1:3" x14ac:dyDescent="0.35">
      <c r="A783" s="383" t="s">
        <v>3302</v>
      </c>
      <c r="B783" s="377">
        <f>NeoBerInfB!$D$28</f>
        <v>0</v>
      </c>
      <c r="C783">
        <v>0</v>
      </c>
    </row>
    <row r="784" spans="1:3" x14ac:dyDescent="0.35">
      <c r="A784" s="383" t="s">
        <v>3315</v>
      </c>
      <c r="B784" s="377">
        <f>NeoBerInfB!$E$20</f>
        <v>1</v>
      </c>
      <c r="C784">
        <v>1</v>
      </c>
    </row>
    <row r="785" spans="1:3" x14ac:dyDescent="0.35">
      <c r="A785" s="383" t="s">
        <v>3316</v>
      </c>
      <c r="B785" s="377">
        <f>NeoBerInfB!$E$21</f>
        <v>1</v>
      </c>
      <c r="C785">
        <v>1</v>
      </c>
    </row>
    <row r="786" spans="1:3" x14ac:dyDescent="0.35">
      <c r="A786" s="383" t="s">
        <v>3317</v>
      </c>
      <c r="B786" s="377">
        <f>NeoBerInfB!$E$22</f>
        <v>1</v>
      </c>
      <c r="C786">
        <v>1</v>
      </c>
    </row>
    <row r="787" spans="1:3" x14ac:dyDescent="0.35">
      <c r="A787" s="383" t="s">
        <v>3318</v>
      </c>
      <c r="B787" s="377">
        <f>NeoBerInfB!$E$23</f>
        <v>1</v>
      </c>
      <c r="C787">
        <v>1</v>
      </c>
    </row>
    <row r="788" spans="1:3" x14ac:dyDescent="0.35">
      <c r="A788" s="383" t="s">
        <v>3319</v>
      </c>
      <c r="B788" s="377">
        <f>NeoBerInfB!$E$24</f>
        <v>1</v>
      </c>
      <c r="C788">
        <v>1</v>
      </c>
    </row>
    <row r="789" spans="1:3" x14ac:dyDescent="0.35">
      <c r="A789" s="383" t="s">
        <v>3320</v>
      </c>
      <c r="B789" s="377">
        <f>NeoBerInfB!$E$25</f>
        <v>1</v>
      </c>
      <c r="C789">
        <v>1</v>
      </c>
    </row>
    <row r="790" spans="1:3" x14ac:dyDescent="0.35">
      <c r="A790" s="383" t="s">
        <v>3321</v>
      </c>
      <c r="B790" s="377">
        <f>NeoBerInfB!$E$26</f>
        <v>1</v>
      </c>
      <c r="C790">
        <v>1</v>
      </c>
    </row>
    <row r="791" spans="1:3" x14ac:dyDescent="0.35">
      <c r="A791" s="383" t="s">
        <v>3322</v>
      </c>
      <c r="B791" s="377">
        <f>NeoBerInfB!$E$27</f>
        <v>1</v>
      </c>
      <c r="C791">
        <v>1</v>
      </c>
    </row>
    <row r="792" spans="1:3" x14ac:dyDescent="0.35">
      <c r="A792" s="383" t="s">
        <v>3323</v>
      </c>
      <c r="B792" s="377">
        <f>NeoBerInfB!$E$28</f>
        <v>1</v>
      </c>
      <c r="C792">
        <v>1</v>
      </c>
    </row>
    <row r="793" spans="1:3" x14ac:dyDescent="0.35">
      <c r="A793" s="383" t="s">
        <v>3312</v>
      </c>
      <c r="B793" s="377">
        <f>NeoBerInfB!$E$29</f>
        <v>0</v>
      </c>
      <c r="C793">
        <v>0</v>
      </c>
    </row>
    <row r="794" spans="1:3" x14ac:dyDescent="0.35">
      <c r="A794" s="383" t="s">
        <v>3313</v>
      </c>
      <c r="B794" s="377">
        <f>NeoBerInfB!$E$30</f>
        <v>0</v>
      </c>
      <c r="C794">
        <v>0</v>
      </c>
    </row>
    <row r="795" spans="1:3" x14ac:dyDescent="0.35">
      <c r="A795" s="383" t="s">
        <v>3314</v>
      </c>
      <c r="B795" s="377">
        <f>NeoBerInfB!$E$31</f>
        <v>0</v>
      </c>
      <c r="C795">
        <v>0</v>
      </c>
    </row>
    <row r="796" spans="1:3" x14ac:dyDescent="0.35">
      <c r="A796" s="383" t="s">
        <v>3336</v>
      </c>
      <c r="B796" s="377" t="b">
        <f>NeoBerInfB!$B$17</f>
        <v>0</v>
      </c>
      <c r="C796" t="b">
        <v>0</v>
      </c>
    </row>
    <row r="797" spans="1:3" x14ac:dyDescent="0.35">
      <c r="A797" s="383" t="s">
        <v>3338</v>
      </c>
      <c r="B797" s="377">
        <f>NeoBerInfB!$J$52</f>
        <v>1</v>
      </c>
      <c r="C797">
        <v>1</v>
      </c>
    </row>
    <row r="798" spans="1:3" x14ac:dyDescent="0.35">
      <c r="A798" s="383" t="s">
        <v>3339</v>
      </c>
      <c r="B798" s="377">
        <f>NeoBerInfB!$J$53</f>
        <v>1</v>
      </c>
      <c r="C798">
        <v>1</v>
      </c>
    </row>
    <row r="799" spans="1:3" x14ac:dyDescent="0.35">
      <c r="A799" s="383" t="s">
        <v>3340</v>
      </c>
      <c r="B799" s="377">
        <f>NeoBerInfB!$J$54</f>
        <v>1</v>
      </c>
      <c r="C799">
        <v>1</v>
      </c>
    </row>
    <row r="800" spans="1:3" x14ac:dyDescent="0.35">
      <c r="A800" s="383" t="s">
        <v>3341</v>
      </c>
      <c r="B800" s="377">
        <f>NeoBerInfB!$J$55</f>
        <v>1</v>
      </c>
      <c r="C800">
        <v>1</v>
      </c>
    </row>
    <row r="801" spans="1:3" x14ac:dyDescent="0.35">
      <c r="A801" s="383" t="s">
        <v>3342</v>
      </c>
      <c r="B801" s="377">
        <f>NeoBerInfB!$J$56</f>
        <v>1</v>
      </c>
      <c r="C801">
        <v>1</v>
      </c>
    </row>
    <row r="802" spans="1:3" s="383" customFormat="1" x14ac:dyDescent="0.35">
      <c r="A802" s="383" t="s">
        <v>3343</v>
      </c>
      <c r="B802" s="377">
        <f>NeoBerInfB!$J$58</f>
        <v>1</v>
      </c>
      <c r="C802" s="383">
        <v>1</v>
      </c>
    </row>
    <row r="803" spans="1:3" x14ac:dyDescent="0.35">
      <c r="A803" s="383" t="s">
        <v>3344</v>
      </c>
      <c r="B803" s="377">
        <f>NeoBerInfB!$J$59</f>
        <v>1</v>
      </c>
      <c r="C803">
        <v>1</v>
      </c>
    </row>
    <row r="804" spans="1:3" x14ac:dyDescent="0.35">
      <c r="A804" s="383" t="s">
        <v>3345</v>
      </c>
      <c r="B804" s="377">
        <f>NeoBerInfB!$J$60</f>
        <v>1</v>
      </c>
      <c r="C804">
        <v>1</v>
      </c>
    </row>
    <row r="805" spans="1:3" s="383" customFormat="1" x14ac:dyDescent="0.35">
      <c r="A805" s="383" t="s">
        <v>3346</v>
      </c>
      <c r="B805" s="377">
        <f>NeoBerInfB!$J$61</f>
        <v>1</v>
      </c>
      <c r="C805" s="383">
        <v>1</v>
      </c>
    </row>
    <row r="806" spans="1:3" s="383" customFormat="1" x14ac:dyDescent="0.35">
      <c r="A806" s="383" t="s">
        <v>3356</v>
      </c>
      <c r="B806" s="219">
        <f>NeoBerInfB!$D$42</f>
        <v>5000</v>
      </c>
      <c r="C806" s="383">
        <v>5000</v>
      </c>
    </row>
    <row r="807" spans="1:3" x14ac:dyDescent="0.35">
      <c r="A807" s="383" t="s">
        <v>3360</v>
      </c>
      <c r="B807" s="219">
        <f>NeoBerInfB!$D$41</f>
        <v>5000</v>
      </c>
      <c r="C807">
        <v>5000</v>
      </c>
    </row>
    <row r="808" spans="1:3" x14ac:dyDescent="0.35">
      <c r="A808" s="383" t="s">
        <v>3362</v>
      </c>
      <c r="B808" s="219">
        <f>NeoBerInfB!$D$44</f>
        <v>5000</v>
      </c>
      <c r="C808">
        <v>5000</v>
      </c>
    </row>
    <row r="809" spans="1:3" x14ac:dyDescent="0.35">
      <c r="A809" s="383" t="s">
        <v>3367</v>
      </c>
      <c r="B809" s="219">
        <f>NeoBerInfB!$F$20</f>
        <v>0</v>
      </c>
      <c r="C809">
        <v>0</v>
      </c>
    </row>
    <row r="810" spans="1:3" x14ac:dyDescent="0.35">
      <c r="A810" s="383" t="s">
        <v>3368</v>
      </c>
      <c r="B810" s="219">
        <f>NeoBerInfB!$F$21</f>
        <v>0</v>
      </c>
      <c r="C810">
        <v>0</v>
      </c>
    </row>
    <row r="811" spans="1:3" s="383" customFormat="1" x14ac:dyDescent="0.35">
      <c r="A811" s="383" t="s">
        <v>3369</v>
      </c>
      <c r="B811" s="219">
        <f>NeoBerInfB!$F$22</f>
        <v>0</v>
      </c>
      <c r="C811" s="383">
        <v>0</v>
      </c>
    </row>
    <row r="812" spans="1:3" s="383" customFormat="1" x14ac:dyDescent="0.35">
      <c r="A812" s="383" t="s">
        <v>3370</v>
      </c>
      <c r="B812" s="219">
        <f>NeoBerInfB!$F$23</f>
        <v>0</v>
      </c>
      <c r="C812" s="383">
        <v>0</v>
      </c>
    </row>
    <row r="813" spans="1:3" x14ac:dyDescent="0.35">
      <c r="A813" s="383" t="s">
        <v>3371</v>
      </c>
      <c r="B813" s="219">
        <f>NeoBerInfB!$F$24</f>
        <v>0</v>
      </c>
      <c r="C813">
        <v>0</v>
      </c>
    </row>
    <row r="814" spans="1:3" x14ac:dyDescent="0.35">
      <c r="A814" s="383" t="s">
        <v>3372</v>
      </c>
      <c r="B814" s="219">
        <f>NeoBerInfB!$F$25</f>
        <v>0</v>
      </c>
      <c r="C814">
        <v>0</v>
      </c>
    </row>
    <row r="815" spans="1:3" x14ac:dyDescent="0.35">
      <c r="A815" s="383" t="s">
        <v>3373</v>
      </c>
      <c r="B815" s="219">
        <f>NeoBerInfB!$F$26</f>
        <v>0</v>
      </c>
      <c r="C815">
        <v>0</v>
      </c>
    </row>
    <row r="816" spans="1:3" x14ac:dyDescent="0.35">
      <c r="A816" s="383" t="s">
        <v>3374</v>
      </c>
      <c r="B816" s="219">
        <f>NeoBerInfB!$F$27</f>
        <v>0</v>
      </c>
      <c r="C816">
        <v>0</v>
      </c>
    </row>
    <row r="817" spans="1:3" x14ac:dyDescent="0.35">
      <c r="A817" s="383" t="s">
        <v>3375</v>
      </c>
      <c r="B817" s="219">
        <f>NeoBerInfB!$F$28</f>
        <v>0</v>
      </c>
      <c r="C817">
        <v>0</v>
      </c>
    </row>
    <row r="818" spans="1:3" x14ac:dyDescent="0.35">
      <c r="A818" s="383" t="s">
        <v>3364</v>
      </c>
      <c r="B818" s="219">
        <f>NeoBerInfB!$F$29</f>
        <v>0</v>
      </c>
      <c r="C818">
        <v>0</v>
      </c>
    </row>
    <row r="819" spans="1:3" x14ac:dyDescent="0.35">
      <c r="A819" s="383" t="s">
        <v>3365</v>
      </c>
      <c r="B819">
        <f>NeoBerInfB!$F$30</f>
        <v>0</v>
      </c>
      <c r="C819">
        <v>0</v>
      </c>
    </row>
    <row r="820" spans="1:3" x14ac:dyDescent="0.35">
      <c r="A820" s="383" t="s">
        <v>3366</v>
      </c>
      <c r="B820">
        <f>NeoBerInfB!$F$31</f>
        <v>0</v>
      </c>
      <c r="C820">
        <v>0</v>
      </c>
    </row>
    <row r="821" spans="1:3" x14ac:dyDescent="0.35">
      <c r="A821" s="383" t="s">
        <v>3388</v>
      </c>
      <c r="B821">
        <f>NeoBerInfB!$C$20</f>
        <v>0</v>
      </c>
      <c r="C821">
        <v>0</v>
      </c>
    </row>
    <row r="822" spans="1:3" x14ac:dyDescent="0.35">
      <c r="A822" s="383" t="s">
        <v>3389</v>
      </c>
      <c r="B822">
        <f>NeoBerInfB!$C$21</f>
        <v>0</v>
      </c>
      <c r="C822">
        <v>0</v>
      </c>
    </row>
    <row r="823" spans="1:3" x14ac:dyDescent="0.35">
      <c r="A823" s="383" t="s">
        <v>3390</v>
      </c>
      <c r="B823">
        <f>NeoBerInfB!$C$22</f>
        <v>0</v>
      </c>
      <c r="C823">
        <v>0</v>
      </c>
    </row>
    <row r="824" spans="1:3" x14ac:dyDescent="0.35">
      <c r="A824" s="383" t="s">
        <v>3391</v>
      </c>
      <c r="B824">
        <f>NeoBerInfB!$C$23</f>
        <v>0</v>
      </c>
      <c r="C824">
        <v>0</v>
      </c>
    </row>
    <row r="825" spans="1:3" x14ac:dyDescent="0.35">
      <c r="A825" s="383" t="s">
        <v>3392</v>
      </c>
      <c r="B825">
        <f>NeoBerInfB!$C$24</f>
        <v>0</v>
      </c>
      <c r="C825">
        <v>0</v>
      </c>
    </row>
    <row r="826" spans="1:3" x14ac:dyDescent="0.35">
      <c r="A826" s="383" t="s">
        <v>3393</v>
      </c>
      <c r="B826">
        <f>NeoBerInfB!$C$25</f>
        <v>0</v>
      </c>
      <c r="C826">
        <v>0</v>
      </c>
    </row>
    <row r="827" spans="1:3" x14ac:dyDescent="0.35">
      <c r="A827" s="383" t="s">
        <v>3394</v>
      </c>
      <c r="B827">
        <f>NeoBerInfB!$C$26</f>
        <v>0</v>
      </c>
      <c r="C827">
        <v>0</v>
      </c>
    </row>
    <row r="828" spans="1:3" x14ac:dyDescent="0.35">
      <c r="A828" s="383" t="s">
        <v>3395</v>
      </c>
      <c r="B828">
        <f>NeoBerInfB!$C$27</f>
        <v>0</v>
      </c>
      <c r="C828">
        <v>0</v>
      </c>
    </row>
    <row r="829" spans="1:3" x14ac:dyDescent="0.35">
      <c r="A829" s="383" t="s">
        <v>3396</v>
      </c>
      <c r="B829">
        <f>NeoBerInfB!$C$28</f>
        <v>0</v>
      </c>
      <c r="C829">
        <v>0</v>
      </c>
    </row>
    <row r="830" spans="1:3" x14ac:dyDescent="0.35">
      <c r="A830" s="383" t="s">
        <v>3397</v>
      </c>
      <c r="B830" t="str">
        <f>NeoBerInfB!$A$63</f>
        <v>Supervisor</v>
      </c>
      <c r="C830" t="s">
        <v>688</v>
      </c>
    </row>
    <row r="831" spans="1:3" x14ac:dyDescent="0.35">
      <c r="A831" s="383" t="s">
        <v>3399</v>
      </c>
      <c r="B831">
        <f>NeoBerInfB!$B$52</f>
        <v>1</v>
      </c>
      <c r="C831">
        <v>1</v>
      </c>
    </row>
    <row r="832" spans="1:3" x14ac:dyDescent="0.35">
      <c r="A832" s="383" t="s">
        <v>3400</v>
      </c>
      <c r="B832">
        <f>NeoBerInfB!$B$53</f>
        <v>1</v>
      </c>
      <c r="C832">
        <v>1</v>
      </c>
    </row>
    <row r="833" spans="1:3" x14ac:dyDescent="0.35">
      <c r="A833" s="383" t="s">
        <v>3401</v>
      </c>
      <c r="B833">
        <f>NeoBerInfB!$B$54</f>
        <v>1</v>
      </c>
      <c r="C833">
        <v>1</v>
      </c>
    </row>
    <row r="834" spans="1:3" x14ac:dyDescent="0.35">
      <c r="A834" s="383" t="s">
        <v>3402</v>
      </c>
      <c r="B834">
        <f>NeoBerInfB!$B$55</f>
        <v>1</v>
      </c>
      <c r="C834">
        <v>1</v>
      </c>
    </row>
    <row r="835" spans="1:3" x14ac:dyDescent="0.35">
      <c r="A835" s="383" t="s">
        <v>3403</v>
      </c>
      <c r="B835">
        <f>NeoBerInfB!$B$56</f>
        <v>1</v>
      </c>
      <c r="C835">
        <v>1</v>
      </c>
    </row>
    <row r="836" spans="1:3" x14ac:dyDescent="0.35">
      <c r="A836" s="383" t="s">
        <v>3404</v>
      </c>
      <c r="B836">
        <f>NeoBerInfB!$B$58</f>
        <v>1</v>
      </c>
      <c r="C836">
        <v>1</v>
      </c>
    </row>
    <row r="837" spans="1:3" x14ac:dyDescent="0.35">
      <c r="A837" s="383" t="s">
        <v>3405</v>
      </c>
      <c r="B837">
        <f>NeoBerInfB!$B$59</f>
        <v>1</v>
      </c>
      <c r="C837">
        <v>1</v>
      </c>
    </row>
    <row r="838" spans="1:3" x14ac:dyDescent="0.35">
      <c r="A838" s="383" t="s">
        <v>3406</v>
      </c>
      <c r="B838">
        <f>NeoBerInfB!$B$60</f>
        <v>1</v>
      </c>
      <c r="C838">
        <v>1</v>
      </c>
    </row>
    <row r="839" spans="1:3" x14ac:dyDescent="0.35">
      <c r="A839" s="383" t="s">
        <v>3407</v>
      </c>
      <c r="B839" s="383">
        <f>NeoBerInfB!$B$61</f>
        <v>1</v>
      </c>
      <c r="C839">
        <v>1</v>
      </c>
    </row>
    <row r="840" spans="1:3" x14ac:dyDescent="0.35">
      <c r="A840" s="383" t="s">
        <v>3417</v>
      </c>
      <c r="B840" s="383">
        <f>NeoBerInfB!$D$39</f>
        <v>5000</v>
      </c>
      <c r="C840">
        <v>5000</v>
      </c>
    </row>
    <row r="841" spans="1:3" x14ac:dyDescent="0.35">
      <c r="A841" s="383" t="s">
        <v>3418</v>
      </c>
      <c r="B841" s="383">
        <f>NeoBerInfB!$D$37</f>
        <v>5000</v>
      </c>
      <c r="C841">
        <v>5000</v>
      </c>
    </row>
    <row r="842" spans="1:3" x14ac:dyDescent="0.35">
      <c r="A842" s="383" t="s">
        <v>3196</v>
      </c>
      <c r="B842" s="383">
        <f>NeoBerInfB!$J$14</f>
        <v>2</v>
      </c>
      <c r="C842">
        <v>2</v>
      </c>
    </row>
    <row r="843" spans="1:3" x14ac:dyDescent="0.35">
      <c r="A843" s="383" t="s">
        <v>3197</v>
      </c>
      <c r="B843" s="383">
        <f>NeoBerInfB!$J$20</f>
        <v>0</v>
      </c>
      <c r="C843">
        <v>0</v>
      </c>
    </row>
    <row r="844" spans="1:3" x14ac:dyDescent="0.35">
      <c r="A844" s="383" t="s">
        <v>3202</v>
      </c>
      <c r="B844" s="383">
        <f>NeoBerInfB!$J$21</f>
        <v>0</v>
      </c>
      <c r="C844">
        <v>0</v>
      </c>
    </row>
    <row r="845" spans="1:3" x14ac:dyDescent="0.35">
      <c r="A845" s="383" t="s">
        <v>3203</v>
      </c>
      <c r="B845" s="383">
        <f>NeoBerInfB!$J$22</f>
        <v>0</v>
      </c>
      <c r="C845">
        <v>0</v>
      </c>
    </row>
    <row r="846" spans="1:3" x14ac:dyDescent="0.35">
      <c r="A846" s="383" t="s">
        <v>3204</v>
      </c>
      <c r="B846" s="383">
        <f>NeoBerInfB!$J$23</f>
        <v>0</v>
      </c>
      <c r="C846">
        <v>0</v>
      </c>
    </row>
    <row r="847" spans="1:3" x14ac:dyDescent="0.35">
      <c r="A847" s="383" t="s">
        <v>3205</v>
      </c>
      <c r="B847" s="383">
        <f>NeoBerInfB!$J$24</f>
        <v>0</v>
      </c>
      <c r="C847">
        <v>0</v>
      </c>
    </row>
    <row r="848" spans="1:3" x14ac:dyDescent="0.35">
      <c r="A848" s="383" t="s">
        <v>3206</v>
      </c>
      <c r="B848" s="383">
        <f>NeoBerInfB!$J$25</f>
        <v>0</v>
      </c>
      <c r="C848">
        <v>0</v>
      </c>
    </row>
    <row r="849" spans="1:3" x14ac:dyDescent="0.35">
      <c r="A849" s="383" t="s">
        <v>3207</v>
      </c>
      <c r="B849">
        <f>NeoBerInfB!$J$26</f>
        <v>0</v>
      </c>
      <c r="C849">
        <v>0</v>
      </c>
    </row>
    <row r="850" spans="1:3" x14ac:dyDescent="0.35">
      <c r="A850" s="383" t="s">
        <v>3208</v>
      </c>
      <c r="B850">
        <f>NeoBerInfB!$J$27</f>
        <v>0</v>
      </c>
      <c r="C850">
        <v>0</v>
      </c>
    </row>
    <row r="851" spans="1:3" x14ac:dyDescent="0.35">
      <c r="A851" s="383" t="s">
        <v>3209</v>
      </c>
      <c r="B851">
        <f>NeoBerInfB!$J$28</f>
        <v>0</v>
      </c>
      <c r="C851">
        <v>0</v>
      </c>
    </row>
    <row r="852" spans="1:3" x14ac:dyDescent="0.35">
      <c r="A852" s="383" t="s">
        <v>3198</v>
      </c>
      <c r="B852" t="b">
        <f>NeoBerInfB!$J$18</f>
        <v>0</v>
      </c>
      <c r="C852" t="b">
        <v>0</v>
      </c>
    </row>
    <row r="853" spans="1:3" x14ac:dyDescent="0.35">
      <c r="A853" s="383" t="s">
        <v>3199</v>
      </c>
      <c r="B853" t="b">
        <f>NeoBerInfB!$J$29</f>
        <v>0</v>
      </c>
      <c r="C853" t="b">
        <v>0</v>
      </c>
    </row>
    <row r="854" spans="1:3" x14ac:dyDescent="0.35">
      <c r="A854" s="383" t="s">
        <v>3200</v>
      </c>
      <c r="B854" t="b">
        <f>NeoBerInfB!$J$30</f>
        <v>0</v>
      </c>
      <c r="C854" t="b">
        <v>0</v>
      </c>
    </row>
    <row r="855" spans="1:3" x14ac:dyDescent="0.35">
      <c r="A855" s="383" t="s">
        <v>3201</v>
      </c>
      <c r="B855" t="b">
        <f>NeoBerInfB!$J$31</f>
        <v>0</v>
      </c>
      <c r="C855" t="b">
        <v>0</v>
      </c>
    </row>
    <row r="856" spans="1:3" x14ac:dyDescent="0.35">
      <c r="A856" s="383" t="s">
        <v>3419</v>
      </c>
      <c r="B856">
        <f>NeoBerInfB!$D$14</f>
        <v>7</v>
      </c>
      <c r="C856">
        <v>7</v>
      </c>
    </row>
    <row r="857" spans="1:3" x14ac:dyDescent="0.35">
      <c r="A857" s="383" t="s">
        <v>3421</v>
      </c>
      <c r="B857">
        <f>NeoBerLab!$M$4</f>
        <v>0</v>
      </c>
    </row>
    <row r="858" spans="1:3" x14ac:dyDescent="0.35">
      <c r="A858" s="383" t="s">
        <v>3422</v>
      </c>
      <c r="B858">
        <f>NeoBerLab!$M$5</f>
        <v>0</v>
      </c>
    </row>
    <row r="859" spans="1:3" x14ac:dyDescent="0.35">
      <c r="A859" s="383" t="s">
        <v>3423</v>
      </c>
      <c r="B859">
        <f>NeoBerLab!$M$6</f>
        <v>0</v>
      </c>
    </row>
    <row r="860" spans="1:3" x14ac:dyDescent="0.35">
      <c r="A860" s="383" t="s">
        <v>3424</v>
      </c>
      <c r="B860">
        <f>NeoBerLab!$M$7</f>
        <v>0</v>
      </c>
    </row>
    <row r="861" spans="1:3" x14ac:dyDescent="0.35">
      <c r="A861" s="383" t="s">
        <v>3425</v>
      </c>
      <c r="B861">
        <f>NeoBerLab!$M$8</f>
        <v>0</v>
      </c>
    </row>
    <row r="862" spans="1:3" x14ac:dyDescent="0.35">
      <c r="A862" s="383" t="s">
        <v>3426</v>
      </c>
      <c r="B862">
        <f>NeoBerLab!$M$9</f>
        <v>0</v>
      </c>
    </row>
    <row r="863" spans="1:3" x14ac:dyDescent="0.35">
      <c r="A863" s="383" t="s">
        <v>3427</v>
      </c>
      <c r="B863">
        <f>NeoBerLab!$M$10</f>
        <v>0</v>
      </c>
    </row>
    <row r="864" spans="1:3" s="383" customFormat="1" x14ac:dyDescent="0.35">
      <c r="A864" s="383" t="s">
        <v>3428</v>
      </c>
      <c r="B864">
        <f>NeoBerLab!$M$11</f>
        <v>0</v>
      </c>
    </row>
    <row r="865" spans="1:2" x14ac:dyDescent="0.35">
      <c r="A865" s="383" t="s">
        <v>3429</v>
      </c>
      <c r="B865">
        <f>NeoBerLab!$M$12</f>
        <v>0</v>
      </c>
    </row>
    <row r="866" spans="1:2" x14ac:dyDescent="0.35">
      <c r="A866" s="383" t="s">
        <v>3430</v>
      </c>
      <c r="B866">
        <f>NeoBerLab!$M$13</f>
        <v>0</v>
      </c>
    </row>
    <row r="867" spans="1:2" x14ac:dyDescent="0.35">
      <c r="A867" s="383" t="s">
        <v>3431</v>
      </c>
      <c r="B867">
        <f>NeoBerLab!$M$14</f>
        <v>0</v>
      </c>
    </row>
    <row r="868" spans="1:2" x14ac:dyDescent="0.35">
      <c r="A868" s="383" t="s">
        <v>3432</v>
      </c>
      <c r="B868">
        <f>NeoBerLab!$M$15</f>
        <v>0</v>
      </c>
    </row>
    <row r="869" spans="1:2" x14ac:dyDescent="0.35">
      <c r="A869" s="383" t="s">
        <v>3433</v>
      </c>
      <c r="B869">
        <f>NeoBerLab!$M$16</f>
        <v>0</v>
      </c>
    </row>
    <row r="870" spans="1:2" x14ac:dyDescent="0.35">
      <c r="A870" s="383" t="s">
        <v>3434</v>
      </c>
      <c r="B870">
        <f>NeoBerLab!$M$17</f>
        <v>0</v>
      </c>
    </row>
    <row r="871" spans="1:2" x14ac:dyDescent="0.35">
      <c r="A871" s="383" t="s">
        <v>3435</v>
      </c>
      <c r="B871">
        <f>NeoBerLab!$M$18</f>
        <v>0</v>
      </c>
    </row>
    <row r="872" spans="1:2" x14ac:dyDescent="0.35">
      <c r="A872" s="383" t="s">
        <v>3436</v>
      </c>
      <c r="B872">
        <f>NeoBerLab!$M$19</f>
        <v>0</v>
      </c>
    </row>
    <row r="873" spans="1:2" x14ac:dyDescent="0.35">
      <c r="A873" s="383" t="s">
        <v>3437</v>
      </c>
      <c r="B873">
        <f>NeoBerLab!$M$20</f>
        <v>0</v>
      </c>
    </row>
    <row r="874" spans="1:2" x14ac:dyDescent="0.35">
      <c r="A874" s="383" t="s">
        <v>3438</v>
      </c>
      <c r="B874">
        <f>NeoBerLab!$M$21</f>
        <v>0</v>
      </c>
    </row>
    <row r="875" spans="1:2" x14ac:dyDescent="0.35">
      <c r="A875" s="383" t="s">
        <v>3439</v>
      </c>
      <c r="B875">
        <f>NeoBerLab!$M$22</f>
        <v>0</v>
      </c>
    </row>
    <row r="876" spans="1:2" s="383" customFormat="1" x14ac:dyDescent="0.35">
      <c r="A876" s="383" t="s">
        <v>3440</v>
      </c>
      <c r="B876">
        <f>NeoBerLab!$M$23</f>
        <v>0</v>
      </c>
    </row>
    <row r="877" spans="1:2" x14ac:dyDescent="0.35">
      <c r="A877" s="383" t="s">
        <v>3441</v>
      </c>
      <c r="B877">
        <f>NeoBerLab!$M$24</f>
        <v>0</v>
      </c>
    </row>
    <row r="878" spans="1:2" x14ac:dyDescent="0.35">
      <c r="A878" s="383" t="s">
        <v>3442</v>
      </c>
      <c r="B878">
        <f>NeoBerLab!$M$25</f>
        <v>0</v>
      </c>
    </row>
    <row r="879" spans="1:2" x14ac:dyDescent="0.35">
      <c r="A879" s="383" t="s">
        <v>3443</v>
      </c>
      <c r="B879">
        <f>NeoBerLab!$M$26</f>
        <v>0</v>
      </c>
    </row>
    <row r="880" spans="1:2" x14ac:dyDescent="0.35">
      <c r="A880" s="383" t="s">
        <v>3444</v>
      </c>
      <c r="B880">
        <f>NeoBerLab!$M$27</f>
        <v>0</v>
      </c>
    </row>
    <row r="881" spans="1:2" x14ac:dyDescent="0.35">
      <c r="A881" s="383" t="s">
        <v>3445</v>
      </c>
      <c r="B881">
        <f>NeoBerLab!$M$28</f>
        <v>0</v>
      </c>
    </row>
    <row r="882" spans="1:2" x14ac:dyDescent="0.35">
      <c r="A882" s="383" t="s">
        <v>3446</v>
      </c>
      <c r="B882">
        <f>NeoBerLab!$M$29</f>
        <v>0</v>
      </c>
    </row>
    <row r="883" spans="1:2" x14ac:dyDescent="0.35">
      <c r="A883" s="383" t="s">
        <v>3447</v>
      </c>
      <c r="B883">
        <f>NeoBerLab!$M$30</f>
        <v>0</v>
      </c>
    </row>
    <row r="884" spans="1:2" x14ac:dyDescent="0.35">
      <c r="A884" s="383" t="s">
        <v>3448</v>
      </c>
      <c r="B884">
        <f>NeoBerLab!$M$31</f>
        <v>0</v>
      </c>
    </row>
    <row r="885" spans="1:2" x14ac:dyDescent="0.35">
      <c r="A885" s="383" t="s">
        <v>3449</v>
      </c>
      <c r="B885">
        <f>NeoBerLab!$M$32</f>
        <v>0</v>
      </c>
    </row>
    <row r="886" spans="1:2" x14ac:dyDescent="0.35">
      <c r="A886" s="383" t="s">
        <v>3450</v>
      </c>
      <c r="B886">
        <f>NeoBerLab!$M$33</f>
        <v>0</v>
      </c>
    </row>
    <row r="887" spans="1:2" x14ac:dyDescent="0.35">
      <c r="A887" s="383" t="s">
        <v>3451</v>
      </c>
      <c r="B887">
        <f>NeoBerLab!$M$34</f>
        <v>0</v>
      </c>
    </row>
    <row r="888" spans="1:2" x14ac:dyDescent="0.35">
      <c r="A888" s="383" t="s">
        <v>3452</v>
      </c>
      <c r="B888">
        <f>NeoBerLab!$E$4</f>
        <v>0</v>
      </c>
    </row>
    <row r="889" spans="1:2" x14ac:dyDescent="0.35">
      <c r="A889" s="383" t="s">
        <v>3453</v>
      </c>
      <c r="B889">
        <f>NeoBerLab!$E$5</f>
        <v>0</v>
      </c>
    </row>
    <row r="890" spans="1:2" x14ac:dyDescent="0.35">
      <c r="A890" s="383" t="s">
        <v>3454</v>
      </c>
      <c r="B890">
        <f>NeoBerLab!$E$6</f>
        <v>0</v>
      </c>
    </row>
    <row r="891" spans="1:2" x14ac:dyDescent="0.35">
      <c r="A891" s="383" t="s">
        <v>3455</v>
      </c>
      <c r="B891">
        <f>NeoBerLab!$E$7</f>
        <v>0</v>
      </c>
    </row>
    <row r="892" spans="1:2" x14ac:dyDescent="0.35">
      <c r="A892" s="383" t="s">
        <v>3456</v>
      </c>
      <c r="B892">
        <f>NeoBerLab!$E$8</f>
        <v>0</v>
      </c>
    </row>
    <row r="893" spans="1:2" x14ac:dyDescent="0.35">
      <c r="A893" s="383" t="s">
        <v>3457</v>
      </c>
      <c r="B893">
        <f>NeoBerLab!$E$9</f>
        <v>0</v>
      </c>
    </row>
    <row r="894" spans="1:2" x14ac:dyDescent="0.35">
      <c r="A894" s="383" t="s">
        <v>3458</v>
      </c>
      <c r="B894">
        <f>NeoBerLab!$E$10</f>
        <v>0</v>
      </c>
    </row>
    <row r="895" spans="1:2" x14ac:dyDescent="0.35">
      <c r="A895" s="383" t="s">
        <v>3459</v>
      </c>
      <c r="B895">
        <f>NeoBerLab!$E$11</f>
        <v>0</v>
      </c>
    </row>
    <row r="896" spans="1:2" x14ac:dyDescent="0.35">
      <c r="A896" s="383" t="s">
        <v>3460</v>
      </c>
      <c r="B896">
        <f>NeoBerLab!$E$12</f>
        <v>0</v>
      </c>
    </row>
    <row r="897" spans="1:2" x14ac:dyDescent="0.35">
      <c r="A897" s="383" t="s">
        <v>3461</v>
      </c>
      <c r="B897">
        <f>NeoBerLab!$E$13</f>
        <v>0</v>
      </c>
    </row>
    <row r="898" spans="1:2" x14ac:dyDescent="0.35">
      <c r="A898" s="383" t="s">
        <v>3462</v>
      </c>
      <c r="B898">
        <f>NeoBerLab!$E$14</f>
        <v>0</v>
      </c>
    </row>
    <row r="899" spans="1:2" x14ac:dyDescent="0.35">
      <c r="A899" s="383" t="s">
        <v>3463</v>
      </c>
      <c r="B899">
        <f>NeoBerLab!$E$15</f>
        <v>0</v>
      </c>
    </row>
    <row r="900" spans="1:2" x14ac:dyDescent="0.35">
      <c r="A900" s="383" t="s">
        <v>3464</v>
      </c>
      <c r="B900">
        <f>NeoBerLab!$E$16</f>
        <v>0</v>
      </c>
    </row>
    <row r="901" spans="1:2" x14ac:dyDescent="0.35">
      <c r="A901" s="383" t="s">
        <v>3465</v>
      </c>
      <c r="B901">
        <f>NeoBerLab!$E$17</f>
        <v>0</v>
      </c>
    </row>
    <row r="902" spans="1:2" x14ac:dyDescent="0.35">
      <c r="A902" s="383" t="s">
        <v>3466</v>
      </c>
      <c r="B902">
        <f>NeoBerLab!$E$18</f>
        <v>0</v>
      </c>
    </row>
    <row r="903" spans="1:2" x14ac:dyDescent="0.35">
      <c r="A903" s="383" t="s">
        <v>3467</v>
      </c>
      <c r="B903">
        <f>NeoBerLab!$E$19</f>
        <v>0</v>
      </c>
    </row>
    <row r="904" spans="1:2" x14ac:dyDescent="0.35">
      <c r="A904" s="383" t="s">
        <v>3468</v>
      </c>
      <c r="B904">
        <f>NeoBerLab!$E$20</f>
        <v>0</v>
      </c>
    </row>
    <row r="905" spans="1:2" x14ac:dyDescent="0.35">
      <c r="A905" s="383" t="s">
        <v>3469</v>
      </c>
      <c r="B905">
        <f>NeoBerLab!$E$21</f>
        <v>0</v>
      </c>
    </row>
    <row r="906" spans="1:2" x14ac:dyDescent="0.35">
      <c r="A906" s="383" t="s">
        <v>3470</v>
      </c>
      <c r="B906">
        <f>NeoBerLab!$E$22</f>
        <v>0</v>
      </c>
    </row>
    <row r="907" spans="1:2" x14ac:dyDescent="0.35">
      <c r="A907" s="383" t="s">
        <v>3471</v>
      </c>
      <c r="B907">
        <f>NeoBerLab!$E$23</f>
        <v>0</v>
      </c>
    </row>
    <row r="908" spans="1:2" x14ac:dyDescent="0.35">
      <c r="A908" s="383" t="s">
        <v>3472</v>
      </c>
      <c r="B908">
        <f>NeoBerLab!$E$24</f>
        <v>0</v>
      </c>
    </row>
    <row r="909" spans="1:2" x14ac:dyDescent="0.35">
      <c r="A909" s="383" t="s">
        <v>3473</v>
      </c>
      <c r="B909">
        <f>NeoBerLab!$E$25</f>
        <v>0</v>
      </c>
    </row>
    <row r="910" spans="1:2" x14ac:dyDescent="0.35">
      <c r="A910" s="383" t="s">
        <v>3474</v>
      </c>
      <c r="B910">
        <f>NeoBerLab!$E$26</f>
        <v>0</v>
      </c>
    </row>
    <row r="911" spans="1:2" x14ac:dyDescent="0.35">
      <c r="A911" s="383" t="s">
        <v>3475</v>
      </c>
      <c r="B911">
        <f>NeoBerLab!$E$27</f>
        <v>0</v>
      </c>
    </row>
    <row r="912" spans="1:2" x14ac:dyDescent="0.35">
      <c r="A912" s="383" t="s">
        <v>3476</v>
      </c>
      <c r="B912">
        <f>NeoBerLab!$E$28</f>
        <v>0</v>
      </c>
    </row>
    <row r="913" spans="1:2" x14ac:dyDescent="0.35">
      <c r="A913" s="383" t="s">
        <v>3477</v>
      </c>
      <c r="B913">
        <f>NeoBerLab!$E$29</f>
        <v>0</v>
      </c>
    </row>
    <row r="914" spans="1:2" x14ac:dyDescent="0.35">
      <c r="A914" s="383" t="s">
        <v>3478</v>
      </c>
      <c r="B914">
        <f>NeoBerLab!$E$30</f>
        <v>0</v>
      </c>
    </row>
    <row r="915" spans="1:2" x14ac:dyDescent="0.35">
      <c r="A915" s="383" t="s">
        <v>3479</v>
      </c>
      <c r="B915">
        <f>NeoBerLab!$E$31</f>
        <v>0</v>
      </c>
    </row>
    <row r="916" spans="1:2" x14ac:dyDescent="0.35">
      <c r="A916" s="383" t="s">
        <v>3480</v>
      </c>
      <c r="B916">
        <f>NeoBerLab!$E$32</f>
        <v>0</v>
      </c>
    </row>
    <row r="917" spans="1:2" x14ac:dyDescent="0.35">
      <c r="A917" s="383" t="s">
        <v>3481</v>
      </c>
      <c r="B917">
        <f>NeoBerLab!$E$33</f>
        <v>0</v>
      </c>
    </row>
    <row r="918" spans="1:2" x14ac:dyDescent="0.35">
      <c r="A918" s="383" t="s">
        <v>3482</v>
      </c>
      <c r="B918">
        <f>NeoBerLab!$E$34</f>
        <v>0</v>
      </c>
    </row>
    <row r="919" spans="1:2" x14ac:dyDescent="0.35">
      <c r="A919" s="383" t="s">
        <v>3483</v>
      </c>
      <c r="B919">
        <f>NeoBerLab!$G$4</f>
        <v>0</v>
      </c>
    </row>
    <row r="920" spans="1:2" x14ac:dyDescent="0.35">
      <c r="A920" s="383" t="s">
        <v>3484</v>
      </c>
      <c r="B920">
        <f>NeoBerLab!$G$5</f>
        <v>0</v>
      </c>
    </row>
    <row r="921" spans="1:2" x14ac:dyDescent="0.35">
      <c r="A921" s="383" t="s">
        <v>3485</v>
      </c>
      <c r="B921">
        <f>NeoBerLab!$G$6</f>
        <v>0</v>
      </c>
    </row>
    <row r="922" spans="1:2" x14ac:dyDescent="0.35">
      <c r="A922" s="383" t="s">
        <v>3486</v>
      </c>
      <c r="B922">
        <f>NeoBerLab!$G$7</f>
        <v>0</v>
      </c>
    </row>
    <row r="923" spans="1:2" x14ac:dyDescent="0.35">
      <c r="A923" s="383" t="s">
        <v>3487</v>
      </c>
      <c r="B923">
        <f>NeoBerLab!$G$8</f>
        <v>0</v>
      </c>
    </row>
    <row r="924" spans="1:2" x14ac:dyDescent="0.35">
      <c r="A924" s="383" t="s">
        <v>3488</v>
      </c>
      <c r="B924">
        <f>NeoBerLab!$G$9</f>
        <v>0</v>
      </c>
    </row>
    <row r="925" spans="1:2" s="383" customFormat="1" x14ac:dyDescent="0.35">
      <c r="A925" s="383" t="s">
        <v>3489</v>
      </c>
      <c r="B925">
        <f>NeoBerLab!$G$10</f>
        <v>0</v>
      </c>
    </row>
    <row r="926" spans="1:2" x14ac:dyDescent="0.35">
      <c r="A926" s="383" t="s">
        <v>3490</v>
      </c>
      <c r="B926">
        <f>NeoBerLab!$G$11</f>
        <v>0</v>
      </c>
    </row>
    <row r="927" spans="1:2" x14ac:dyDescent="0.35">
      <c r="A927" s="383" t="s">
        <v>3491</v>
      </c>
      <c r="B927">
        <f>NeoBerLab!$G$12</f>
        <v>0</v>
      </c>
    </row>
    <row r="928" spans="1:2" x14ac:dyDescent="0.35">
      <c r="A928" s="383" t="s">
        <v>3492</v>
      </c>
      <c r="B928">
        <f>NeoBerLab!$G$13</f>
        <v>0</v>
      </c>
    </row>
    <row r="929" spans="1:2" x14ac:dyDescent="0.35">
      <c r="A929" s="383" t="s">
        <v>3493</v>
      </c>
      <c r="B929">
        <f>NeoBerLab!$G$14</f>
        <v>0</v>
      </c>
    </row>
    <row r="930" spans="1:2" x14ac:dyDescent="0.35">
      <c r="A930" s="383" t="s">
        <v>3494</v>
      </c>
      <c r="B930">
        <f>NeoBerLab!$G$15</f>
        <v>0</v>
      </c>
    </row>
    <row r="931" spans="1:2" x14ac:dyDescent="0.35">
      <c r="A931" s="383" t="s">
        <v>3495</v>
      </c>
      <c r="B931" s="383">
        <f>NeoBerLab!$G$16</f>
        <v>0</v>
      </c>
    </row>
    <row r="932" spans="1:2" x14ac:dyDescent="0.35">
      <c r="A932" s="383" t="s">
        <v>3496</v>
      </c>
      <c r="B932">
        <f>NeoBerLab!$G$17</f>
        <v>0</v>
      </c>
    </row>
    <row r="933" spans="1:2" x14ac:dyDescent="0.35">
      <c r="A933" s="383" t="s">
        <v>3497</v>
      </c>
      <c r="B933">
        <f>NeoBerLab!$G$18</f>
        <v>0</v>
      </c>
    </row>
    <row r="934" spans="1:2" x14ac:dyDescent="0.35">
      <c r="A934" s="383" t="s">
        <v>3498</v>
      </c>
      <c r="B934" s="383">
        <f>NeoBerLab!$G$19</f>
        <v>0</v>
      </c>
    </row>
    <row r="935" spans="1:2" x14ac:dyDescent="0.35">
      <c r="A935" s="383" t="s">
        <v>3499</v>
      </c>
      <c r="B935" s="383">
        <f>NeoBerLab!$G$20</f>
        <v>0</v>
      </c>
    </row>
    <row r="936" spans="1:2" x14ac:dyDescent="0.35">
      <c r="A936" s="383" t="s">
        <v>3500</v>
      </c>
      <c r="B936">
        <f>NeoBerLab!$G$21</f>
        <v>0</v>
      </c>
    </row>
    <row r="937" spans="1:2" x14ac:dyDescent="0.35">
      <c r="A937" s="383" t="s">
        <v>3501</v>
      </c>
      <c r="B937">
        <f>NeoBerLab!$G$22</f>
        <v>0</v>
      </c>
    </row>
    <row r="938" spans="1:2" x14ac:dyDescent="0.35">
      <c r="A938" s="383" t="s">
        <v>3502</v>
      </c>
      <c r="B938">
        <f>NeoBerLab!$G$23</f>
        <v>0</v>
      </c>
    </row>
    <row r="939" spans="1:2" x14ac:dyDescent="0.35">
      <c r="A939" s="383" t="s">
        <v>3503</v>
      </c>
      <c r="B939">
        <f>NeoBerLab!$G$24</f>
        <v>0</v>
      </c>
    </row>
    <row r="940" spans="1:2" x14ac:dyDescent="0.35">
      <c r="A940" s="383" t="s">
        <v>3504</v>
      </c>
      <c r="B940" s="383">
        <f>NeoBerLab!$G$25</f>
        <v>0</v>
      </c>
    </row>
    <row r="941" spans="1:2" x14ac:dyDescent="0.35">
      <c r="A941" s="383" t="s">
        <v>3505</v>
      </c>
      <c r="B941" s="383">
        <f>NeoBerLab!$G$26</f>
        <v>0</v>
      </c>
    </row>
    <row r="942" spans="1:2" x14ac:dyDescent="0.35">
      <c r="A942" s="383" t="s">
        <v>3506</v>
      </c>
      <c r="B942">
        <f>NeoBerLab!$G$27</f>
        <v>0</v>
      </c>
    </row>
    <row r="943" spans="1:2" x14ac:dyDescent="0.35">
      <c r="A943" s="383" t="s">
        <v>3507</v>
      </c>
      <c r="B943">
        <f>NeoBerLab!$G$28</f>
        <v>0</v>
      </c>
    </row>
    <row r="944" spans="1:2" x14ac:dyDescent="0.35">
      <c r="A944" s="383" t="s">
        <v>3508</v>
      </c>
      <c r="B944">
        <f>NeoBerLab!$G$29</f>
        <v>0</v>
      </c>
    </row>
    <row r="945" spans="1:2" x14ac:dyDescent="0.35">
      <c r="A945" s="383" t="s">
        <v>3509</v>
      </c>
      <c r="B945">
        <f>NeoBerLab!$G$30</f>
        <v>0</v>
      </c>
    </row>
    <row r="946" spans="1:2" x14ac:dyDescent="0.35">
      <c r="A946" s="383" t="s">
        <v>3510</v>
      </c>
      <c r="B946">
        <f>NeoBerLab!$G$31</f>
        <v>0</v>
      </c>
    </row>
    <row r="947" spans="1:2" x14ac:dyDescent="0.35">
      <c r="A947" s="383" t="s">
        <v>3511</v>
      </c>
      <c r="B947">
        <f>NeoBerLab!$G$32</f>
        <v>0</v>
      </c>
    </row>
    <row r="948" spans="1:2" x14ac:dyDescent="0.35">
      <c r="A948" s="383" t="s">
        <v>3512</v>
      </c>
      <c r="B948">
        <f>NeoBerLab!$G$33</f>
        <v>0</v>
      </c>
    </row>
    <row r="949" spans="1:2" x14ac:dyDescent="0.35">
      <c r="A949" s="383" t="s">
        <v>3513</v>
      </c>
      <c r="B949">
        <f>NeoBerLab!$G$34</f>
        <v>0</v>
      </c>
    </row>
    <row r="950" spans="1:2" x14ac:dyDescent="0.35">
      <c r="A950" s="383" t="s">
        <v>3514</v>
      </c>
      <c r="B950">
        <f>NeoBerLab!$I$4</f>
        <v>0</v>
      </c>
    </row>
    <row r="951" spans="1:2" x14ac:dyDescent="0.35">
      <c r="A951" s="383" t="s">
        <v>3515</v>
      </c>
      <c r="B951">
        <f>NeoBerLab!$I$5</f>
        <v>0</v>
      </c>
    </row>
    <row r="952" spans="1:2" x14ac:dyDescent="0.35">
      <c r="A952" s="383" t="s">
        <v>3516</v>
      </c>
      <c r="B952">
        <f>NeoBerLab!$I$6</f>
        <v>0</v>
      </c>
    </row>
    <row r="953" spans="1:2" x14ac:dyDescent="0.35">
      <c r="A953" s="383" t="s">
        <v>3517</v>
      </c>
      <c r="B953">
        <f>NeoBerLab!$I$7</f>
        <v>0</v>
      </c>
    </row>
    <row r="954" spans="1:2" x14ac:dyDescent="0.35">
      <c r="A954" s="383" t="s">
        <v>3518</v>
      </c>
      <c r="B954">
        <f>NeoBerLab!$I$8</f>
        <v>0</v>
      </c>
    </row>
    <row r="955" spans="1:2" x14ac:dyDescent="0.35">
      <c r="A955" s="383" t="s">
        <v>3519</v>
      </c>
      <c r="B955">
        <f>NeoBerLab!$I$9</f>
        <v>0</v>
      </c>
    </row>
    <row r="956" spans="1:2" x14ac:dyDescent="0.35">
      <c r="A956" s="383" t="s">
        <v>3520</v>
      </c>
      <c r="B956">
        <f>NeoBerLab!$I$10</f>
        <v>0</v>
      </c>
    </row>
    <row r="957" spans="1:2" x14ac:dyDescent="0.35">
      <c r="A957" s="383" t="s">
        <v>3521</v>
      </c>
      <c r="B957">
        <f>NeoBerLab!$I$11</f>
        <v>0</v>
      </c>
    </row>
    <row r="958" spans="1:2" x14ac:dyDescent="0.35">
      <c r="A958" s="383" t="s">
        <v>3522</v>
      </c>
      <c r="B958">
        <f>NeoBerLab!$I$12</f>
        <v>0</v>
      </c>
    </row>
    <row r="959" spans="1:2" x14ac:dyDescent="0.35">
      <c r="A959" s="383" t="s">
        <v>3523</v>
      </c>
      <c r="B959">
        <f>NeoBerLab!$I$13</f>
        <v>0</v>
      </c>
    </row>
    <row r="960" spans="1:2" x14ac:dyDescent="0.35">
      <c r="A960" s="383" t="s">
        <v>3524</v>
      </c>
      <c r="B960">
        <f>NeoBerLab!$I$14</f>
        <v>0</v>
      </c>
    </row>
    <row r="961" spans="1:2" x14ac:dyDescent="0.35">
      <c r="A961" s="383" t="s">
        <v>3525</v>
      </c>
      <c r="B961">
        <f>NeoBerLab!$I$15</f>
        <v>0</v>
      </c>
    </row>
    <row r="962" spans="1:2" x14ac:dyDescent="0.35">
      <c r="A962" s="383" t="s">
        <v>3526</v>
      </c>
      <c r="B962">
        <f>NeoBerLab!$I$16</f>
        <v>0</v>
      </c>
    </row>
    <row r="963" spans="1:2" x14ac:dyDescent="0.35">
      <c r="A963" s="383" t="s">
        <v>3527</v>
      </c>
      <c r="B963">
        <f>NeoBerLab!$I$17</f>
        <v>0</v>
      </c>
    </row>
    <row r="964" spans="1:2" x14ac:dyDescent="0.35">
      <c r="A964" s="383" t="s">
        <v>3528</v>
      </c>
      <c r="B964">
        <f>NeoBerLab!$I$18</f>
        <v>0</v>
      </c>
    </row>
    <row r="965" spans="1:2" x14ac:dyDescent="0.35">
      <c r="A965" s="383" t="s">
        <v>3529</v>
      </c>
      <c r="B965">
        <f>NeoBerLab!$I$19</f>
        <v>0</v>
      </c>
    </row>
    <row r="966" spans="1:2" x14ac:dyDescent="0.35">
      <c r="A966" s="383" t="s">
        <v>3530</v>
      </c>
      <c r="B966">
        <f>NeoBerLab!$I$20</f>
        <v>0</v>
      </c>
    </row>
    <row r="967" spans="1:2" x14ac:dyDescent="0.35">
      <c r="A967" s="383" t="s">
        <v>3531</v>
      </c>
      <c r="B967">
        <f>NeoBerLab!$I$21</f>
        <v>0</v>
      </c>
    </row>
    <row r="968" spans="1:2" x14ac:dyDescent="0.35">
      <c r="A968" s="383" t="s">
        <v>3532</v>
      </c>
      <c r="B968">
        <f>NeoBerLab!$I$22</f>
        <v>0</v>
      </c>
    </row>
    <row r="969" spans="1:2" x14ac:dyDescent="0.35">
      <c r="A969" s="383" t="s">
        <v>3533</v>
      </c>
      <c r="B969">
        <f>NeoBerLab!$I$23</f>
        <v>0</v>
      </c>
    </row>
    <row r="970" spans="1:2" x14ac:dyDescent="0.35">
      <c r="A970" s="383" t="s">
        <v>3534</v>
      </c>
      <c r="B970">
        <f>NeoBerLab!$I$24</f>
        <v>0</v>
      </c>
    </row>
    <row r="971" spans="1:2" x14ac:dyDescent="0.35">
      <c r="A971" s="383" t="s">
        <v>3535</v>
      </c>
      <c r="B971">
        <f>NeoBerLab!$I$25</f>
        <v>0</v>
      </c>
    </row>
    <row r="972" spans="1:2" x14ac:dyDescent="0.35">
      <c r="A972" s="383" t="s">
        <v>3536</v>
      </c>
      <c r="B972">
        <f>NeoBerLab!$I$26</f>
        <v>0</v>
      </c>
    </row>
    <row r="973" spans="1:2" x14ac:dyDescent="0.35">
      <c r="A973" s="383" t="s">
        <v>3537</v>
      </c>
      <c r="B973">
        <f>NeoBerLab!$I$27</f>
        <v>0</v>
      </c>
    </row>
    <row r="974" spans="1:2" x14ac:dyDescent="0.35">
      <c r="A974" s="383" t="s">
        <v>3538</v>
      </c>
      <c r="B974">
        <f>NeoBerLab!$I$28</f>
        <v>0</v>
      </c>
    </row>
    <row r="975" spans="1:2" x14ac:dyDescent="0.35">
      <c r="A975" s="383" t="s">
        <v>3539</v>
      </c>
      <c r="B975">
        <f>NeoBerLab!$I$29</f>
        <v>0</v>
      </c>
    </row>
    <row r="976" spans="1:2" x14ac:dyDescent="0.35">
      <c r="A976" s="383" t="s">
        <v>3540</v>
      </c>
      <c r="B976">
        <f>NeoBerLab!$I$30</f>
        <v>0</v>
      </c>
    </row>
    <row r="977" spans="1:2" x14ac:dyDescent="0.35">
      <c r="A977" s="383" t="s">
        <v>3541</v>
      </c>
      <c r="B977">
        <f>NeoBerLab!$I$31</f>
        <v>0</v>
      </c>
    </row>
    <row r="978" spans="1:2" x14ac:dyDescent="0.35">
      <c r="A978" s="383" t="s">
        <v>3542</v>
      </c>
      <c r="B978">
        <f>NeoBerLab!$I$32</f>
        <v>0</v>
      </c>
    </row>
    <row r="979" spans="1:2" x14ac:dyDescent="0.35">
      <c r="A979" s="383" t="s">
        <v>3543</v>
      </c>
      <c r="B979">
        <f>NeoBerLab!$I$33</f>
        <v>0</v>
      </c>
    </row>
    <row r="980" spans="1:2" x14ac:dyDescent="0.35">
      <c r="A980" s="383" t="s">
        <v>3544</v>
      </c>
      <c r="B980">
        <f>NeoBerLab!$I$34</f>
        <v>0</v>
      </c>
    </row>
    <row r="981" spans="1:2" x14ac:dyDescent="0.35">
      <c r="A981" s="383" t="s">
        <v>3545</v>
      </c>
      <c r="B981">
        <f>NeoBerLab!$K$4</f>
        <v>0</v>
      </c>
    </row>
    <row r="982" spans="1:2" x14ac:dyDescent="0.35">
      <c r="A982" s="383" t="s">
        <v>3546</v>
      </c>
      <c r="B982">
        <f>NeoBerLab!$K$5</f>
        <v>0</v>
      </c>
    </row>
    <row r="983" spans="1:2" x14ac:dyDescent="0.35">
      <c r="A983" s="383" t="s">
        <v>3547</v>
      </c>
      <c r="B983">
        <f>NeoBerLab!$K$6</f>
        <v>0</v>
      </c>
    </row>
    <row r="984" spans="1:2" x14ac:dyDescent="0.35">
      <c r="A984" s="383" t="s">
        <v>3548</v>
      </c>
      <c r="B984">
        <f>NeoBerLab!$K$7</f>
        <v>0</v>
      </c>
    </row>
    <row r="985" spans="1:2" x14ac:dyDescent="0.35">
      <c r="A985" s="383" t="s">
        <v>3549</v>
      </c>
      <c r="B985">
        <f>NeoBerLab!$K$8</f>
        <v>0</v>
      </c>
    </row>
    <row r="986" spans="1:2" x14ac:dyDescent="0.35">
      <c r="A986" s="383" t="s">
        <v>3550</v>
      </c>
      <c r="B986">
        <f>NeoBerLab!$K$9</f>
        <v>0</v>
      </c>
    </row>
    <row r="987" spans="1:2" x14ac:dyDescent="0.35">
      <c r="A987" s="383" t="s">
        <v>3551</v>
      </c>
      <c r="B987">
        <f>NeoBerLab!$K$10</f>
        <v>0</v>
      </c>
    </row>
    <row r="988" spans="1:2" x14ac:dyDescent="0.35">
      <c r="A988" s="383" t="s">
        <v>3552</v>
      </c>
      <c r="B988">
        <f>NeoBerLab!$K$11</f>
        <v>0</v>
      </c>
    </row>
    <row r="989" spans="1:2" x14ac:dyDescent="0.35">
      <c r="A989" s="383" t="s">
        <v>3553</v>
      </c>
      <c r="B989">
        <f>NeoBerLab!$K$12</f>
        <v>0</v>
      </c>
    </row>
    <row r="990" spans="1:2" x14ac:dyDescent="0.35">
      <c r="A990" s="383" t="s">
        <v>3554</v>
      </c>
      <c r="B990">
        <f>NeoBerLab!$K$13</f>
        <v>0</v>
      </c>
    </row>
    <row r="991" spans="1:2" x14ac:dyDescent="0.35">
      <c r="A991" s="383" t="s">
        <v>3555</v>
      </c>
      <c r="B991">
        <f>NeoBerLab!$K$14</f>
        <v>0</v>
      </c>
    </row>
    <row r="992" spans="1:2" x14ac:dyDescent="0.35">
      <c r="A992" s="383" t="s">
        <v>3556</v>
      </c>
      <c r="B992">
        <f>NeoBerLab!$K$15</f>
        <v>0</v>
      </c>
    </row>
    <row r="993" spans="1:2" x14ac:dyDescent="0.35">
      <c r="A993" s="383" t="s">
        <v>3557</v>
      </c>
      <c r="B993">
        <f>NeoBerLab!$K$16</f>
        <v>0</v>
      </c>
    </row>
    <row r="994" spans="1:2" x14ac:dyDescent="0.35">
      <c r="A994" s="383" t="s">
        <v>3558</v>
      </c>
      <c r="B994" s="383">
        <f>NeoBerLab!$K$17</f>
        <v>0</v>
      </c>
    </row>
    <row r="995" spans="1:2" x14ac:dyDescent="0.35">
      <c r="A995" s="383" t="s">
        <v>3559</v>
      </c>
      <c r="B995">
        <f>NeoBerLab!$K$18</f>
        <v>0</v>
      </c>
    </row>
    <row r="996" spans="1:2" x14ac:dyDescent="0.35">
      <c r="A996" s="383" t="s">
        <v>3560</v>
      </c>
      <c r="B996">
        <f>NeoBerLab!$K$19</f>
        <v>0</v>
      </c>
    </row>
    <row r="997" spans="1:2" x14ac:dyDescent="0.35">
      <c r="A997" s="383" t="s">
        <v>3561</v>
      </c>
      <c r="B997">
        <f>NeoBerLab!$K$20</f>
        <v>0</v>
      </c>
    </row>
    <row r="998" spans="1:2" x14ac:dyDescent="0.35">
      <c r="A998" s="383" t="s">
        <v>3562</v>
      </c>
      <c r="B998">
        <f>NeoBerLab!$K$21</f>
        <v>0</v>
      </c>
    </row>
    <row r="999" spans="1:2" x14ac:dyDescent="0.35">
      <c r="A999" s="383" t="s">
        <v>3563</v>
      </c>
      <c r="B999">
        <f>NeoBerLab!$K$22</f>
        <v>0</v>
      </c>
    </row>
    <row r="1000" spans="1:2" x14ac:dyDescent="0.35">
      <c r="A1000" s="383" t="s">
        <v>3564</v>
      </c>
      <c r="B1000">
        <f>NeoBerLab!$K$23</f>
        <v>0</v>
      </c>
    </row>
    <row r="1001" spans="1:2" x14ac:dyDescent="0.35">
      <c r="A1001" s="383" t="s">
        <v>3565</v>
      </c>
      <c r="B1001">
        <f>NeoBerLab!$K$24</f>
        <v>0</v>
      </c>
    </row>
    <row r="1002" spans="1:2" x14ac:dyDescent="0.35">
      <c r="A1002" s="383" t="s">
        <v>3566</v>
      </c>
      <c r="B1002">
        <f>NeoBerLab!$K$25</f>
        <v>0</v>
      </c>
    </row>
    <row r="1003" spans="1:2" x14ac:dyDescent="0.35">
      <c r="A1003" s="383" t="s">
        <v>3567</v>
      </c>
      <c r="B1003">
        <f>NeoBerLab!$K$26</f>
        <v>0</v>
      </c>
    </row>
    <row r="1004" spans="1:2" x14ac:dyDescent="0.35">
      <c r="A1004" s="383" t="s">
        <v>3568</v>
      </c>
      <c r="B1004">
        <f>NeoBerLab!$K$27</f>
        <v>0</v>
      </c>
    </row>
    <row r="1005" spans="1:2" x14ac:dyDescent="0.35">
      <c r="A1005" s="383" t="s">
        <v>3569</v>
      </c>
      <c r="B1005">
        <f>NeoBerLab!$K$28</f>
        <v>0</v>
      </c>
    </row>
    <row r="1006" spans="1:2" x14ac:dyDescent="0.35">
      <c r="A1006" s="383" t="s">
        <v>3570</v>
      </c>
      <c r="B1006" s="383">
        <f>NeoBerLab!$K$29</f>
        <v>0</v>
      </c>
    </row>
    <row r="1007" spans="1:2" x14ac:dyDescent="0.35">
      <c r="A1007" s="383" t="s">
        <v>3571</v>
      </c>
      <c r="B1007">
        <f>NeoBerLab!$K$30</f>
        <v>0</v>
      </c>
    </row>
    <row r="1008" spans="1:2" x14ac:dyDescent="0.35">
      <c r="A1008" s="383" t="s">
        <v>3572</v>
      </c>
      <c r="B1008">
        <f>NeoBerLab!$K$31</f>
        <v>0</v>
      </c>
    </row>
    <row r="1009" spans="1:2" x14ac:dyDescent="0.35">
      <c r="A1009" s="383" t="s">
        <v>3573</v>
      </c>
      <c r="B1009">
        <f>NeoBerLab!$K$32</f>
        <v>0</v>
      </c>
    </row>
    <row r="1010" spans="1:2" x14ac:dyDescent="0.35">
      <c r="A1010" s="383" t="s">
        <v>3574</v>
      </c>
      <c r="B1010">
        <f>NeoBerLab!$K$33</f>
        <v>0</v>
      </c>
    </row>
    <row r="1011" spans="1:2" x14ac:dyDescent="0.35">
      <c r="A1011" s="383" t="s">
        <v>3575</v>
      </c>
      <c r="B1011">
        <f>NeoBerLab!$K$34</f>
        <v>0</v>
      </c>
    </row>
    <row r="1012" spans="1:2" x14ac:dyDescent="0.35">
      <c r="A1012" s="383" t="s">
        <v>3576</v>
      </c>
      <c r="B1012">
        <f>NeoBerLab!$O$4</f>
        <v>0</v>
      </c>
    </row>
    <row r="1013" spans="1:2" x14ac:dyDescent="0.35">
      <c r="A1013" s="383" t="s">
        <v>3577</v>
      </c>
      <c r="B1013">
        <f>NeoBerLab!$O$5</f>
        <v>0</v>
      </c>
    </row>
    <row r="1014" spans="1:2" x14ac:dyDescent="0.35">
      <c r="A1014" s="383" t="s">
        <v>3578</v>
      </c>
      <c r="B1014">
        <f>NeoBerLab!$O$6</f>
        <v>0</v>
      </c>
    </row>
    <row r="1015" spans="1:2" x14ac:dyDescent="0.35">
      <c r="A1015" s="383" t="s">
        <v>3579</v>
      </c>
      <c r="B1015">
        <f>NeoBerLab!$O$7</f>
        <v>0</v>
      </c>
    </row>
    <row r="1016" spans="1:2" x14ac:dyDescent="0.35">
      <c r="A1016" s="383" t="s">
        <v>3580</v>
      </c>
      <c r="B1016">
        <f>NeoBerLab!$O$8</f>
        <v>0</v>
      </c>
    </row>
    <row r="1017" spans="1:2" x14ac:dyDescent="0.35">
      <c r="A1017" s="383" t="s">
        <v>3581</v>
      </c>
      <c r="B1017">
        <f>NeoBerLab!$O$9</f>
        <v>0</v>
      </c>
    </row>
    <row r="1018" spans="1:2" x14ac:dyDescent="0.35">
      <c r="A1018" s="383" t="s">
        <v>3582</v>
      </c>
      <c r="B1018">
        <f>NeoBerLab!$O$10</f>
        <v>0</v>
      </c>
    </row>
    <row r="1019" spans="1:2" x14ac:dyDescent="0.35">
      <c r="A1019" s="383" t="s">
        <v>3583</v>
      </c>
      <c r="B1019">
        <f>NeoBerLab!$O$11</f>
        <v>0</v>
      </c>
    </row>
    <row r="1020" spans="1:2" x14ac:dyDescent="0.35">
      <c r="A1020" s="383" t="s">
        <v>3584</v>
      </c>
      <c r="B1020">
        <f>NeoBerLab!$O$12</f>
        <v>0</v>
      </c>
    </row>
    <row r="1021" spans="1:2" x14ac:dyDescent="0.35">
      <c r="A1021" s="383" t="s">
        <v>3585</v>
      </c>
      <c r="B1021">
        <f>NeoBerLab!$O$13</f>
        <v>0</v>
      </c>
    </row>
    <row r="1022" spans="1:2" x14ac:dyDescent="0.35">
      <c r="A1022" s="383" t="s">
        <v>3586</v>
      </c>
      <c r="B1022">
        <f>NeoBerLab!$O$14</f>
        <v>0</v>
      </c>
    </row>
    <row r="1023" spans="1:2" x14ac:dyDescent="0.35">
      <c r="A1023" s="383" t="s">
        <v>3587</v>
      </c>
      <c r="B1023">
        <f>NeoBerLab!$O$15</f>
        <v>0</v>
      </c>
    </row>
    <row r="1024" spans="1:2" x14ac:dyDescent="0.35">
      <c r="A1024" s="383" t="s">
        <v>3588</v>
      </c>
      <c r="B1024">
        <f>NeoBerLab!$O$16</f>
        <v>0</v>
      </c>
    </row>
    <row r="1025" spans="1:2" x14ac:dyDescent="0.35">
      <c r="A1025" s="383" t="s">
        <v>3589</v>
      </c>
      <c r="B1025">
        <f>NeoBerLab!$O$17</f>
        <v>0</v>
      </c>
    </row>
    <row r="1026" spans="1:2" x14ac:dyDescent="0.35">
      <c r="A1026" s="383" t="s">
        <v>3590</v>
      </c>
      <c r="B1026">
        <f>NeoBerLab!$O$18</f>
        <v>0</v>
      </c>
    </row>
    <row r="1027" spans="1:2" x14ac:dyDescent="0.35">
      <c r="A1027" s="383" t="s">
        <v>3591</v>
      </c>
      <c r="B1027">
        <f>NeoBerLab!$O$19</f>
        <v>0</v>
      </c>
    </row>
    <row r="1028" spans="1:2" x14ac:dyDescent="0.35">
      <c r="A1028" s="383" t="s">
        <v>3592</v>
      </c>
      <c r="B1028">
        <f>NeoBerLab!$O$20</f>
        <v>0</v>
      </c>
    </row>
    <row r="1029" spans="1:2" x14ac:dyDescent="0.35">
      <c r="A1029" s="383" t="s">
        <v>3593</v>
      </c>
      <c r="B1029">
        <f>NeoBerLab!$O$21</f>
        <v>0</v>
      </c>
    </row>
    <row r="1030" spans="1:2" x14ac:dyDescent="0.35">
      <c r="A1030" s="383" t="s">
        <v>3594</v>
      </c>
      <c r="B1030">
        <f>NeoBerLab!$O$22</f>
        <v>0</v>
      </c>
    </row>
    <row r="1031" spans="1:2" x14ac:dyDescent="0.35">
      <c r="A1031" s="383" t="s">
        <v>3595</v>
      </c>
      <c r="B1031">
        <f>NeoBerLab!$O$23</f>
        <v>0</v>
      </c>
    </row>
    <row r="1032" spans="1:2" x14ac:dyDescent="0.35">
      <c r="A1032" s="383" t="s">
        <v>3596</v>
      </c>
      <c r="B1032">
        <f>NeoBerLab!$O$24</f>
        <v>0</v>
      </c>
    </row>
    <row r="1033" spans="1:2" x14ac:dyDescent="0.35">
      <c r="A1033" s="383" t="s">
        <v>3597</v>
      </c>
      <c r="B1033">
        <f>NeoBerLab!$O$25</f>
        <v>0</v>
      </c>
    </row>
    <row r="1034" spans="1:2" x14ac:dyDescent="0.35">
      <c r="A1034" s="383" t="s">
        <v>3598</v>
      </c>
      <c r="B1034">
        <f>NeoBerLab!$O$26</f>
        <v>0</v>
      </c>
    </row>
    <row r="1035" spans="1:2" x14ac:dyDescent="0.35">
      <c r="A1035" s="383" t="s">
        <v>3599</v>
      </c>
      <c r="B1035">
        <f>NeoBerLab!$O$27</f>
        <v>0</v>
      </c>
    </row>
    <row r="1036" spans="1:2" x14ac:dyDescent="0.35">
      <c r="A1036" s="383" t="s">
        <v>3600</v>
      </c>
      <c r="B1036">
        <f>NeoBerLab!$O$28</f>
        <v>0</v>
      </c>
    </row>
    <row r="1037" spans="1:2" x14ac:dyDescent="0.35">
      <c r="A1037" s="383" t="s">
        <v>3601</v>
      </c>
      <c r="B1037">
        <f>NeoBerLab!$O$29</f>
        <v>0</v>
      </c>
    </row>
    <row r="1038" spans="1:2" x14ac:dyDescent="0.35">
      <c r="A1038" s="383" t="s">
        <v>3602</v>
      </c>
      <c r="B1038">
        <f>NeoBerLab!$O$30</f>
        <v>0</v>
      </c>
    </row>
    <row r="1039" spans="1:2" x14ac:dyDescent="0.35">
      <c r="A1039" s="383" t="s">
        <v>3603</v>
      </c>
      <c r="B1039">
        <f>NeoBerLab!$O$31</f>
        <v>0</v>
      </c>
    </row>
    <row r="1040" spans="1:2" x14ac:dyDescent="0.35">
      <c r="A1040" s="383" t="s">
        <v>3604</v>
      </c>
      <c r="B1040">
        <f>NeoBerLab!$O$32</f>
        <v>0</v>
      </c>
    </row>
    <row r="1041" spans="1:2" x14ac:dyDescent="0.35">
      <c r="A1041" s="383" t="s">
        <v>3605</v>
      </c>
      <c r="B1041">
        <f>NeoBerLab!$O$33</f>
        <v>0</v>
      </c>
    </row>
    <row r="1042" spans="1:2" x14ac:dyDescent="0.35">
      <c r="A1042" s="383" t="s">
        <v>3606</v>
      </c>
      <c r="B1042">
        <f>NeoBerLab!$O$34</f>
        <v>0</v>
      </c>
    </row>
    <row r="1043" spans="1:2" x14ac:dyDescent="0.35">
      <c r="A1043" s="383" t="s">
        <v>3607</v>
      </c>
      <c r="B1043">
        <f>NeoBerLab!$Q$4</f>
        <v>0</v>
      </c>
    </row>
    <row r="1044" spans="1:2" x14ac:dyDescent="0.35">
      <c r="A1044" s="383" t="s">
        <v>3608</v>
      </c>
      <c r="B1044">
        <f>NeoBerLab!$Q$5</f>
        <v>0</v>
      </c>
    </row>
    <row r="1045" spans="1:2" x14ac:dyDescent="0.35">
      <c r="A1045" s="383" t="s">
        <v>3609</v>
      </c>
      <c r="B1045">
        <f>NeoBerLab!$Q$6</f>
        <v>0</v>
      </c>
    </row>
    <row r="1046" spans="1:2" x14ac:dyDescent="0.35">
      <c r="A1046" s="383" t="s">
        <v>3610</v>
      </c>
      <c r="B1046">
        <f>NeoBerLab!$Q$7</f>
        <v>0</v>
      </c>
    </row>
    <row r="1047" spans="1:2" x14ac:dyDescent="0.35">
      <c r="A1047" s="383" t="s">
        <v>3611</v>
      </c>
      <c r="B1047">
        <f>NeoBerLab!$Q$8</f>
        <v>0</v>
      </c>
    </row>
    <row r="1048" spans="1:2" x14ac:dyDescent="0.35">
      <c r="A1048" s="383" t="s">
        <v>3612</v>
      </c>
      <c r="B1048">
        <f>NeoBerLab!$Q$9</f>
        <v>0</v>
      </c>
    </row>
    <row r="1049" spans="1:2" x14ac:dyDescent="0.35">
      <c r="A1049" s="383" t="s">
        <v>3613</v>
      </c>
      <c r="B1049">
        <f>NeoBerLab!$Q$10</f>
        <v>0</v>
      </c>
    </row>
    <row r="1050" spans="1:2" x14ac:dyDescent="0.35">
      <c r="A1050" s="383" t="s">
        <v>3614</v>
      </c>
      <c r="B1050">
        <f>NeoBerLab!$Q$11</f>
        <v>0</v>
      </c>
    </row>
    <row r="1051" spans="1:2" x14ac:dyDescent="0.35">
      <c r="A1051" s="383" t="s">
        <v>3615</v>
      </c>
      <c r="B1051">
        <f>NeoBerLab!$Q$12</f>
        <v>0</v>
      </c>
    </row>
    <row r="1052" spans="1:2" x14ac:dyDescent="0.35">
      <c r="A1052" s="383" t="s">
        <v>3616</v>
      </c>
      <c r="B1052">
        <f>NeoBerLab!$Q$13</f>
        <v>0</v>
      </c>
    </row>
    <row r="1053" spans="1:2" x14ac:dyDescent="0.35">
      <c r="A1053" s="383" t="s">
        <v>3617</v>
      </c>
      <c r="B1053">
        <f>NeoBerLab!$Q$14</f>
        <v>0</v>
      </c>
    </row>
    <row r="1054" spans="1:2" x14ac:dyDescent="0.35">
      <c r="A1054" s="383" t="s">
        <v>3618</v>
      </c>
      <c r="B1054">
        <f>NeoBerLab!$Q$15</f>
        <v>0</v>
      </c>
    </row>
    <row r="1055" spans="1:2" x14ac:dyDescent="0.35">
      <c r="A1055" s="383" t="s">
        <v>3619</v>
      </c>
      <c r="B1055" s="383">
        <f>NeoBerLab!$Q$16</f>
        <v>0</v>
      </c>
    </row>
    <row r="1056" spans="1:2" x14ac:dyDescent="0.35">
      <c r="A1056" s="383" t="s">
        <v>3620</v>
      </c>
      <c r="B1056">
        <f>NeoBerLab!$Q$17</f>
        <v>0</v>
      </c>
    </row>
    <row r="1057" spans="1:2" x14ac:dyDescent="0.35">
      <c r="A1057" s="383" t="s">
        <v>3621</v>
      </c>
      <c r="B1057">
        <f>NeoBerLab!$Q$18</f>
        <v>0</v>
      </c>
    </row>
    <row r="1058" spans="1:2" x14ac:dyDescent="0.35">
      <c r="A1058" s="383" t="s">
        <v>3622</v>
      </c>
      <c r="B1058">
        <f>NeoBerLab!$Q$19</f>
        <v>0</v>
      </c>
    </row>
    <row r="1059" spans="1:2" x14ac:dyDescent="0.35">
      <c r="A1059" s="383" t="s">
        <v>3623</v>
      </c>
      <c r="B1059">
        <f>NeoBerLab!$Q$20</f>
        <v>0</v>
      </c>
    </row>
    <row r="1060" spans="1:2" x14ac:dyDescent="0.35">
      <c r="A1060" s="383" t="s">
        <v>3624</v>
      </c>
      <c r="B1060">
        <f>NeoBerLab!$Q$21</f>
        <v>0</v>
      </c>
    </row>
    <row r="1061" spans="1:2" x14ac:dyDescent="0.35">
      <c r="A1061" s="383" t="s">
        <v>3625</v>
      </c>
      <c r="B1061">
        <f>NeoBerLab!$Q$22</f>
        <v>0</v>
      </c>
    </row>
    <row r="1062" spans="1:2" x14ac:dyDescent="0.35">
      <c r="A1062" s="383" t="s">
        <v>3626</v>
      </c>
      <c r="B1062">
        <f>NeoBerLab!$Q$23</f>
        <v>0</v>
      </c>
    </row>
    <row r="1063" spans="1:2" x14ac:dyDescent="0.35">
      <c r="A1063" s="383" t="s">
        <v>3627</v>
      </c>
      <c r="B1063">
        <f>NeoBerLab!$Q$24</f>
        <v>0</v>
      </c>
    </row>
    <row r="1064" spans="1:2" x14ac:dyDescent="0.35">
      <c r="A1064" s="383" t="s">
        <v>3628</v>
      </c>
      <c r="B1064">
        <f>NeoBerLab!$Q$25</f>
        <v>0</v>
      </c>
    </row>
    <row r="1065" spans="1:2" x14ac:dyDescent="0.35">
      <c r="A1065" s="383" t="s">
        <v>3629</v>
      </c>
      <c r="B1065">
        <f>NeoBerLab!$Q$26</f>
        <v>0</v>
      </c>
    </row>
    <row r="1066" spans="1:2" x14ac:dyDescent="0.35">
      <c r="A1066" s="383" t="s">
        <v>3630</v>
      </c>
      <c r="B1066">
        <f>NeoBerLab!$Q$27</f>
        <v>0</v>
      </c>
    </row>
    <row r="1067" spans="1:2" x14ac:dyDescent="0.35">
      <c r="A1067" s="383" t="s">
        <v>3631</v>
      </c>
      <c r="B1067">
        <f>NeoBerLab!$Q$28</f>
        <v>0</v>
      </c>
    </row>
    <row r="1068" spans="1:2" x14ac:dyDescent="0.35">
      <c r="A1068" s="383" t="s">
        <v>3632</v>
      </c>
      <c r="B1068">
        <f>NeoBerLab!$Q$29</f>
        <v>0</v>
      </c>
    </row>
    <row r="1069" spans="1:2" x14ac:dyDescent="0.35">
      <c r="A1069" s="383" t="s">
        <v>3633</v>
      </c>
      <c r="B1069">
        <f>NeoBerLab!$Q$30</f>
        <v>0</v>
      </c>
    </row>
    <row r="1070" spans="1:2" x14ac:dyDescent="0.35">
      <c r="A1070" s="383" t="s">
        <v>3634</v>
      </c>
      <c r="B1070">
        <f>NeoBerLab!$Q$31</f>
        <v>0</v>
      </c>
    </row>
    <row r="1071" spans="1:2" x14ac:dyDescent="0.35">
      <c r="A1071" s="383" t="s">
        <v>3635</v>
      </c>
      <c r="B1071">
        <f>NeoBerLab!$Q$32</f>
        <v>0</v>
      </c>
    </row>
    <row r="1072" spans="1:2" x14ac:dyDescent="0.35">
      <c r="A1072" s="383" t="s">
        <v>3636</v>
      </c>
      <c r="B1072">
        <f>NeoBerLab!$Q$33</f>
        <v>0</v>
      </c>
    </row>
    <row r="1073" spans="1:2" x14ac:dyDescent="0.35">
      <c r="A1073" s="383" t="s">
        <v>3637</v>
      </c>
      <c r="B1073">
        <f>NeoBerLab!$Q$34</f>
        <v>0</v>
      </c>
    </row>
    <row r="1074" spans="1:2" x14ac:dyDescent="0.35">
      <c r="A1074" s="383" t="s">
        <v>3638</v>
      </c>
      <c r="B1074">
        <f>NeoBerLab!$S$4</f>
        <v>0</v>
      </c>
    </row>
    <row r="1075" spans="1:2" x14ac:dyDescent="0.35">
      <c r="A1075" s="383" t="s">
        <v>3639</v>
      </c>
      <c r="B1075">
        <f>NeoBerLab!$S$5</f>
        <v>0</v>
      </c>
    </row>
    <row r="1076" spans="1:2" x14ac:dyDescent="0.35">
      <c r="A1076" s="383" t="s">
        <v>3640</v>
      </c>
      <c r="B1076">
        <f>NeoBerLab!$S$6</f>
        <v>0</v>
      </c>
    </row>
    <row r="1077" spans="1:2" x14ac:dyDescent="0.35">
      <c r="A1077" s="383" t="s">
        <v>3641</v>
      </c>
      <c r="B1077">
        <f>NeoBerLab!$S$7</f>
        <v>0</v>
      </c>
    </row>
    <row r="1078" spans="1:2" x14ac:dyDescent="0.35">
      <c r="A1078" s="383" t="s">
        <v>3642</v>
      </c>
      <c r="B1078">
        <f>NeoBerLab!$S$8</f>
        <v>0</v>
      </c>
    </row>
    <row r="1079" spans="1:2" x14ac:dyDescent="0.35">
      <c r="A1079" s="383" t="s">
        <v>3643</v>
      </c>
      <c r="B1079">
        <f>NeoBerLab!$S$9</f>
        <v>0</v>
      </c>
    </row>
    <row r="1080" spans="1:2" x14ac:dyDescent="0.35">
      <c r="A1080" s="383" t="s">
        <v>3644</v>
      </c>
      <c r="B1080">
        <f>NeoBerLab!$S$10</f>
        <v>0</v>
      </c>
    </row>
    <row r="1081" spans="1:2" x14ac:dyDescent="0.35">
      <c r="A1081" s="383" t="s">
        <v>3645</v>
      </c>
      <c r="B1081">
        <f>NeoBerLab!$S$11</f>
        <v>0</v>
      </c>
    </row>
    <row r="1082" spans="1:2" x14ac:dyDescent="0.35">
      <c r="A1082" s="383" t="s">
        <v>3646</v>
      </c>
      <c r="B1082">
        <f>NeoBerLab!$S$12</f>
        <v>0</v>
      </c>
    </row>
    <row r="1083" spans="1:2" x14ac:dyDescent="0.35">
      <c r="A1083" s="383" t="s">
        <v>3647</v>
      </c>
      <c r="B1083">
        <f>NeoBerLab!$S$13</f>
        <v>0</v>
      </c>
    </row>
    <row r="1084" spans="1:2" x14ac:dyDescent="0.35">
      <c r="A1084" s="383" t="s">
        <v>3648</v>
      </c>
      <c r="B1084">
        <f>NeoBerLab!$S$14</f>
        <v>0</v>
      </c>
    </row>
    <row r="1085" spans="1:2" x14ac:dyDescent="0.35">
      <c r="A1085" s="383" t="s">
        <v>3649</v>
      </c>
      <c r="B1085">
        <f>NeoBerLab!$S$15</f>
        <v>0</v>
      </c>
    </row>
    <row r="1086" spans="1:2" x14ac:dyDescent="0.35">
      <c r="A1086" s="383" t="s">
        <v>3650</v>
      </c>
      <c r="B1086">
        <f>NeoBerLab!$S$16</f>
        <v>0</v>
      </c>
    </row>
    <row r="1087" spans="1:2" x14ac:dyDescent="0.35">
      <c r="A1087" s="383" t="s">
        <v>3651</v>
      </c>
      <c r="B1087">
        <f>NeoBerLab!$S$17</f>
        <v>0</v>
      </c>
    </row>
    <row r="1088" spans="1:2" x14ac:dyDescent="0.35">
      <c r="A1088" s="383" t="s">
        <v>3652</v>
      </c>
      <c r="B1088">
        <f>NeoBerLab!$S$18</f>
        <v>0</v>
      </c>
    </row>
    <row r="1089" spans="1:2" x14ac:dyDescent="0.35">
      <c r="A1089" s="383" t="s">
        <v>3653</v>
      </c>
      <c r="B1089">
        <f>NeoBerLab!$S$19</f>
        <v>0</v>
      </c>
    </row>
    <row r="1090" spans="1:2" x14ac:dyDescent="0.35">
      <c r="A1090" s="383" t="s">
        <v>3654</v>
      </c>
      <c r="B1090">
        <f>NeoBerLab!$S$20</f>
        <v>0</v>
      </c>
    </row>
    <row r="1091" spans="1:2" x14ac:dyDescent="0.35">
      <c r="A1091" s="383" t="s">
        <v>3655</v>
      </c>
      <c r="B1091">
        <f>NeoBerLab!$S$21</f>
        <v>0</v>
      </c>
    </row>
    <row r="1092" spans="1:2" x14ac:dyDescent="0.35">
      <c r="A1092" s="383" t="s">
        <v>3656</v>
      </c>
      <c r="B1092">
        <f>NeoBerLab!$S$22</f>
        <v>0</v>
      </c>
    </row>
    <row r="1093" spans="1:2" x14ac:dyDescent="0.35">
      <c r="A1093" s="383" t="s">
        <v>3657</v>
      </c>
      <c r="B1093">
        <f>NeoBerLab!$S$23</f>
        <v>0</v>
      </c>
    </row>
    <row r="1094" spans="1:2" x14ac:dyDescent="0.35">
      <c r="A1094" s="383" t="s">
        <v>3658</v>
      </c>
      <c r="B1094">
        <f>NeoBerLab!$S$24</f>
        <v>0</v>
      </c>
    </row>
    <row r="1095" spans="1:2" x14ac:dyDescent="0.35">
      <c r="A1095" s="383" t="s">
        <v>3659</v>
      </c>
      <c r="B1095">
        <f>NeoBerLab!$S$25</f>
        <v>0</v>
      </c>
    </row>
    <row r="1096" spans="1:2" x14ac:dyDescent="0.35">
      <c r="A1096" s="383" t="s">
        <v>3660</v>
      </c>
      <c r="B1096">
        <f>NeoBerLab!$S$26</f>
        <v>0</v>
      </c>
    </row>
    <row r="1097" spans="1:2" x14ac:dyDescent="0.35">
      <c r="A1097" s="383" t="s">
        <v>3661</v>
      </c>
      <c r="B1097">
        <f>NeoBerLab!$S$27</f>
        <v>0</v>
      </c>
    </row>
    <row r="1098" spans="1:2" x14ac:dyDescent="0.35">
      <c r="A1098" s="383" t="s">
        <v>3662</v>
      </c>
      <c r="B1098">
        <f>NeoBerLab!$S$28</f>
        <v>0</v>
      </c>
    </row>
    <row r="1099" spans="1:2" x14ac:dyDescent="0.35">
      <c r="A1099" s="383" t="s">
        <v>3663</v>
      </c>
      <c r="B1099">
        <f>NeoBerLab!$S$29</f>
        <v>0</v>
      </c>
    </row>
    <row r="1100" spans="1:2" x14ac:dyDescent="0.35">
      <c r="A1100" s="383" t="s">
        <v>3664</v>
      </c>
      <c r="B1100">
        <f>NeoBerLab!$S$30</f>
        <v>0</v>
      </c>
    </row>
    <row r="1101" spans="1:2" x14ac:dyDescent="0.35">
      <c r="A1101" s="383" t="s">
        <v>3665</v>
      </c>
      <c r="B1101">
        <f>NeoBerLab!$S$31</f>
        <v>0</v>
      </c>
    </row>
    <row r="1102" spans="1:2" x14ac:dyDescent="0.35">
      <c r="A1102" s="383" t="s">
        <v>3666</v>
      </c>
      <c r="B1102">
        <f>NeoBerLab!$S$32</f>
        <v>0</v>
      </c>
    </row>
    <row r="1103" spans="1:2" x14ac:dyDescent="0.35">
      <c r="A1103" s="383" t="s">
        <v>3667</v>
      </c>
      <c r="B1103">
        <f>NeoBerLab!$S$33</f>
        <v>0</v>
      </c>
    </row>
    <row r="1104" spans="1:2" x14ac:dyDescent="0.35">
      <c r="A1104" s="383" t="s">
        <v>3668</v>
      </c>
      <c r="B1104">
        <f>NeoBerLab!$S$34</f>
        <v>0</v>
      </c>
    </row>
    <row r="1105" spans="1:2" x14ac:dyDescent="0.35">
      <c r="A1105" s="383" t="s">
        <v>3669</v>
      </c>
      <c r="B1105">
        <f>NeoBerLab!$D$38</f>
        <v>0</v>
      </c>
    </row>
    <row r="1106" spans="1:2" x14ac:dyDescent="0.35">
      <c r="A1106" s="383" t="s">
        <v>3670</v>
      </c>
      <c r="B1106">
        <f>NeoBerLab!$C$4</f>
        <v>0</v>
      </c>
    </row>
    <row r="1107" spans="1:2" x14ac:dyDescent="0.35">
      <c r="A1107" s="383" t="s">
        <v>3671</v>
      </c>
      <c r="B1107">
        <f>NeoBerLab!$C$5</f>
        <v>0</v>
      </c>
    </row>
    <row r="1108" spans="1:2" x14ac:dyDescent="0.35">
      <c r="A1108" s="383" t="s">
        <v>3672</v>
      </c>
      <c r="B1108">
        <f>NeoBerLab!$C$6</f>
        <v>0</v>
      </c>
    </row>
    <row r="1109" spans="1:2" x14ac:dyDescent="0.35">
      <c r="A1109" s="383" t="s">
        <v>3673</v>
      </c>
      <c r="B1109">
        <f>NeoBerLab!$C$7</f>
        <v>0</v>
      </c>
    </row>
    <row r="1110" spans="1:2" x14ac:dyDescent="0.35">
      <c r="A1110" s="383" t="s">
        <v>3674</v>
      </c>
      <c r="B1110">
        <f>NeoBerLab!$C$8</f>
        <v>0</v>
      </c>
    </row>
    <row r="1111" spans="1:2" x14ac:dyDescent="0.35">
      <c r="A1111" s="383" t="s">
        <v>3675</v>
      </c>
      <c r="B1111">
        <f>NeoBerLab!$C$9</f>
        <v>0</v>
      </c>
    </row>
    <row r="1112" spans="1:2" x14ac:dyDescent="0.35">
      <c r="A1112" s="383" t="s">
        <v>3676</v>
      </c>
      <c r="B1112">
        <f>NeoBerLab!$C$10</f>
        <v>0</v>
      </c>
    </row>
    <row r="1113" spans="1:2" x14ac:dyDescent="0.35">
      <c r="A1113" s="383" t="s">
        <v>3677</v>
      </c>
      <c r="B1113">
        <f>NeoBerLab!$C$11</f>
        <v>0</v>
      </c>
    </row>
    <row r="1114" spans="1:2" x14ac:dyDescent="0.35">
      <c r="A1114" s="383" t="s">
        <v>3678</v>
      </c>
      <c r="B1114">
        <f>NeoBerLab!$C$12</f>
        <v>0</v>
      </c>
    </row>
    <row r="1115" spans="1:2" x14ac:dyDescent="0.35">
      <c r="A1115" s="383" t="s">
        <v>3679</v>
      </c>
      <c r="B1115">
        <f>NeoBerLab!$C$13</f>
        <v>0</v>
      </c>
    </row>
    <row r="1116" spans="1:2" x14ac:dyDescent="0.35">
      <c r="A1116" s="383" t="s">
        <v>3680</v>
      </c>
      <c r="B1116">
        <f>NeoBerLab!$C$14</f>
        <v>0</v>
      </c>
    </row>
    <row r="1117" spans="1:2" x14ac:dyDescent="0.35">
      <c r="A1117" s="383" t="s">
        <v>3681</v>
      </c>
      <c r="B1117">
        <f>NeoBerLab!$C$15</f>
        <v>0</v>
      </c>
    </row>
    <row r="1118" spans="1:2" x14ac:dyDescent="0.35">
      <c r="A1118" s="383" t="s">
        <v>3682</v>
      </c>
      <c r="B1118">
        <f>NeoBerLab!$C$16</f>
        <v>0</v>
      </c>
    </row>
    <row r="1119" spans="1:2" x14ac:dyDescent="0.35">
      <c r="A1119" s="383" t="s">
        <v>3683</v>
      </c>
      <c r="B1119">
        <f>NeoBerLab!$C$17</f>
        <v>0</v>
      </c>
    </row>
    <row r="1120" spans="1:2" x14ac:dyDescent="0.35">
      <c r="A1120" s="383" t="s">
        <v>3684</v>
      </c>
      <c r="B1120">
        <f>NeoBerLab!$C$18</f>
        <v>0</v>
      </c>
    </row>
    <row r="1121" spans="1:2" x14ac:dyDescent="0.35">
      <c r="A1121" s="383" t="s">
        <v>3685</v>
      </c>
      <c r="B1121">
        <f>NeoBerLab!$C$19</f>
        <v>0</v>
      </c>
    </row>
    <row r="1122" spans="1:2" x14ac:dyDescent="0.35">
      <c r="A1122" s="383" t="s">
        <v>3686</v>
      </c>
      <c r="B1122">
        <f>NeoBerLab!$C$20</f>
        <v>0</v>
      </c>
    </row>
    <row r="1123" spans="1:2" x14ac:dyDescent="0.35">
      <c r="A1123" s="383" t="s">
        <v>3687</v>
      </c>
      <c r="B1123">
        <f>NeoBerLab!$C$21</f>
        <v>0</v>
      </c>
    </row>
    <row r="1124" spans="1:2" x14ac:dyDescent="0.35">
      <c r="A1124" s="383" t="s">
        <v>3688</v>
      </c>
      <c r="B1124">
        <f>NeoBerLab!$C$22</f>
        <v>0</v>
      </c>
    </row>
    <row r="1125" spans="1:2" x14ac:dyDescent="0.35">
      <c r="A1125" s="383" t="s">
        <v>3689</v>
      </c>
      <c r="B1125">
        <f>NeoBerLab!$C$23</f>
        <v>0</v>
      </c>
    </row>
    <row r="1126" spans="1:2" x14ac:dyDescent="0.35">
      <c r="A1126" s="383" t="s">
        <v>3690</v>
      </c>
      <c r="B1126">
        <f>NeoBerLab!$C$24</f>
        <v>0</v>
      </c>
    </row>
    <row r="1127" spans="1:2" x14ac:dyDescent="0.35">
      <c r="A1127" s="383" t="s">
        <v>3691</v>
      </c>
      <c r="B1127">
        <f>NeoBerLab!$C$25</f>
        <v>0</v>
      </c>
    </row>
    <row r="1128" spans="1:2" x14ac:dyDescent="0.35">
      <c r="A1128" s="383" t="s">
        <v>3692</v>
      </c>
      <c r="B1128">
        <f>NeoBerLab!$C$26</f>
        <v>0</v>
      </c>
    </row>
    <row r="1129" spans="1:2" x14ac:dyDescent="0.35">
      <c r="A1129" s="383" t="s">
        <v>3693</v>
      </c>
      <c r="B1129">
        <f>NeoBerLab!$C$27</f>
        <v>0</v>
      </c>
    </row>
    <row r="1130" spans="1:2" x14ac:dyDescent="0.35">
      <c r="A1130" s="383" t="s">
        <v>3694</v>
      </c>
      <c r="B1130">
        <f>NeoBerLab!$C$28</f>
        <v>0</v>
      </c>
    </row>
    <row r="1131" spans="1:2" x14ac:dyDescent="0.35">
      <c r="A1131" s="383" t="s">
        <v>3695</v>
      </c>
      <c r="B1131">
        <f>NeoBerLab!$C$29</f>
        <v>0</v>
      </c>
    </row>
    <row r="1132" spans="1:2" x14ac:dyDescent="0.35">
      <c r="A1132" s="383" t="s">
        <v>3696</v>
      </c>
      <c r="B1132">
        <f>NeoBerLab!$C$30</f>
        <v>0</v>
      </c>
    </row>
    <row r="1133" spans="1:2" x14ac:dyDescent="0.35">
      <c r="A1133" s="383" t="s">
        <v>3697</v>
      </c>
      <c r="B1133">
        <f>NeoBerLab!$C$31</f>
        <v>0</v>
      </c>
    </row>
    <row r="1134" spans="1:2" x14ac:dyDescent="0.35">
      <c r="A1134" s="383" t="s">
        <v>3698</v>
      </c>
      <c r="B1134">
        <f>NeoBerLab!$C$32</f>
        <v>0</v>
      </c>
    </row>
    <row r="1135" spans="1:2" x14ac:dyDescent="0.35">
      <c r="A1135" s="383" t="s">
        <v>3699</v>
      </c>
      <c r="B1135">
        <f>NeoBerLab!$C$33</f>
        <v>0</v>
      </c>
    </row>
    <row r="1136" spans="1:2" x14ac:dyDescent="0.35">
      <c r="A1136" s="383" t="s">
        <v>3700</v>
      </c>
      <c r="B1136">
        <f>NeoBerLab!$C$34</f>
        <v>0</v>
      </c>
    </row>
    <row r="1137" spans="1:3" x14ac:dyDescent="0.35">
      <c r="A1137" s="383" t="s">
        <v>3701</v>
      </c>
      <c r="B1137">
        <f>NeoBerLab!$C$35</f>
        <v>0</v>
      </c>
    </row>
    <row r="1138" spans="1:3" x14ac:dyDescent="0.35">
      <c r="A1138" s="383" t="s">
        <v>4004</v>
      </c>
      <c r="B1138">
        <f>PatDetails!$B$6</f>
        <v>100</v>
      </c>
      <c r="C1138">
        <v>100</v>
      </c>
    </row>
    <row r="1139" spans="1:3" x14ac:dyDescent="0.35">
      <c r="A1139" s="383" t="s">
        <v>4005</v>
      </c>
      <c r="B1139">
        <f>PatDetails!$B$7</f>
        <v>80</v>
      </c>
      <c r="C1139">
        <v>80</v>
      </c>
    </row>
    <row r="1140" spans="1:3" x14ac:dyDescent="0.35">
      <c r="A1140" s="383" t="s">
        <v>4002</v>
      </c>
      <c r="B1140">
        <f>NeoBerInfB!$D$5</f>
        <v>0</v>
      </c>
      <c r="C1140">
        <v>0</v>
      </c>
    </row>
    <row r="1141" spans="1:3" x14ac:dyDescent="0.35">
      <c r="A1141" s="383" t="s">
        <v>4001</v>
      </c>
      <c r="B1141" s="27">
        <f>PatDetails!$B$9</f>
        <v>42370</v>
      </c>
      <c r="C1141">
        <v>42370</v>
      </c>
    </row>
    <row r="1142" spans="1:3" x14ac:dyDescent="0.35">
      <c r="A1142" s="383" t="s">
        <v>4003</v>
      </c>
      <c r="B1142">
        <f>NeoBerInfB!$D$4</f>
        <v>30</v>
      </c>
      <c r="C1142">
        <v>30</v>
      </c>
    </row>
    <row r="1143" spans="1:3" x14ac:dyDescent="0.35">
      <c r="A1143" s="383" t="s">
        <v>2477</v>
      </c>
      <c r="B1143">
        <f>PedBerAfspr!$D$11</f>
        <v>0</v>
      </c>
    </row>
    <row r="1144" spans="1:3" x14ac:dyDescent="0.35">
      <c r="A1144" s="383" t="s">
        <v>2478</v>
      </c>
      <c r="B1144">
        <f>PedBerAfspr!$D$12</f>
        <v>0</v>
      </c>
    </row>
    <row r="1145" spans="1:3" x14ac:dyDescent="0.35">
      <c r="A1145" s="383" t="s">
        <v>2479</v>
      </c>
      <c r="B1145">
        <f>PedBerAfspr!$D$13</f>
        <v>0</v>
      </c>
    </row>
    <row r="1146" spans="1:3" x14ac:dyDescent="0.35">
      <c r="A1146" s="383" t="s">
        <v>2480</v>
      </c>
      <c r="B1146">
        <f>PedBerAfspr!$D$14</f>
        <v>0</v>
      </c>
    </row>
    <row r="1147" spans="1:3" x14ac:dyDescent="0.35">
      <c r="A1147" s="383" t="s">
        <v>2481</v>
      </c>
      <c r="B1147">
        <f>PedBerAfspr!$B$10</f>
        <v>0</v>
      </c>
    </row>
    <row r="1148" spans="1:3" x14ac:dyDescent="0.35">
      <c r="A1148" s="383" t="s">
        <v>2482</v>
      </c>
      <c r="B1148">
        <f>PedBerAfspr!$F$7</f>
        <v>0</v>
      </c>
    </row>
    <row r="1149" spans="1:3" x14ac:dyDescent="0.35">
      <c r="A1149" s="383" t="s">
        <v>2483</v>
      </c>
      <c r="B1149">
        <f>PedBerAfspr!$B$20</f>
        <v>0</v>
      </c>
    </row>
    <row r="1150" spans="1:3" x14ac:dyDescent="0.35">
      <c r="A1150" s="383" t="s">
        <v>2484</v>
      </c>
      <c r="B1150">
        <f>PedBerAfspr!$F$10</f>
        <v>0</v>
      </c>
    </row>
    <row r="1151" spans="1:3" x14ac:dyDescent="0.35">
      <c r="A1151" s="383" t="s">
        <v>2485</v>
      </c>
      <c r="B1151">
        <f>PedBerAfspr!$B$21</f>
        <v>0</v>
      </c>
    </row>
    <row r="1152" spans="1:3" x14ac:dyDescent="0.35">
      <c r="A1152" s="383" t="s">
        <v>2486</v>
      </c>
      <c r="B1152">
        <f>PedBerAfspr!$F$12</f>
        <v>0</v>
      </c>
    </row>
    <row r="1153" spans="1:2" x14ac:dyDescent="0.35">
      <c r="A1153" s="383" t="s">
        <v>2487</v>
      </c>
      <c r="B1153">
        <f>PedBerAfspr!$B$42</f>
        <v>0</v>
      </c>
    </row>
    <row r="1154" spans="1:2" x14ac:dyDescent="0.35">
      <c r="A1154" s="383" t="s">
        <v>2488</v>
      </c>
      <c r="B1154">
        <f>PedBerAfspr!$B$7</f>
        <v>0</v>
      </c>
    </row>
    <row r="1155" spans="1:2" x14ac:dyDescent="0.35">
      <c r="A1155" s="383" t="s">
        <v>2489</v>
      </c>
      <c r="B1155">
        <f>PedBerAfspr!$F$15</f>
        <v>0</v>
      </c>
    </row>
    <row r="1156" spans="1:2" x14ac:dyDescent="0.35">
      <c r="A1156" s="383" t="s">
        <v>2490</v>
      </c>
      <c r="B1156">
        <f>PedBerAfspr!$F$13</f>
        <v>0</v>
      </c>
    </row>
    <row r="1157" spans="1:2" x14ac:dyDescent="0.35">
      <c r="A1157" s="383" t="s">
        <v>2491</v>
      </c>
      <c r="B1157">
        <f>PedBerAfspr!$B$24</f>
        <v>0</v>
      </c>
    </row>
    <row r="1158" spans="1:2" x14ac:dyDescent="0.35">
      <c r="A1158" s="383" t="s">
        <v>2492</v>
      </c>
      <c r="B1158">
        <f>PedBerAfspr!$B$8</f>
        <v>0</v>
      </c>
    </row>
    <row r="1159" spans="1:2" x14ac:dyDescent="0.35">
      <c r="A1159" s="383" t="s">
        <v>2493</v>
      </c>
      <c r="B1159">
        <f>PedBerAfspr!$B$39</f>
        <v>0</v>
      </c>
    </row>
    <row r="1160" spans="1:2" x14ac:dyDescent="0.35">
      <c r="A1160" s="383" t="s">
        <v>2494</v>
      </c>
      <c r="B1160">
        <f>PedBerAfspr!$F$16</f>
        <v>0</v>
      </c>
    </row>
    <row r="1161" spans="1:2" x14ac:dyDescent="0.35">
      <c r="A1161" s="383" t="s">
        <v>2495</v>
      </c>
      <c r="B1161">
        <f>PedBerAfspr!$F$9</f>
        <v>0</v>
      </c>
    </row>
    <row r="1162" spans="1:2" x14ac:dyDescent="0.35">
      <c r="A1162" s="383" t="s">
        <v>2496</v>
      </c>
      <c r="B1162">
        <f>PedBerAfspr!$B$11</f>
        <v>0</v>
      </c>
    </row>
    <row r="1163" spans="1:2" x14ac:dyDescent="0.35">
      <c r="A1163" s="383" t="s">
        <v>2497</v>
      </c>
      <c r="B1163">
        <f>PedBerAfspr!$B$15</f>
        <v>0</v>
      </c>
    </row>
    <row r="1164" spans="1:2" x14ac:dyDescent="0.35">
      <c r="A1164" s="383" t="s">
        <v>2498</v>
      </c>
      <c r="B1164">
        <f>PedBerAfspr!$B$22</f>
        <v>0</v>
      </c>
    </row>
    <row r="1165" spans="1:2" x14ac:dyDescent="0.35">
      <c r="A1165" s="383" t="s">
        <v>2499</v>
      </c>
      <c r="B1165">
        <f>PedBerAfspr!$B$23</f>
        <v>0</v>
      </c>
    </row>
    <row r="1166" spans="1:2" x14ac:dyDescent="0.35">
      <c r="A1166" s="383" t="s">
        <v>2500</v>
      </c>
      <c r="B1166">
        <f>PedBerAfspr!$F$11</f>
        <v>0</v>
      </c>
    </row>
    <row r="1167" spans="1:2" x14ac:dyDescent="0.35">
      <c r="A1167" s="383" t="s">
        <v>2501</v>
      </c>
      <c r="B1167">
        <f>PedBerAfspr!$B$36</f>
        <v>0</v>
      </c>
    </row>
    <row r="1168" spans="1:2" x14ac:dyDescent="0.35">
      <c r="A1168" s="383" t="s">
        <v>2502</v>
      </c>
      <c r="B1168">
        <f>PedBerAfspr!$D$36</f>
        <v>0</v>
      </c>
    </row>
    <row r="1169" spans="1:2" x14ac:dyDescent="0.35">
      <c r="A1169" s="383" t="s">
        <v>2503</v>
      </c>
      <c r="B1169">
        <f>PedBerAfspr!$B$37</f>
        <v>0</v>
      </c>
    </row>
    <row r="1170" spans="1:2" x14ac:dyDescent="0.35">
      <c r="A1170" s="383" t="s">
        <v>2504</v>
      </c>
      <c r="B1170">
        <f>PedBerAfspr!$D$37</f>
        <v>0</v>
      </c>
    </row>
    <row r="1171" spans="1:2" x14ac:dyDescent="0.35">
      <c r="A1171" s="383" t="s">
        <v>2505</v>
      </c>
      <c r="B1171">
        <f>PedBerAfspr!$B$43</f>
        <v>0</v>
      </c>
    </row>
    <row r="1172" spans="1:2" x14ac:dyDescent="0.35">
      <c r="A1172" s="383" t="s">
        <v>2506</v>
      </c>
      <c r="B1172">
        <f>PedBerAfspr!$B$38</f>
        <v>0</v>
      </c>
    </row>
    <row r="1173" spans="1:2" x14ac:dyDescent="0.35">
      <c r="A1173" s="383" t="s">
        <v>2507</v>
      </c>
      <c r="B1173">
        <f>PedBerAfspr!$D$38</f>
        <v>0</v>
      </c>
    </row>
    <row r="1174" spans="1:2" x14ac:dyDescent="0.35">
      <c r="A1174" s="383" t="s">
        <v>2508</v>
      </c>
      <c r="B1174">
        <f>PedBerAfspr!$B$16</f>
        <v>0</v>
      </c>
    </row>
    <row r="1175" spans="1:2" x14ac:dyDescent="0.35">
      <c r="A1175" s="383" t="s">
        <v>2509</v>
      </c>
      <c r="B1175">
        <f>PedBerAfspr!$B$17</f>
        <v>0</v>
      </c>
    </row>
    <row r="1176" spans="1:2" x14ac:dyDescent="0.35">
      <c r="A1176" s="383" t="s">
        <v>2510</v>
      </c>
      <c r="B1176">
        <f>PedBerAfspr!$B$9</f>
        <v>0</v>
      </c>
    </row>
    <row r="1177" spans="1:2" x14ac:dyDescent="0.35">
      <c r="A1177" s="383" t="s">
        <v>2511</v>
      </c>
      <c r="B1177">
        <f>PedBerAfspr!$B$44</f>
        <v>0</v>
      </c>
    </row>
    <row r="1178" spans="1:2" x14ac:dyDescent="0.35">
      <c r="A1178" s="383" t="s">
        <v>2512</v>
      </c>
      <c r="B1178">
        <f>PedBerAfspr!$B$27</f>
        <v>0</v>
      </c>
    </row>
    <row r="1179" spans="1:2" x14ac:dyDescent="0.35">
      <c r="A1179" s="383" t="s">
        <v>2513</v>
      </c>
      <c r="B1179">
        <f>PedBerAfspr!$B$30</f>
        <v>0</v>
      </c>
    </row>
    <row r="1180" spans="1:2" x14ac:dyDescent="0.35">
      <c r="A1180" s="383" t="s">
        <v>2514</v>
      </c>
      <c r="B1180">
        <f>PedBerAfspr!$B$33</f>
        <v>0</v>
      </c>
    </row>
    <row r="1181" spans="1:2" x14ac:dyDescent="0.35">
      <c r="A1181" s="383" t="s">
        <v>2515</v>
      </c>
      <c r="B1181">
        <f>PedBerAfspr!$B$25</f>
        <v>0</v>
      </c>
    </row>
    <row r="1182" spans="1:2" x14ac:dyDescent="0.35">
      <c r="A1182" s="383" t="s">
        <v>2516</v>
      </c>
      <c r="B1182">
        <f>PedBerAfspr!$F$8</f>
        <v>0</v>
      </c>
    </row>
    <row r="1183" spans="1:2" x14ac:dyDescent="0.35">
      <c r="A1183" s="383" t="s">
        <v>2517</v>
      </c>
      <c r="B1183">
        <f>PedBerAfspr!$F$18</f>
        <v>0</v>
      </c>
    </row>
    <row r="1184" spans="1:2" x14ac:dyDescent="0.35">
      <c r="A1184" s="383" t="s">
        <v>2518</v>
      </c>
      <c r="B1184">
        <f>PedBerAfspr!$F$14</f>
        <v>0</v>
      </c>
    </row>
    <row r="1185" spans="1:2" x14ac:dyDescent="0.35">
      <c r="A1185" s="383" t="s">
        <v>2519</v>
      </c>
      <c r="B1185">
        <f>PedBerAfspr!$C$42</f>
        <v>0</v>
      </c>
    </row>
    <row r="1186" spans="1:2" x14ac:dyDescent="0.35">
      <c r="A1186" s="383" t="s">
        <v>2520</v>
      </c>
      <c r="B1186">
        <f>PedBerAfspr!$C$7</f>
        <v>0</v>
      </c>
    </row>
    <row r="1187" spans="1:2" x14ac:dyDescent="0.35">
      <c r="A1187" s="383" t="s">
        <v>2521</v>
      </c>
      <c r="B1187">
        <f>PedBerAfspr!$D$7</f>
        <v>0</v>
      </c>
    </row>
    <row r="1188" spans="1:2" x14ac:dyDescent="0.35">
      <c r="A1188" s="383" t="s">
        <v>2522</v>
      </c>
      <c r="B1188">
        <f>PedBerAfspr!$C$8</f>
        <v>0</v>
      </c>
    </row>
    <row r="1189" spans="1:2" x14ac:dyDescent="0.35">
      <c r="A1189" s="383" t="s">
        <v>2523</v>
      </c>
      <c r="B1189">
        <f>PedBerAfspr!$D$8</f>
        <v>0</v>
      </c>
    </row>
    <row r="1190" spans="1:2" x14ac:dyDescent="0.35">
      <c r="A1190" s="383" t="s">
        <v>2524</v>
      </c>
      <c r="B1190">
        <f>PedBerAfspr!$D$40</f>
        <v>0</v>
      </c>
    </row>
    <row r="1191" spans="1:2" x14ac:dyDescent="0.35">
      <c r="A1191" s="383" t="s">
        <v>2525</v>
      </c>
      <c r="B1191">
        <f>PedBerAfspr!$D$39</f>
        <v>0</v>
      </c>
    </row>
    <row r="1192" spans="1:2" x14ac:dyDescent="0.35">
      <c r="A1192" s="383" t="s">
        <v>2526</v>
      </c>
      <c r="B1192">
        <f>PedBerAfspr!$G$16</f>
        <v>0</v>
      </c>
    </row>
    <row r="1193" spans="1:2" x14ac:dyDescent="0.35">
      <c r="A1193" s="383" t="s">
        <v>2527</v>
      </c>
      <c r="B1193">
        <f>PedBerAfspr!$B$12</f>
        <v>0</v>
      </c>
    </row>
    <row r="1194" spans="1:2" x14ac:dyDescent="0.35">
      <c r="A1194" s="383" t="s">
        <v>2528</v>
      </c>
      <c r="B1194">
        <f>PedBerAfspr!$F$17</f>
        <v>0</v>
      </c>
    </row>
    <row r="1195" spans="1:2" x14ac:dyDescent="0.35">
      <c r="A1195" s="383" t="s">
        <v>2529</v>
      </c>
      <c r="B1195">
        <f>PedBerAfspr!$C$9</f>
        <v>0</v>
      </c>
    </row>
    <row r="1196" spans="1:2" x14ac:dyDescent="0.35">
      <c r="A1196" s="383" t="s">
        <v>2530</v>
      </c>
      <c r="B1196">
        <f>PedBerAfspr!$D$9</f>
        <v>0</v>
      </c>
    </row>
    <row r="1197" spans="1:2" x14ac:dyDescent="0.35">
      <c r="A1197" s="383" t="s">
        <v>2531</v>
      </c>
      <c r="B1197">
        <f>PedBerAfspr!$D$29</f>
        <v>0</v>
      </c>
    </row>
    <row r="1198" spans="1:2" x14ac:dyDescent="0.35">
      <c r="A1198" s="383" t="s">
        <v>2532</v>
      </c>
      <c r="B1198">
        <f>PedBerAfspr!$D$27</f>
        <v>0</v>
      </c>
    </row>
    <row r="1199" spans="1:2" x14ac:dyDescent="0.35">
      <c r="A1199" s="383" t="s">
        <v>2533</v>
      </c>
      <c r="B1199">
        <f>PedBerAfspr!$D$28</f>
        <v>0</v>
      </c>
    </row>
    <row r="1200" spans="1:2" x14ac:dyDescent="0.35">
      <c r="A1200" s="383" t="s">
        <v>2534</v>
      </c>
      <c r="B1200">
        <f>PedBerAfspr!$D$32</f>
        <v>0</v>
      </c>
    </row>
    <row r="1201" spans="1:3" x14ac:dyDescent="0.35">
      <c r="A1201" s="383" t="s">
        <v>2535</v>
      </c>
      <c r="B1201">
        <f>PedBerAfspr!$D$30</f>
        <v>0</v>
      </c>
    </row>
    <row r="1202" spans="1:3" x14ac:dyDescent="0.35">
      <c r="A1202" s="383" t="s">
        <v>2536</v>
      </c>
      <c r="B1202">
        <f>PedBerAfspr!$D$31</f>
        <v>0</v>
      </c>
    </row>
    <row r="1203" spans="1:3" x14ac:dyDescent="0.35">
      <c r="A1203" s="383" t="s">
        <v>2537</v>
      </c>
      <c r="B1203">
        <f>PedBerAfspr!$D$35</f>
        <v>0</v>
      </c>
    </row>
    <row r="1204" spans="1:3" x14ac:dyDescent="0.35">
      <c r="A1204" s="383" t="s">
        <v>2538</v>
      </c>
      <c r="B1204">
        <f>PedBerAfspr!$D$33</f>
        <v>0</v>
      </c>
    </row>
    <row r="1205" spans="1:3" x14ac:dyDescent="0.35">
      <c r="A1205" s="383" t="s">
        <v>2539</v>
      </c>
      <c r="B1205">
        <f>PedBerAfspr!$D$34</f>
        <v>0</v>
      </c>
    </row>
    <row r="1206" spans="1:3" x14ac:dyDescent="0.35">
      <c r="A1206" s="383" t="s">
        <v>3702</v>
      </c>
      <c r="B1206">
        <f>PedBerAfspr!$H$18</f>
        <v>0</v>
      </c>
    </row>
    <row r="1207" spans="1:3" x14ac:dyDescent="0.35">
      <c r="A1207" s="383" t="s">
        <v>2540</v>
      </c>
      <c r="B1207">
        <f>PedBerAfspr!$H$18</f>
        <v>0</v>
      </c>
    </row>
    <row r="1208" spans="1:3" x14ac:dyDescent="0.35">
      <c r="A1208" s="383" t="s">
        <v>2541</v>
      </c>
      <c r="B1208">
        <f>PedBerAfspr!$G$18</f>
        <v>0</v>
      </c>
    </row>
    <row r="1209" spans="1:3" x14ac:dyDescent="0.35">
      <c r="A1209" s="383" t="s">
        <v>2356</v>
      </c>
      <c r="B1209">
        <f>PedBerAfspr!$F$17</f>
        <v>0</v>
      </c>
    </row>
    <row r="1210" spans="1:3" x14ac:dyDescent="0.35">
      <c r="A1210" s="383" t="s">
        <v>3703</v>
      </c>
      <c r="B1210">
        <f>PedBerEnt!$J$2</f>
        <v>1</v>
      </c>
      <c r="C1210">
        <v>1</v>
      </c>
    </row>
    <row r="1211" spans="1:3" x14ac:dyDescent="0.35">
      <c r="A1211" s="383" t="s">
        <v>3704</v>
      </c>
      <c r="B1211">
        <f>PedBerEnt!$J$3</f>
        <v>0</v>
      </c>
    </row>
    <row r="1212" spans="1:3" x14ac:dyDescent="0.35">
      <c r="A1212" s="383" t="s">
        <v>3705</v>
      </c>
      <c r="B1212">
        <f>PedBerEnt!$J$4</f>
        <v>0</v>
      </c>
    </row>
    <row r="1213" spans="1:3" x14ac:dyDescent="0.35">
      <c r="A1213" s="383" t="s">
        <v>3706</v>
      </c>
      <c r="B1213">
        <f>PedBerEnt!$J$5</f>
        <v>0</v>
      </c>
    </row>
    <row r="1214" spans="1:3" x14ac:dyDescent="0.35">
      <c r="A1214" s="383" t="s">
        <v>3707</v>
      </c>
      <c r="B1214">
        <f>PedBerEnt!$N$2</f>
        <v>1</v>
      </c>
      <c r="C1214">
        <v>1</v>
      </c>
    </row>
    <row r="1215" spans="1:3" x14ac:dyDescent="0.35">
      <c r="A1215" s="383" t="s">
        <v>3708</v>
      </c>
      <c r="B1215">
        <f>PedBerEnt!$N$3</f>
        <v>0</v>
      </c>
    </row>
    <row r="1216" spans="1:3" x14ac:dyDescent="0.35">
      <c r="A1216" s="383" t="s">
        <v>3709</v>
      </c>
      <c r="B1216">
        <f>PedBerEnt!$N$4</f>
        <v>0</v>
      </c>
    </row>
    <row r="1217" spans="1:3" x14ac:dyDescent="0.35">
      <c r="A1217" s="383" t="s">
        <v>3710</v>
      </c>
      <c r="B1217">
        <f>PedBerEnt!$N$5</f>
        <v>0</v>
      </c>
    </row>
    <row r="1218" spans="1:3" x14ac:dyDescent="0.35">
      <c r="A1218" s="383" t="s">
        <v>3711</v>
      </c>
      <c r="B1218">
        <f>GlobBerOpm!$C$6</f>
        <v>0</v>
      </c>
    </row>
    <row r="1219" spans="1:3" x14ac:dyDescent="0.35">
      <c r="A1219" s="383" t="s">
        <v>3712</v>
      </c>
      <c r="B1219">
        <f>PedBerEnt!$O$2</f>
        <v>1</v>
      </c>
      <c r="C1219">
        <v>1</v>
      </c>
    </row>
    <row r="1220" spans="1:3" x14ac:dyDescent="0.35">
      <c r="A1220" s="383" t="s">
        <v>3713</v>
      </c>
      <c r="B1220">
        <f>PedBerEnt!$H$2</f>
        <v>0</v>
      </c>
    </row>
    <row r="1221" spans="1:3" x14ac:dyDescent="0.35">
      <c r="A1221" s="383" t="s">
        <v>3714</v>
      </c>
      <c r="B1221">
        <f>PedBerEnt!$H$3</f>
        <v>0</v>
      </c>
    </row>
    <row r="1222" spans="1:3" x14ac:dyDescent="0.35">
      <c r="A1222" s="383" t="s">
        <v>3715</v>
      </c>
      <c r="B1222">
        <f>PedBerEnt!$H$4</f>
        <v>0</v>
      </c>
    </row>
    <row r="1223" spans="1:3" x14ac:dyDescent="0.35">
      <c r="A1223" s="383" t="s">
        <v>3716</v>
      </c>
      <c r="B1223">
        <f>PedBerEnt!$H$5</f>
        <v>0</v>
      </c>
    </row>
    <row r="1224" spans="1:3" x14ac:dyDescent="0.35">
      <c r="A1224" s="383" t="s">
        <v>3717</v>
      </c>
      <c r="B1224">
        <f>PedBerEnt!$H$6</f>
        <v>0</v>
      </c>
    </row>
    <row r="1225" spans="1:3" x14ac:dyDescent="0.35">
      <c r="A1225" s="383" t="s">
        <v>3718</v>
      </c>
      <c r="B1225">
        <f>PedBerEnt!$H$7</f>
        <v>0</v>
      </c>
    </row>
    <row r="1226" spans="1:3" x14ac:dyDescent="0.35">
      <c r="A1226" s="383" t="s">
        <v>3719</v>
      </c>
      <c r="B1226">
        <f>PedBerEnt!$H$8</f>
        <v>0</v>
      </c>
    </row>
    <row r="1227" spans="1:3" x14ac:dyDescent="0.35">
      <c r="A1227" s="383" t="s">
        <v>3720</v>
      </c>
      <c r="B1227">
        <f>PedBerEnt!$H$9</f>
        <v>0</v>
      </c>
    </row>
    <row r="1228" spans="1:3" x14ac:dyDescent="0.35">
      <c r="A1228" s="383" t="s">
        <v>3721</v>
      </c>
      <c r="B1228">
        <f>PedBerEnt!$H$10</f>
        <v>0</v>
      </c>
    </row>
    <row r="1229" spans="1:3" x14ac:dyDescent="0.35">
      <c r="A1229" s="383" t="s">
        <v>3722</v>
      </c>
      <c r="B1229">
        <f>PedBerEnt!$H$11</f>
        <v>0</v>
      </c>
    </row>
    <row r="1230" spans="1:3" x14ac:dyDescent="0.35">
      <c r="A1230" s="383" t="s">
        <v>3723</v>
      </c>
      <c r="B1230">
        <f>PedBerEnt!$H$12</f>
        <v>0</v>
      </c>
    </row>
    <row r="1231" spans="1:3" x14ac:dyDescent="0.35">
      <c r="A1231" s="383" t="s">
        <v>3724</v>
      </c>
      <c r="B1231">
        <f>PedBerEnt!$H$13</f>
        <v>0</v>
      </c>
    </row>
    <row r="1232" spans="1:3" x14ac:dyDescent="0.35">
      <c r="A1232" s="383" t="s">
        <v>3725</v>
      </c>
      <c r="B1232">
        <f>PedBerEnt!$K$2</f>
        <v>0</v>
      </c>
      <c r="C1232">
        <v>0</v>
      </c>
    </row>
    <row r="1233" spans="1:3" x14ac:dyDescent="0.35">
      <c r="A1233" s="383" t="s">
        <v>3726</v>
      </c>
      <c r="B1233">
        <f>PedBerEnt!$K$3</f>
        <v>0</v>
      </c>
    </row>
    <row r="1234" spans="1:3" x14ac:dyDescent="0.35">
      <c r="A1234" s="383" t="s">
        <v>3727</v>
      </c>
      <c r="B1234">
        <f>PedBerEnt!$K$4</f>
        <v>0</v>
      </c>
    </row>
    <row r="1235" spans="1:3" x14ac:dyDescent="0.35">
      <c r="A1235" s="383" t="s">
        <v>3728</v>
      </c>
      <c r="B1235">
        <f>PedBerEnt!$K$5</f>
        <v>0</v>
      </c>
    </row>
    <row r="1236" spans="1:3" x14ac:dyDescent="0.35">
      <c r="A1236" s="383" t="s">
        <v>1228</v>
      </c>
      <c r="B1236">
        <f>PedBerIVenPM!$B$2</f>
        <v>1</v>
      </c>
      <c r="C1236">
        <v>1</v>
      </c>
    </row>
    <row r="1237" spans="1:3" x14ac:dyDescent="0.35">
      <c r="A1237" s="383" t="s">
        <v>1229</v>
      </c>
      <c r="B1237">
        <f>PedBerIVenPM!$B$3</f>
        <v>1</v>
      </c>
      <c r="C1237">
        <v>1</v>
      </c>
    </row>
    <row r="1238" spans="1:3" x14ac:dyDescent="0.35">
      <c r="A1238" s="383" t="s">
        <v>1230</v>
      </c>
      <c r="B1238">
        <f>PedBerIVenPM!$B$4</f>
        <v>1</v>
      </c>
      <c r="C1238">
        <v>1</v>
      </c>
    </row>
    <row r="1239" spans="1:3" x14ac:dyDescent="0.35">
      <c r="A1239" s="383" t="s">
        <v>1231</v>
      </c>
      <c r="B1239">
        <f>PedBerIVenPM!$B$5</f>
        <v>1</v>
      </c>
      <c r="C1239">
        <v>1</v>
      </c>
    </row>
    <row r="1240" spans="1:3" x14ac:dyDescent="0.35">
      <c r="A1240" s="383" t="s">
        <v>1232</v>
      </c>
      <c r="B1240">
        <f>PedBerIVenPM!$B$6</f>
        <v>1</v>
      </c>
      <c r="C1240">
        <v>1</v>
      </c>
    </row>
    <row r="1241" spans="1:3" x14ac:dyDescent="0.35">
      <c r="A1241" s="383" t="s">
        <v>1233</v>
      </c>
      <c r="B1241">
        <f>PedBerIVenPM!$B$7</f>
        <v>1</v>
      </c>
      <c r="C1241">
        <v>1</v>
      </c>
    </row>
    <row r="1242" spans="1:3" x14ac:dyDescent="0.35">
      <c r="A1242" s="383" t="s">
        <v>3729</v>
      </c>
      <c r="B1242">
        <f>GlobBerOpm!$C$2</f>
        <v>0</v>
      </c>
    </row>
    <row r="1243" spans="1:3" x14ac:dyDescent="0.35">
      <c r="A1243" s="383" t="s">
        <v>3730</v>
      </c>
      <c r="B1243">
        <f>PedBerLab!$E$4</f>
        <v>0</v>
      </c>
    </row>
    <row r="1244" spans="1:3" x14ac:dyDescent="0.35">
      <c r="A1244" s="383" t="s">
        <v>3731</v>
      </c>
      <c r="B1244">
        <f>PedBerLab!$E$5</f>
        <v>0</v>
      </c>
    </row>
    <row r="1245" spans="1:3" x14ac:dyDescent="0.35">
      <c r="A1245" s="383" t="s">
        <v>3732</v>
      </c>
      <c r="B1245">
        <f>PedBerLab!$E$6</f>
        <v>0</v>
      </c>
    </row>
    <row r="1246" spans="1:3" x14ac:dyDescent="0.35">
      <c r="A1246" s="383" t="s">
        <v>3733</v>
      </c>
      <c r="B1246">
        <f>PedBerLab!$E$7</f>
        <v>0</v>
      </c>
    </row>
    <row r="1247" spans="1:3" x14ac:dyDescent="0.35">
      <c r="A1247" s="383" t="s">
        <v>3734</v>
      </c>
      <c r="B1247">
        <f>PedBerLab!$E$8</f>
        <v>0</v>
      </c>
    </row>
    <row r="1248" spans="1:3" x14ac:dyDescent="0.35">
      <c r="A1248" s="383" t="s">
        <v>3735</v>
      </c>
      <c r="B1248">
        <f>PedBerLab!$E$9</f>
        <v>0</v>
      </c>
    </row>
    <row r="1249" spans="1:2" x14ac:dyDescent="0.35">
      <c r="A1249" s="383" t="s">
        <v>3736</v>
      </c>
      <c r="B1249">
        <f>PedBerLab!$E$10</f>
        <v>0</v>
      </c>
    </row>
    <row r="1250" spans="1:2" x14ac:dyDescent="0.35">
      <c r="A1250" s="383" t="s">
        <v>3737</v>
      </c>
      <c r="B1250">
        <f>PedBerLab!$E$11</f>
        <v>0</v>
      </c>
    </row>
    <row r="1251" spans="1:2" x14ac:dyDescent="0.35">
      <c r="A1251" s="383" t="s">
        <v>3738</v>
      </c>
      <c r="B1251">
        <f>PedBerLab!$E$12</f>
        <v>0</v>
      </c>
    </row>
    <row r="1252" spans="1:2" x14ac:dyDescent="0.35">
      <c r="A1252" s="383" t="s">
        <v>3739</v>
      </c>
      <c r="B1252">
        <f>PedBerLab!$E$13</f>
        <v>0</v>
      </c>
    </row>
    <row r="1253" spans="1:2" x14ac:dyDescent="0.35">
      <c r="A1253" s="383" t="s">
        <v>3740</v>
      </c>
      <c r="B1253">
        <f>PedBerLab!$E$14</f>
        <v>0</v>
      </c>
    </row>
    <row r="1254" spans="1:2" x14ac:dyDescent="0.35">
      <c r="A1254" s="383" t="s">
        <v>3741</v>
      </c>
      <c r="B1254">
        <f>PedBerLab!$E$15</f>
        <v>0</v>
      </c>
    </row>
    <row r="1255" spans="1:2" x14ac:dyDescent="0.35">
      <c r="A1255" s="383" t="s">
        <v>3742</v>
      </c>
      <c r="B1255">
        <f>PedBerLab!$E$16</f>
        <v>0</v>
      </c>
    </row>
    <row r="1256" spans="1:2" x14ac:dyDescent="0.35">
      <c r="A1256" s="383" t="s">
        <v>3743</v>
      </c>
      <c r="B1256">
        <f>PedBerLab!$E$17</f>
        <v>0</v>
      </c>
    </row>
    <row r="1257" spans="1:2" x14ac:dyDescent="0.35">
      <c r="A1257" s="383" t="s">
        <v>3744</v>
      </c>
      <c r="B1257">
        <f>PedBerLab!$E$18</f>
        <v>0</v>
      </c>
    </row>
    <row r="1258" spans="1:2" x14ac:dyDescent="0.35">
      <c r="A1258" s="383" t="s">
        <v>3745</v>
      </c>
      <c r="B1258">
        <f>PedBerLab!$E$19</f>
        <v>0</v>
      </c>
    </row>
    <row r="1259" spans="1:2" x14ac:dyDescent="0.35">
      <c r="A1259" s="383" t="s">
        <v>3746</v>
      </c>
      <c r="B1259">
        <f>PedBerLab!$E$20</f>
        <v>0</v>
      </c>
    </row>
    <row r="1260" spans="1:2" x14ac:dyDescent="0.35">
      <c r="A1260" s="383" t="s">
        <v>3747</v>
      </c>
      <c r="B1260">
        <f>PedBerLab!$E$21</f>
        <v>0</v>
      </c>
    </row>
    <row r="1261" spans="1:2" x14ac:dyDescent="0.35">
      <c r="A1261" s="383" t="s">
        <v>3748</v>
      </c>
      <c r="B1261">
        <f>PedBerLab!$E$22</f>
        <v>0</v>
      </c>
    </row>
    <row r="1262" spans="1:2" x14ac:dyDescent="0.35">
      <c r="A1262" s="383" t="s">
        <v>3749</v>
      </c>
      <c r="B1262">
        <f>PedBerLab!$E$23</f>
        <v>0</v>
      </c>
    </row>
    <row r="1263" spans="1:2" x14ac:dyDescent="0.35">
      <c r="A1263" s="383" t="s">
        <v>3750</v>
      </c>
      <c r="B1263">
        <f>PedBerLab!$E$24</f>
        <v>0</v>
      </c>
    </row>
    <row r="1264" spans="1:2" x14ac:dyDescent="0.35">
      <c r="A1264" s="383" t="s">
        <v>3751</v>
      </c>
      <c r="B1264">
        <f>PedBerLab!$E$25</f>
        <v>0</v>
      </c>
    </row>
    <row r="1265" spans="1:2" x14ac:dyDescent="0.35">
      <c r="A1265" s="383" t="s">
        <v>3752</v>
      </c>
      <c r="B1265">
        <f>PedBerLab!$E$26</f>
        <v>0</v>
      </c>
    </row>
    <row r="1266" spans="1:2" x14ac:dyDescent="0.35">
      <c r="A1266" s="383" t="s">
        <v>3753</v>
      </c>
      <c r="B1266">
        <f>PedBerLab!$E$27</f>
        <v>0</v>
      </c>
    </row>
    <row r="1267" spans="1:2" x14ac:dyDescent="0.35">
      <c r="A1267" s="383" t="s">
        <v>3754</v>
      </c>
      <c r="B1267">
        <f>PedBerLab!$E$28</f>
        <v>0</v>
      </c>
    </row>
    <row r="1268" spans="1:2" x14ac:dyDescent="0.35">
      <c r="A1268" s="383" t="s">
        <v>3755</v>
      </c>
      <c r="B1268">
        <f>PedBerLab!$E$29</f>
        <v>0</v>
      </c>
    </row>
    <row r="1269" spans="1:2" x14ac:dyDescent="0.35">
      <c r="A1269" s="383" t="s">
        <v>3756</v>
      </c>
      <c r="B1269">
        <f>PedBerLab!$E$30</f>
        <v>0</v>
      </c>
    </row>
    <row r="1270" spans="1:2" x14ac:dyDescent="0.35">
      <c r="A1270" s="383" t="s">
        <v>3757</v>
      </c>
      <c r="B1270">
        <f>PedBerLab!$E$31</f>
        <v>0</v>
      </c>
    </row>
    <row r="1271" spans="1:2" x14ac:dyDescent="0.35">
      <c r="A1271" s="383" t="s">
        <v>3758</v>
      </c>
      <c r="B1271">
        <f>PedBerLab!$E$32</f>
        <v>0</v>
      </c>
    </row>
    <row r="1272" spans="1:2" x14ac:dyDescent="0.35">
      <c r="A1272" s="383" t="s">
        <v>3759</v>
      </c>
      <c r="B1272">
        <f>PedBerLab!$E$33</f>
        <v>0</v>
      </c>
    </row>
    <row r="1273" spans="1:2" x14ac:dyDescent="0.35">
      <c r="A1273" s="383" t="s">
        <v>3760</v>
      </c>
      <c r="B1273">
        <f>PedBerLab!$E$34</f>
        <v>0</v>
      </c>
    </row>
    <row r="1274" spans="1:2" x14ac:dyDescent="0.35">
      <c r="A1274" s="383" t="s">
        <v>3761</v>
      </c>
      <c r="B1274">
        <f>PedBerLab!$G$4</f>
        <v>0</v>
      </c>
    </row>
    <row r="1275" spans="1:2" x14ac:dyDescent="0.35">
      <c r="A1275" s="383" t="s">
        <v>3762</v>
      </c>
      <c r="B1275">
        <f>PedBerLab!$G$5</f>
        <v>0</v>
      </c>
    </row>
    <row r="1276" spans="1:2" x14ac:dyDescent="0.35">
      <c r="A1276" s="383" t="s">
        <v>3763</v>
      </c>
      <c r="B1276">
        <f>PedBerLab!$G$6</f>
        <v>0</v>
      </c>
    </row>
    <row r="1277" spans="1:2" x14ac:dyDescent="0.35">
      <c r="A1277" s="383" t="s">
        <v>3764</v>
      </c>
      <c r="B1277">
        <f>PedBerLab!$G$7</f>
        <v>0</v>
      </c>
    </row>
    <row r="1278" spans="1:2" x14ac:dyDescent="0.35">
      <c r="A1278" s="383" t="s">
        <v>3765</v>
      </c>
      <c r="B1278">
        <f>PedBerLab!$G$8</f>
        <v>0</v>
      </c>
    </row>
    <row r="1279" spans="1:2" x14ac:dyDescent="0.35">
      <c r="A1279" s="383" t="s">
        <v>3766</v>
      </c>
      <c r="B1279">
        <f>PedBerLab!$G$9</f>
        <v>0</v>
      </c>
    </row>
    <row r="1280" spans="1:2" x14ac:dyDescent="0.35">
      <c r="A1280" s="383" t="s">
        <v>3767</v>
      </c>
      <c r="B1280">
        <f>PedBerLab!$G$10</f>
        <v>0</v>
      </c>
    </row>
    <row r="1281" spans="1:2" x14ac:dyDescent="0.35">
      <c r="A1281" s="383" t="s">
        <v>3768</v>
      </c>
      <c r="B1281">
        <f>PedBerLab!$G$11</f>
        <v>0</v>
      </c>
    </row>
    <row r="1282" spans="1:2" x14ac:dyDescent="0.35">
      <c r="A1282" s="383" t="s">
        <v>3769</v>
      </c>
      <c r="B1282">
        <f>PedBerLab!$G$12</f>
        <v>0</v>
      </c>
    </row>
    <row r="1283" spans="1:2" x14ac:dyDescent="0.35">
      <c r="A1283" s="383" t="s">
        <v>3770</v>
      </c>
      <c r="B1283">
        <f>PedBerLab!$G$13</f>
        <v>0</v>
      </c>
    </row>
    <row r="1284" spans="1:2" x14ac:dyDescent="0.35">
      <c r="A1284" s="383" t="s">
        <v>3771</v>
      </c>
      <c r="B1284">
        <f>PedBerLab!$G$14</f>
        <v>0</v>
      </c>
    </row>
    <row r="1285" spans="1:2" x14ac:dyDescent="0.35">
      <c r="A1285" s="383" t="s">
        <v>3772</v>
      </c>
      <c r="B1285">
        <f>PedBerLab!$G$15</f>
        <v>0</v>
      </c>
    </row>
    <row r="1286" spans="1:2" x14ac:dyDescent="0.35">
      <c r="A1286" s="383" t="s">
        <v>3773</v>
      </c>
      <c r="B1286">
        <f>PedBerLab!$G$16</f>
        <v>0</v>
      </c>
    </row>
    <row r="1287" spans="1:2" x14ac:dyDescent="0.35">
      <c r="A1287" s="383" t="s">
        <v>3774</v>
      </c>
      <c r="B1287">
        <f>PedBerLab!$G$17</f>
        <v>0</v>
      </c>
    </row>
    <row r="1288" spans="1:2" x14ac:dyDescent="0.35">
      <c r="A1288" s="383" t="s">
        <v>3775</v>
      </c>
      <c r="B1288">
        <f>PedBerLab!$G$18</f>
        <v>0</v>
      </c>
    </row>
    <row r="1289" spans="1:2" x14ac:dyDescent="0.35">
      <c r="A1289" s="383" t="s">
        <v>3776</v>
      </c>
      <c r="B1289">
        <f>PedBerLab!$G$19</f>
        <v>0</v>
      </c>
    </row>
    <row r="1290" spans="1:2" x14ac:dyDescent="0.35">
      <c r="A1290" s="383" t="s">
        <v>3777</v>
      </c>
      <c r="B1290">
        <f>PedBerLab!$G$20</f>
        <v>0</v>
      </c>
    </row>
    <row r="1291" spans="1:2" x14ac:dyDescent="0.35">
      <c r="A1291" s="383" t="s">
        <v>3778</v>
      </c>
      <c r="B1291">
        <f>PedBerLab!$G$21</f>
        <v>0</v>
      </c>
    </row>
    <row r="1292" spans="1:2" x14ac:dyDescent="0.35">
      <c r="A1292" s="383" t="s">
        <v>3779</v>
      </c>
      <c r="B1292">
        <f>PedBerLab!$G$22</f>
        <v>0</v>
      </c>
    </row>
    <row r="1293" spans="1:2" x14ac:dyDescent="0.35">
      <c r="A1293" s="383" t="s">
        <v>3780</v>
      </c>
      <c r="B1293">
        <f>PedBerLab!$G$23</f>
        <v>0</v>
      </c>
    </row>
    <row r="1294" spans="1:2" x14ac:dyDescent="0.35">
      <c r="A1294" s="383" t="s">
        <v>3781</v>
      </c>
      <c r="B1294">
        <f>PedBerLab!$G$24</f>
        <v>0</v>
      </c>
    </row>
    <row r="1295" spans="1:2" x14ac:dyDescent="0.35">
      <c r="A1295" s="383" t="s">
        <v>3782</v>
      </c>
      <c r="B1295">
        <f>PedBerLab!$G$25</f>
        <v>0</v>
      </c>
    </row>
    <row r="1296" spans="1:2" x14ac:dyDescent="0.35">
      <c r="A1296" s="383" t="s">
        <v>3783</v>
      </c>
      <c r="B1296">
        <f>PedBerLab!$G$26</f>
        <v>0</v>
      </c>
    </row>
    <row r="1297" spans="1:2" x14ac:dyDescent="0.35">
      <c r="A1297" s="383" t="s">
        <v>3784</v>
      </c>
      <c r="B1297">
        <f>PedBerLab!$G$27</f>
        <v>0</v>
      </c>
    </row>
    <row r="1298" spans="1:2" x14ac:dyDescent="0.35">
      <c r="A1298" s="383" t="s">
        <v>3785</v>
      </c>
      <c r="B1298">
        <f>PedBerLab!$G$28</f>
        <v>0</v>
      </c>
    </row>
    <row r="1299" spans="1:2" x14ac:dyDescent="0.35">
      <c r="A1299" s="383" t="s">
        <v>3786</v>
      </c>
      <c r="B1299">
        <f>PedBerLab!$G$29</f>
        <v>0</v>
      </c>
    </row>
    <row r="1300" spans="1:2" x14ac:dyDescent="0.35">
      <c r="A1300" s="383" t="s">
        <v>3787</v>
      </c>
      <c r="B1300">
        <f>PedBerLab!$G$30</f>
        <v>0</v>
      </c>
    </row>
    <row r="1301" spans="1:2" x14ac:dyDescent="0.35">
      <c r="A1301" s="383" t="s">
        <v>3788</v>
      </c>
      <c r="B1301">
        <f>PedBerLab!$G$31</f>
        <v>0</v>
      </c>
    </row>
    <row r="1302" spans="1:2" x14ac:dyDescent="0.35">
      <c r="A1302" s="383" t="s">
        <v>3789</v>
      </c>
      <c r="B1302">
        <f>PedBerLab!$G$32</f>
        <v>0</v>
      </c>
    </row>
    <row r="1303" spans="1:2" x14ac:dyDescent="0.35">
      <c r="A1303" s="383" t="s">
        <v>3790</v>
      </c>
      <c r="B1303">
        <f>PedBerLab!$G$33</f>
        <v>0</v>
      </c>
    </row>
    <row r="1304" spans="1:2" x14ac:dyDescent="0.35">
      <c r="A1304" s="383" t="s">
        <v>3791</v>
      </c>
      <c r="B1304">
        <f>PedBerLab!$G$34</f>
        <v>0</v>
      </c>
    </row>
    <row r="1305" spans="1:2" x14ac:dyDescent="0.35">
      <c r="A1305" s="383" t="s">
        <v>3792</v>
      </c>
      <c r="B1305">
        <f>PedBerLab!$G$35</f>
        <v>0</v>
      </c>
    </row>
    <row r="1306" spans="1:2" x14ac:dyDescent="0.35">
      <c r="A1306" s="383" t="s">
        <v>3793</v>
      </c>
      <c r="B1306">
        <f>PedBerLab!$I$4</f>
        <v>0</v>
      </c>
    </row>
    <row r="1307" spans="1:2" x14ac:dyDescent="0.35">
      <c r="A1307" s="383" t="s">
        <v>3794</v>
      </c>
      <c r="B1307">
        <f>PedBerLab!$I$5</f>
        <v>0</v>
      </c>
    </row>
    <row r="1308" spans="1:2" x14ac:dyDescent="0.35">
      <c r="A1308" s="383" t="s">
        <v>3795</v>
      </c>
      <c r="B1308">
        <f>PedBerLab!$I$6</f>
        <v>0</v>
      </c>
    </row>
    <row r="1309" spans="1:2" x14ac:dyDescent="0.35">
      <c r="A1309" s="383" t="s">
        <v>3796</v>
      </c>
      <c r="B1309">
        <f>PedBerLab!$I$7</f>
        <v>0</v>
      </c>
    </row>
    <row r="1310" spans="1:2" x14ac:dyDescent="0.35">
      <c r="A1310" s="383" t="s">
        <v>3797</v>
      </c>
      <c r="B1310">
        <f>PedBerLab!$I$8</f>
        <v>0</v>
      </c>
    </row>
    <row r="1311" spans="1:2" x14ac:dyDescent="0.35">
      <c r="A1311" s="383" t="s">
        <v>3798</v>
      </c>
      <c r="B1311">
        <f>PedBerLab!$I$9</f>
        <v>0</v>
      </c>
    </row>
    <row r="1312" spans="1:2" x14ac:dyDescent="0.35">
      <c r="A1312" s="383" t="s">
        <v>3799</v>
      </c>
      <c r="B1312">
        <f>PedBerLab!$I$10</f>
        <v>0</v>
      </c>
    </row>
    <row r="1313" spans="1:2" x14ac:dyDescent="0.35">
      <c r="A1313" s="383" t="s">
        <v>3800</v>
      </c>
      <c r="B1313">
        <f>PedBerLab!$I$11</f>
        <v>0</v>
      </c>
    </row>
    <row r="1314" spans="1:2" x14ac:dyDescent="0.35">
      <c r="A1314" s="383" t="s">
        <v>3801</v>
      </c>
      <c r="B1314">
        <f>PedBerLab!$I$12</f>
        <v>0</v>
      </c>
    </row>
    <row r="1315" spans="1:2" x14ac:dyDescent="0.35">
      <c r="A1315" s="383" t="s">
        <v>3802</v>
      </c>
      <c r="B1315">
        <f>PedBerLab!$I$13</f>
        <v>0</v>
      </c>
    </row>
    <row r="1316" spans="1:2" x14ac:dyDescent="0.35">
      <c r="A1316" s="383" t="s">
        <v>3803</v>
      </c>
      <c r="B1316">
        <f>PedBerLab!$I$14</f>
        <v>0</v>
      </c>
    </row>
    <row r="1317" spans="1:2" x14ac:dyDescent="0.35">
      <c r="A1317" s="383" t="s">
        <v>3804</v>
      </c>
      <c r="B1317">
        <f>PedBerLab!$I$15</f>
        <v>0</v>
      </c>
    </row>
    <row r="1318" spans="1:2" x14ac:dyDescent="0.35">
      <c r="A1318" s="383" t="s">
        <v>3805</v>
      </c>
      <c r="B1318">
        <f>PedBerLab!$I$16</f>
        <v>0</v>
      </c>
    </row>
    <row r="1319" spans="1:2" x14ac:dyDescent="0.35">
      <c r="A1319" s="383" t="s">
        <v>3806</v>
      </c>
      <c r="B1319">
        <f>PedBerLab!$I$17</f>
        <v>0</v>
      </c>
    </row>
    <row r="1320" spans="1:2" x14ac:dyDescent="0.35">
      <c r="A1320" s="383" t="s">
        <v>3807</v>
      </c>
      <c r="B1320">
        <f>PedBerLab!$I$18</f>
        <v>0</v>
      </c>
    </row>
    <row r="1321" spans="1:2" x14ac:dyDescent="0.35">
      <c r="A1321" s="383" t="s">
        <v>3808</v>
      </c>
      <c r="B1321">
        <f>PedBerLab!$I$19</f>
        <v>0</v>
      </c>
    </row>
    <row r="1322" spans="1:2" x14ac:dyDescent="0.35">
      <c r="A1322" s="383" t="s">
        <v>3809</v>
      </c>
      <c r="B1322">
        <f>PedBerLab!$I$20</f>
        <v>0</v>
      </c>
    </row>
    <row r="1323" spans="1:2" x14ac:dyDescent="0.35">
      <c r="A1323" s="383" t="s">
        <v>3810</v>
      </c>
      <c r="B1323">
        <f>PedBerLab!$I$21</f>
        <v>0</v>
      </c>
    </row>
    <row r="1324" spans="1:2" x14ac:dyDescent="0.35">
      <c r="A1324" s="383" t="s">
        <v>3811</v>
      </c>
      <c r="B1324">
        <f>PedBerLab!$I$22</f>
        <v>0</v>
      </c>
    </row>
    <row r="1325" spans="1:2" x14ac:dyDescent="0.35">
      <c r="A1325" s="383" t="s">
        <v>3812</v>
      </c>
      <c r="B1325">
        <f>PedBerLab!$I$23</f>
        <v>0</v>
      </c>
    </row>
    <row r="1326" spans="1:2" x14ac:dyDescent="0.35">
      <c r="A1326" s="383" t="s">
        <v>3813</v>
      </c>
      <c r="B1326">
        <f>PedBerLab!$I$24</f>
        <v>0</v>
      </c>
    </row>
    <row r="1327" spans="1:2" x14ac:dyDescent="0.35">
      <c r="A1327" s="383" t="s">
        <v>3814</v>
      </c>
      <c r="B1327">
        <f>PedBerLab!$I$25</f>
        <v>0</v>
      </c>
    </row>
    <row r="1328" spans="1:2" x14ac:dyDescent="0.35">
      <c r="A1328" s="383" t="s">
        <v>3815</v>
      </c>
      <c r="B1328">
        <f>PedBerLab!$I$26</f>
        <v>0</v>
      </c>
    </row>
    <row r="1329" spans="1:2" x14ac:dyDescent="0.35">
      <c r="A1329" s="383" t="s">
        <v>3816</v>
      </c>
      <c r="B1329">
        <f>PedBerLab!$I$27</f>
        <v>0</v>
      </c>
    </row>
    <row r="1330" spans="1:2" x14ac:dyDescent="0.35">
      <c r="A1330" s="383" t="s">
        <v>3817</v>
      </c>
      <c r="B1330">
        <f>PedBerLab!$I$28</f>
        <v>0</v>
      </c>
    </row>
    <row r="1331" spans="1:2" x14ac:dyDescent="0.35">
      <c r="A1331" s="383" t="s">
        <v>3818</v>
      </c>
      <c r="B1331">
        <f>PedBerLab!$I$29</f>
        <v>0</v>
      </c>
    </row>
    <row r="1332" spans="1:2" x14ac:dyDescent="0.35">
      <c r="A1332" s="383" t="s">
        <v>3819</v>
      </c>
      <c r="B1332">
        <f>PedBerLab!$I$30</f>
        <v>0</v>
      </c>
    </row>
    <row r="1333" spans="1:2" x14ac:dyDescent="0.35">
      <c r="A1333" s="383" t="s">
        <v>3820</v>
      </c>
      <c r="B1333">
        <f>PedBerLab!$I$31</f>
        <v>0</v>
      </c>
    </row>
    <row r="1334" spans="1:2" x14ac:dyDescent="0.35">
      <c r="A1334" s="383" t="s">
        <v>3821</v>
      </c>
      <c r="B1334">
        <f>PedBerLab!$I$32</f>
        <v>0</v>
      </c>
    </row>
    <row r="1335" spans="1:2" x14ac:dyDescent="0.35">
      <c r="A1335" s="383" t="s">
        <v>3822</v>
      </c>
      <c r="B1335">
        <f>PedBerLab!$I$33</f>
        <v>0</v>
      </c>
    </row>
    <row r="1336" spans="1:2" x14ac:dyDescent="0.35">
      <c r="A1336" s="383" t="s">
        <v>3823</v>
      </c>
      <c r="B1336">
        <f>PedBerLab!$I$34</f>
        <v>0</v>
      </c>
    </row>
    <row r="1337" spans="1:2" x14ac:dyDescent="0.35">
      <c r="A1337" s="383" t="s">
        <v>3824</v>
      </c>
      <c r="B1337">
        <f>PedBerLab!$L$4</f>
        <v>0</v>
      </c>
    </row>
    <row r="1338" spans="1:2" x14ac:dyDescent="0.35">
      <c r="A1338" s="383" t="s">
        <v>3825</v>
      </c>
      <c r="B1338">
        <f>PedBerLab!$L$5</f>
        <v>0</v>
      </c>
    </row>
    <row r="1339" spans="1:2" x14ac:dyDescent="0.35">
      <c r="A1339" s="383" t="s">
        <v>3826</v>
      </c>
      <c r="B1339">
        <f>PedBerLab!$L$6</f>
        <v>0</v>
      </c>
    </row>
    <row r="1340" spans="1:2" x14ac:dyDescent="0.35">
      <c r="A1340" s="383" t="s">
        <v>3827</v>
      </c>
      <c r="B1340">
        <f>PedBerLab!$L$7</f>
        <v>0</v>
      </c>
    </row>
    <row r="1341" spans="1:2" x14ac:dyDescent="0.35">
      <c r="A1341" s="383" t="s">
        <v>3828</v>
      </c>
      <c r="B1341">
        <f>PedBerLab!$L$8</f>
        <v>0</v>
      </c>
    </row>
    <row r="1342" spans="1:2" x14ac:dyDescent="0.35">
      <c r="A1342" s="383" t="s">
        <v>3829</v>
      </c>
      <c r="B1342">
        <f>PedBerLab!$L$9</f>
        <v>0</v>
      </c>
    </row>
    <row r="1343" spans="1:2" x14ac:dyDescent="0.35">
      <c r="A1343" s="383" t="s">
        <v>3830</v>
      </c>
      <c r="B1343">
        <f>PedBerLab!$L$10</f>
        <v>0</v>
      </c>
    </row>
    <row r="1344" spans="1:2" x14ac:dyDescent="0.35">
      <c r="A1344" s="383" t="s">
        <v>3831</v>
      </c>
      <c r="B1344">
        <f>PedBerLab!$L$11</f>
        <v>0</v>
      </c>
    </row>
    <row r="1345" spans="1:2" x14ac:dyDescent="0.35">
      <c r="A1345" s="383" t="s">
        <v>3832</v>
      </c>
      <c r="B1345">
        <f>PedBerLab!$L$12</f>
        <v>0</v>
      </c>
    </row>
    <row r="1346" spans="1:2" x14ac:dyDescent="0.35">
      <c r="A1346" s="383" t="s">
        <v>3833</v>
      </c>
      <c r="B1346">
        <f>PedBerLab!$L$13</f>
        <v>0</v>
      </c>
    </row>
    <row r="1347" spans="1:2" x14ac:dyDescent="0.35">
      <c r="A1347" s="383" t="s">
        <v>3834</v>
      </c>
      <c r="B1347">
        <f>PedBerLab!$L$14</f>
        <v>0</v>
      </c>
    </row>
    <row r="1348" spans="1:2" x14ac:dyDescent="0.35">
      <c r="A1348" s="383" t="s">
        <v>3835</v>
      </c>
      <c r="B1348">
        <f>PedBerLab!$L$15</f>
        <v>0</v>
      </c>
    </row>
    <row r="1349" spans="1:2" x14ac:dyDescent="0.35">
      <c r="A1349" s="383" t="s">
        <v>3836</v>
      </c>
      <c r="B1349">
        <f>PedBerLab!$L$16</f>
        <v>0</v>
      </c>
    </row>
    <row r="1350" spans="1:2" x14ac:dyDescent="0.35">
      <c r="A1350" s="383" t="s">
        <v>3837</v>
      </c>
      <c r="B1350">
        <f>PedBerLab!$L$17</f>
        <v>0</v>
      </c>
    </row>
    <row r="1351" spans="1:2" x14ac:dyDescent="0.35">
      <c r="A1351" s="383" t="s">
        <v>3838</v>
      </c>
      <c r="B1351">
        <f>PedBerLab!$L$18</f>
        <v>0</v>
      </c>
    </row>
    <row r="1352" spans="1:2" x14ac:dyDescent="0.35">
      <c r="A1352" s="383" t="s">
        <v>3839</v>
      </c>
      <c r="B1352">
        <f>PedBerLab!$L$19</f>
        <v>0</v>
      </c>
    </row>
    <row r="1353" spans="1:2" x14ac:dyDescent="0.35">
      <c r="A1353" s="383" t="s">
        <v>3840</v>
      </c>
      <c r="B1353">
        <f>PedBerLab!$L$20</f>
        <v>0</v>
      </c>
    </row>
    <row r="1354" spans="1:2" x14ac:dyDescent="0.35">
      <c r="A1354" s="383" t="s">
        <v>3841</v>
      </c>
      <c r="B1354">
        <f>PedBerLab!$L$21</f>
        <v>0</v>
      </c>
    </row>
    <row r="1355" spans="1:2" x14ac:dyDescent="0.35">
      <c r="A1355" s="383" t="s">
        <v>3842</v>
      </c>
      <c r="B1355">
        <f>PedBerLab!$L$22</f>
        <v>0</v>
      </c>
    </row>
    <row r="1356" spans="1:2" x14ac:dyDescent="0.35">
      <c r="A1356" s="383" t="s">
        <v>3843</v>
      </c>
      <c r="B1356">
        <f>PedBerLab!$L$23</f>
        <v>0</v>
      </c>
    </row>
    <row r="1357" spans="1:2" x14ac:dyDescent="0.35">
      <c r="A1357" s="383" t="s">
        <v>3844</v>
      </c>
      <c r="B1357">
        <f>PedBerLab!$L$24</f>
        <v>0</v>
      </c>
    </row>
    <row r="1358" spans="1:2" x14ac:dyDescent="0.35">
      <c r="A1358" s="383" t="s">
        <v>3845</v>
      </c>
      <c r="B1358">
        <f>PedBerLab!$L$25</f>
        <v>0</v>
      </c>
    </row>
    <row r="1359" spans="1:2" x14ac:dyDescent="0.35">
      <c r="A1359" s="383" t="s">
        <v>3846</v>
      </c>
      <c r="B1359">
        <f>PedBerLab!$L$26</f>
        <v>0</v>
      </c>
    </row>
    <row r="1360" spans="1:2" x14ac:dyDescent="0.35">
      <c r="A1360" s="383" t="s">
        <v>3847</v>
      </c>
      <c r="B1360">
        <f>PedBerLab!$L$27</f>
        <v>0</v>
      </c>
    </row>
    <row r="1361" spans="1:2" x14ac:dyDescent="0.35">
      <c r="A1361" s="383" t="s">
        <v>3848</v>
      </c>
      <c r="B1361">
        <f>PedBerLab!$L$28</f>
        <v>0</v>
      </c>
    </row>
    <row r="1362" spans="1:2" x14ac:dyDescent="0.35">
      <c r="A1362" s="383" t="s">
        <v>3849</v>
      </c>
      <c r="B1362">
        <f>PedBerLab!$L$29</f>
        <v>0</v>
      </c>
    </row>
    <row r="1363" spans="1:2" x14ac:dyDescent="0.35">
      <c r="A1363" s="383" t="s">
        <v>3850</v>
      </c>
      <c r="B1363">
        <f>PedBerLab!$L$30</f>
        <v>0</v>
      </c>
    </row>
    <row r="1364" spans="1:2" x14ac:dyDescent="0.35">
      <c r="A1364" s="383" t="s">
        <v>3851</v>
      </c>
      <c r="B1364">
        <f>PedBerLab!$L$31</f>
        <v>0</v>
      </c>
    </row>
    <row r="1365" spans="1:2" x14ac:dyDescent="0.35">
      <c r="A1365" s="383" t="s">
        <v>3852</v>
      </c>
      <c r="B1365">
        <f>PedBerLab!$L$32</f>
        <v>0</v>
      </c>
    </row>
    <row r="1366" spans="1:2" x14ac:dyDescent="0.35">
      <c r="A1366" s="383" t="s">
        <v>3853</v>
      </c>
      <c r="B1366">
        <f>PedBerLab!$L$33</f>
        <v>0</v>
      </c>
    </row>
    <row r="1367" spans="1:2" x14ac:dyDescent="0.35">
      <c r="A1367" s="383" t="s">
        <v>3854</v>
      </c>
      <c r="B1367">
        <f>PedBerLab!$L$34</f>
        <v>0</v>
      </c>
    </row>
    <row r="1368" spans="1:2" x14ac:dyDescent="0.35">
      <c r="A1368" s="383" t="s">
        <v>3855</v>
      </c>
      <c r="B1368">
        <f>GlobBerOpm!$C$5</f>
        <v>0</v>
      </c>
    </row>
    <row r="1369" spans="1:2" x14ac:dyDescent="0.35">
      <c r="A1369" s="383" t="s">
        <v>3856</v>
      </c>
      <c r="B1369">
        <f>PedBerLab!$C$4</f>
        <v>0</v>
      </c>
    </row>
    <row r="1370" spans="1:2" x14ac:dyDescent="0.35">
      <c r="A1370" s="383" t="s">
        <v>3857</v>
      </c>
      <c r="B1370">
        <f>PedBerLab!$C$5</f>
        <v>0</v>
      </c>
    </row>
    <row r="1371" spans="1:2" x14ac:dyDescent="0.35">
      <c r="A1371" s="383" t="s">
        <v>3858</v>
      </c>
      <c r="B1371">
        <f>PedBerLab!$C$6</f>
        <v>0</v>
      </c>
    </row>
    <row r="1372" spans="1:2" x14ac:dyDescent="0.35">
      <c r="A1372" s="383" t="s">
        <v>3859</v>
      </c>
      <c r="B1372">
        <f>PedBerLab!$C$7</f>
        <v>0</v>
      </c>
    </row>
    <row r="1373" spans="1:2" x14ac:dyDescent="0.35">
      <c r="A1373" s="383" t="s">
        <v>3860</v>
      </c>
      <c r="B1373">
        <f>PedBerLab!$C$8</f>
        <v>0</v>
      </c>
    </row>
    <row r="1374" spans="1:2" x14ac:dyDescent="0.35">
      <c r="A1374" s="383" t="s">
        <v>3861</v>
      </c>
      <c r="B1374">
        <f>PedBerLab!$C$9</f>
        <v>0</v>
      </c>
    </row>
    <row r="1375" spans="1:2" x14ac:dyDescent="0.35">
      <c r="A1375" s="383" t="s">
        <v>3862</v>
      </c>
      <c r="B1375">
        <f>PedBerLab!$C$10</f>
        <v>0</v>
      </c>
    </row>
    <row r="1376" spans="1:2" x14ac:dyDescent="0.35">
      <c r="A1376" s="383" t="s">
        <v>3863</v>
      </c>
      <c r="B1376">
        <f>PedBerLab!$C$11</f>
        <v>0</v>
      </c>
    </row>
    <row r="1377" spans="1:2" x14ac:dyDescent="0.35">
      <c r="A1377" s="383" t="s">
        <v>3864</v>
      </c>
      <c r="B1377">
        <f>PedBerLab!$C$12</f>
        <v>0</v>
      </c>
    </row>
    <row r="1378" spans="1:2" x14ac:dyDescent="0.35">
      <c r="A1378" s="383" t="s">
        <v>3865</v>
      </c>
      <c r="B1378">
        <f>PedBerLab!$C$13</f>
        <v>0</v>
      </c>
    </row>
    <row r="1379" spans="1:2" x14ac:dyDescent="0.35">
      <c r="A1379" s="383" t="s">
        <v>3866</v>
      </c>
      <c r="B1379">
        <f>PedBerLab!$C$14</f>
        <v>0</v>
      </c>
    </row>
    <row r="1380" spans="1:2" x14ac:dyDescent="0.35">
      <c r="A1380" s="383" t="s">
        <v>3867</v>
      </c>
      <c r="B1380">
        <f>PedBerLab!$C$15</f>
        <v>0</v>
      </c>
    </row>
    <row r="1381" spans="1:2" x14ac:dyDescent="0.35">
      <c r="A1381" s="383" t="s">
        <v>3868</v>
      </c>
      <c r="B1381">
        <f>PedBerLab!$C$16</f>
        <v>0</v>
      </c>
    </row>
    <row r="1382" spans="1:2" x14ac:dyDescent="0.35">
      <c r="A1382" s="383" t="s">
        <v>3869</v>
      </c>
      <c r="B1382">
        <f>PedBerLab!$C$17</f>
        <v>0</v>
      </c>
    </row>
    <row r="1383" spans="1:2" x14ac:dyDescent="0.35">
      <c r="A1383" s="383" t="s">
        <v>3870</v>
      </c>
      <c r="B1383">
        <f>PedBerLab!$C$18</f>
        <v>0</v>
      </c>
    </row>
    <row r="1384" spans="1:2" x14ac:dyDescent="0.35">
      <c r="A1384" s="383" t="s">
        <v>3871</v>
      </c>
      <c r="B1384">
        <f>PedBerLab!$C$19</f>
        <v>0</v>
      </c>
    </row>
    <row r="1385" spans="1:2" x14ac:dyDescent="0.35">
      <c r="A1385" s="383" t="s">
        <v>3872</v>
      </c>
      <c r="B1385">
        <f>PedBerLab!$C$20</f>
        <v>0</v>
      </c>
    </row>
    <row r="1386" spans="1:2" x14ac:dyDescent="0.35">
      <c r="A1386" s="383" t="s">
        <v>3873</v>
      </c>
      <c r="B1386">
        <f>PedBerLab!$C$21</f>
        <v>0</v>
      </c>
    </row>
    <row r="1387" spans="1:2" x14ac:dyDescent="0.35">
      <c r="A1387" s="383" t="s">
        <v>3874</v>
      </c>
      <c r="B1387">
        <f>PedBerLab!$C$22</f>
        <v>0</v>
      </c>
    </row>
    <row r="1388" spans="1:2" x14ac:dyDescent="0.35">
      <c r="A1388" s="383" t="s">
        <v>3875</v>
      </c>
      <c r="B1388">
        <f>PedBerLab!$C$23</f>
        <v>0</v>
      </c>
    </row>
    <row r="1389" spans="1:2" x14ac:dyDescent="0.35">
      <c r="A1389" s="383" t="s">
        <v>3876</v>
      </c>
      <c r="B1389">
        <f>PedBerLab!$C$24</f>
        <v>0</v>
      </c>
    </row>
    <row r="1390" spans="1:2" x14ac:dyDescent="0.35">
      <c r="A1390" s="383" t="s">
        <v>3877</v>
      </c>
      <c r="B1390">
        <f>PedBerLab!$C$25</f>
        <v>0</v>
      </c>
    </row>
    <row r="1391" spans="1:2" x14ac:dyDescent="0.35">
      <c r="A1391" s="383" t="s">
        <v>3878</v>
      </c>
      <c r="B1391">
        <f>PedBerLab!$C$26</f>
        <v>0</v>
      </c>
    </row>
    <row r="1392" spans="1:2" x14ac:dyDescent="0.35">
      <c r="A1392" s="383" t="s">
        <v>3879</v>
      </c>
      <c r="B1392">
        <f>PedBerLab!$C$27</f>
        <v>0</v>
      </c>
    </row>
    <row r="1393" spans="1:3" x14ac:dyDescent="0.35">
      <c r="A1393" s="383" t="s">
        <v>3880</v>
      </c>
      <c r="B1393">
        <f>PedBerLab!$C$28</f>
        <v>0</v>
      </c>
    </row>
    <row r="1394" spans="1:3" x14ac:dyDescent="0.35">
      <c r="A1394" s="383" t="s">
        <v>3881</v>
      </c>
      <c r="B1394">
        <f>PedBerLab!$C$29</f>
        <v>0</v>
      </c>
    </row>
    <row r="1395" spans="1:3" x14ac:dyDescent="0.35">
      <c r="A1395" s="383" t="s">
        <v>3882</v>
      </c>
      <c r="B1395">
        <f>PedBerLab!$C$30</f>
        <v>0</v>
      </c>
    </row>
    <row r="1396" spans="1:3" x14ac:dyDescent="0.35">
      <c r="A1396" s="383" t="s">
        <v>3883</v>
      </c>
      <c r="B1396">
        <f>PedBerLab!$C$31</f>
        <v>0</v>
      </c>
    </row>
    <row r="1397" spans="1:3" x14ac:dyDescent="0.35">
      <c r="A1397" s="383" t="s">
        <v>3884</v>
      </c>
      <c r="B1397">
        <f>PedBerLab!$C$32</f>
        <v>0</v>
      </c>
    </row>
    <row r="1398" spans="1:3" x14ac:dyDescent="0.35">
      <c r="A1398" s="383" t="s">
        <v>3885</v>
      </c>
      <c r="B1398">
        <f>PedBerLab!$C$33</f>
        <v>0</v>
      </c>
    </row>
    <row r="1399" spans="1:3" x14ac:dyDescent="0.35">
      <c r="A1399" s="383" t="s">
        <v>3886</v>
      </c>
      <c r="B1399">
        <f>PedBerLab!$C$34</f>
        <v>0</v>
      </c>
    </row>
    <row r="1400" spans="1:3" x14ac:dyDescent="0.35">
      <c r="A1400" s="383" t="s">
        <v>3887</v>
      </c>
      <c r="B1400">
        <f>PedBerLab!$C$35</f>
        <v>0</v>
      </c>
    </row>
    <row r="1401" spans="1:3" x14ac:dyDescent="0.35">
      <c r="A1401" s="383" t="s">
        <v>3888</v>
      </c>
      <c r="B1401">
        <f>PedBerMedIV!$B$3</f>
        <v>1</v>
      </c>
      <c r="C1401">
        <v>1</v>
      </c>
    </row>
    <row r="1402" spans="1:3" x14ac:dyDescent="0.35">
      <c r="A1402" s="383" t="s">
        <v>3889</v>
      </c>
      <c r="B1402">
        <f>PedBerMedIV!$B$4</f>
        <v>1</v>
      </c>
      <c r="C1402">
        <v>1</v>
      </c>
    </row>
    <row r="1403" spans="1:3" x14ac:dyDescent="0.35">
      <c r="A1403" s="383" t="s">
        <v>3890</v>
      </c>
      <c r="B1403">
        <f>PedBerMedIV!$B$5</f>
        <v>1</v>
      </c>
      <c r="C1403">
        <v>1</v>
      </c>
    </row>
    <row r="1404" spans="1:3" x14ac:dyDescent="0.35">
      <c r="A1404" s="383" t="s">
        <v>3891</v>
      </c>
      <c r="B1404">
        <f>PedBerMedIV!$B$6</f>
        <v>1</v>
      </c>
      <c r="C1404">
        <v>1</v>
      </c>
    </row>
    <row r="1405" spans="1:3" x14ac:dyDescent="0.35">
      <c r="A1405" s="383" t="s">
        <v>3892</v>
      </c>
      <c r="B1405">
        <f>PedBerMedIV!$B$7</f>
        <v>1</v>
      </c>
      <c r="C1405">
        <v>1</v>
      </c>
    </row>
    <row r="1406" spans="1:3" x14ac:dyDescent="0.35">
      <c r="A1406" s="383" t="s">
        <v>3893</v>
      </c>
      <c r="B1406">
        <f>PedBerMedIV!$B$8</f>
        <v>1</v>
      </c>
      <c r="C1406">
        <v>1</v>
      </c>
    </row>
    <row r="1407" spans="1:3" x14ac:dyDescent="0.35">
      <c r="A1407" s="383" t="s">
        <v>3894</v>
      </c>
      <c r="B1407">
        <f>PedBerMedIV!$B$9</f>
        <v>1</v>
      </c>
      <c r="C1407">
        <v>1</v>
      </c>
    </row>
    <row r="1408" spans="1:3" x14ac:dyDescent="0.35">
      <c r="A1408" s="383" t="s">
        <v>3895</v>
      </c>
      <c r="B1408">
        <f>PedBerMedIV!$B$10</f>
        <v>1</v>
      </c>
      <c r="C1408">
        <v>1</v>
      </c>
    </row>
    <row r="1409" spans="1:3" x14ac:dyDescent="0.35">
      <c r="A1409" s="383" t="s">
        <v>3896</v>
      </c>
      <c r="B1409">
        <f>PedBerMedIV!$B$11</f>
        <v>1</v>
      </c>
      <c r="C1409">
        <v>1</v>
      </c>
    </row>
    <row r="1410" spans="1:3" x14ac:dyDescent="0.35">
      <c r="A1410" s="383" t="s">
        <v>3897</v>
      </c>
      <c r="B1410">
        <f>PedBerMedIV!$B$12</f>
        <v>1</v>
      </c>
      <c r="C1410">
        <v>1</v>
      </c>
    </row>
    <row r="1411" spans="1:3" x14ac:dyDescent="0.35">
      <c r="A1411" s="383" t="s">
        <v>3898</v>
      </c>
      <c r="B1411">
        <f>PedBerMedIV!$B$13</f>
        <v>0</v>
      </c>
    </row>
    <row r="1412" spans="1:3" x14ac:dyDescent="0.35">
      <c r="A1412" s="383" t="s">
        <v>3899</v>
      </c>
      <c r="B1412">
        <f>PedBerMedIV!$B$14</f>
        <v>0</v>
      </c>
    </row>
    <row r="1413" spans="1:3" x14ac:dyDescent="0.35">
      <c r="A1413" s="383" t="s">
        <v>3900</v>
      </c>
      <c r="B1413">
        <f>PedBerMedIV!$B$15</f>
        <v>0</v>
      </c>
    </row>
    <row r="1414" spans="1:3" x14ac:dyDescent="0.35">
      <c r="A1414" s="383" t="s">
        <v>3901</v>
      </c>
      <c r="B1414">
        <f>PedBerMedIV!$B$16</f>
        <v>0</v>
      </c>
    </row>
    <row r="1415" spans="1:3" x14ac:dyDescent="0.35">
      <c r="A1415" s="383" t="s">
        <v>3902</v>
      </c>
      <c r="B1415">
        <f>PedBerMedIV!$B$17</f>
        <v>0</v>
      </c>
    </row>
    <row r="1416" spans="1:3" x14ac:dyDescent="0.35">
      <c r="A1416" s="383" t="s">
        <v>3903</v>
      </c>
      <c r="B1416">
        <f>PedBerMedIV!$I$3</f>
        <v>1</v>
      </c>
      <c r="C1416">
        <v>1</v>
      </c>
    </row>
    <row r="1417" spans="1:3" x14ac:dyDescent="0.35">
      <c r="A1417" s="383" t="s">
        <v>3904</v>
      </c>
      <c r="B1417">
        <f>PedBerMedIV!$I$4</f>
        <v>1</v>
      </c>
      <c r="C1417">
        <v>1</v>
      </c>
    </row>
    <row r="1418" spans="1:3" x14ac:dyDescent="0.35">
      <c r="A1418" s="383" t="s">
        <v>3905</v>
      </c>
      <c r="B1418">
        <f>PedBerMedIV!$I$5</f>
        <v>1</v>
      </c>
      <c r="C1418">
        <v>1</v>
      </c>
    </row>
    <row r="1419" spans="1:3" x14ac:dyDescent="0.35">
      <c r="A1419" s="383" t="s">
        <v>3906</v>
      </c>
      <c r="B1419">
        <f>PedBerMedIV!$I$6</f>
        <v>1</v>
      </c>
      <c r="C1419">
        <v>1</v>
      </c>
    </row>
    <row r="1420" spans="1:3" x14ac:dyDescent="0.35">
      <c r="A1420" s="383" t="s">
        <v>3907</v>
      </c>
      <c r="B1420">
        <f>PedBerMedIV!$I$7</f>
        <v>1</v>
      </c>
      <c r="C1420">
        <v>1</v>
      </c>
    </row>
    <row r="1421" spans="1:3" x14ac:dyDescent="0.35">
      <c r="A1421" s="383" t="s">
        <v>3908</v>
      </c>
      <c r="B1421">
        <f>PedBerMedIV!$I$8</f>
        <v>1</v>
      </c>
      <c r="C1421">
        <v>1</v>
      </c>
    </row>
    <row r="1422" spans="1:3" x14ac:dyDescent="0.35">
      <c r="A1422" s="383" t="s">
        <v>3909</v>
      </c>
      <c r="B1422">
        <f>PedBerMedIV!$I$9</f>
        <v>1</v>
      </c>
      <c r="C1422">
        <v>1</v>
      </c>
    </row>
    <row r="1423" spans="1:3" x14ac:dyDescent="0.35">
      <c r="A1423" s="383" t="s">
        <v>3910</v>
      </c>
      <c r="B1423">
        <f>PedBerMedIV!$I$10</f>
        <v>1</v>
      </c>
      <c r="C1423">
        <v>1</v>
      </c>
    </row>
    <row r="1424" spans="1:3" x14ac:dyDescent="0.35">
      <c r="A1424" s="383" t="s">
        <v>3911</v>
      </c>
      <c r="B1424">
        <f>PedBerMedIV!$I$11</f>
        <v>1</v>
      </c>
      <c r="C1424">
        <v>1</v>
      </c>
    </row>
    <row r="1425" spans="1:3" x14ac:dyDescent="0.35">
      <c r="A1425" s="383" t="s">
        <v>3912</v>
      </c>
      <c r="B1425">
        <f>PedBerMedIV!$I$12</f>
        <v>1</v>
      </c>
      <c r="C1425">
        <v>1</v>
      </c>
    </row>
    <row r="1426" spans="1:3" x14ac:dyDescent="0.35">
      <c r="A1426" s="383" t="s">
        <v>3913</v>
      </c>
      <c r="B1426">
        <f>PedBerMedIV!$I$13</f>
        <v>1</v>
      </c>
      <c r="C1426">
        <v>1</v>
      </c>
    </row>
    <row r="1427" spans="1:3" x14ac:dyDescent="0.35">
      <c r="A1427" s="383" t="s">
        <v>3914</v>
      </c>
      <c r="B1427">
        <f>PedBerMedIV!$I$14</f>
        <v>1</v>
      </c>
      <c r="C1427">
        <v>1</v>
      </c>
    </row>
    <row r="1428" spans="1:3" x14ac:dyDescent="0.35">
      <c r="A1428" s="383" t="s">
        <v>3915</v>
      </c>
      <c r="B1428">
        <f>PedBerMedIV!$I$15</f>
        <v>1</v>
      </c>
      <c r="C1428">
        <v>1</v>
      </c>
    </row>
    <row r="1429" spans="1:3" x14ac:dyDescent="0.35">
      <c r="A1429" s="383" t="s">
        <v>3916</v>
      </c>
      <c r="B1429">
        <f>PedBerMedIV!$I$16</f>
        <v>1</v>
      </c>
      <c r="C1429">
        <v>1</v>
      </c>
    </row>
    <row r="1430" spans="1:3" x14ac:dyDescent="0.35">
      <c r="A1430" s="383" t="s">
        <v>3917</v>
      </c>
      <c r="B1430">
        <f>PedBerMedIV!$I$17</f>
        <v>1</v>
      </c>
      <c r="C1430">
        <v>1</v>
      </c>
    </row>
    <row r="1431" spans="1:3" x14ac:dyDescent="0.35">
      <c r="A1431" s="383" t="s">
        <v>3918</v>
      </c>
      <c r="B1431">
        <f>PedBerMedIV!$E$3</f>
        <v>0</v>
      </c>
    </row>
    <row r="1432" spans="1:3" x14ac:dyDescent="0.35">
      <c r="A1432" s="383" t="s">
        <v>3919</v>
      </c>
      <c r="B1432">
        <f>PedBerMedIV!$E$4</f>
        <v>0</v>
      </c>
    </row>
    <row r="1433" spans="1:3" x14ac:dyDescent="0.35">
      <c r="A1433" s="383" t="s">
        <v>3920</v>
      </c>
      <c r="B1433">
        <f>PedBerMedIV!$E$5</f>
        <v>0</v>
      </c>
    </row>
    <row r="1434" spans="1:3" x14ac:dyDescent="0.35">
      <c r="A1434" s="383" t="s">
        <v>3921</v>
      </c>
      <c r="B1434">
        <f>PedBerMedIV!$E$6</f>
        <v>0</v>
      </c>
    </row>
    <row r="1435" spans="1:3" x14ac:dyDescent="0.35">
      <c r="A1435" s="383" t="s">
        <v>3922</v>
      </c>
      <c r="B1435">
        <f>PedBerMedIV!$E$7</f>
        <v>0</v>
      </c>
    </row>
    <row r="1436" spans="1:3" x14ac:dyDescent="0.35">
      <c r="A1436" s="383" t="s">
        <v>3923</v>
      </c>
      <c r="B1436">
        <f>PedBerMedIV!$E$8</f>
        <v>0</v>
      </c>
    </row>
    <row r="1437" spans="1:3" x14ac:dyDescent="0.35">
      <c r="A1437" s="383" t="s">
        <v>3924</v>
      </c>
      <c r="B1437">
        <f>PedBerMedIV!$E$9</f>
        <v>0</v>
      </c>
    </row>
    <row r="1438" spans="1:3" x14ac:dyDescent="0.35">
      <c r="A1438" s="383" t="s">
        <v>3925</v>
      </c>
      <c r="B1438">
        <f>PedBerMedIV!$E$10</f>
        <v>0</v>
      </c>
    </row>
    <row r="1439" spans="1:3" x14ac:dyDescent="0.35">
      <c r="A1439" s="383" t="s">
        <v>3926</v>
      </c>
      <c r="B1439">
        <f>PedBerMedIV!$E$11</f>
        <v>0</v>
      </c>
    </row>
    <row r="1440" spans="1:3" x14ac:dyDescent="0.35">
      <c r="A1440" s="383" t="s">
        <v>3927</v>
      </c>
      <c r="B1440">
        <f>PedBerMedIV!$E$12</f>
        <v>0</v>
      </c>
    </row>
    <row r="1441" spans="1:2" x14ac:dyDescent="0.35">
      <c r="A1441" s="383" t="s">
        <v>3928</v>
      </c>
      <c r="B1441">
        <f>PedBerMedIV!$E$13</f>
        <v>0</v>
      </c>
    </row>
    <row r="1442" spans="1:2" x14ac:dyDescent="0.35">
      <c r="A1442" s="383" t="s">
        <v>3929</v>
      </c>
      <c r="B1442">
        <f>PedBerMedIV!$E$14</f>
        <v>0</v>
      </c>
    </row>
    <row r="1443" spans="1:2" x14ac:dyDescent="0.35">
      <c r="A1443" s="383" t="s">
        <v>3930</v>
      </c>
      <c r="B1443">
        <f>PedBerMedIV!$E$15</f>
        <v>0</v>
      </c>
    </row>
    <row r="1444" spans="1:2" x14ac:dyDescent="0.35">
      <c r="A1444" s="383" t="s">
        <v>3931</v>
      </c>
      <c r="B1444">
        <f>PedBerMedIV!$E$16</f>
        <v>0</v>
      </c>
    </row>
    <row r="1445" spans="1:2" x14ac:dyDescent="0.35">
      <c r="A1445" s="383" t="s">
        <v>3932</v>
      </c>
      <c r="B1445">
        <f>PedBerMedIV!$E$17</f>
        <v>0</v>
      </c>
    </row>
    <row r="1446" spans="1:2" x14ac:dyDescent="0.35">
      <c r="A1446" s="383" t="s">
        <v>3933</v>
      </c>
      <c r="B1446">
        <f>GlobBerOpm!$C$3</f>
        <v>0</v>
      </c>
    </row>
    <row r="1447" spans="1:2" x14ac:dyDescent="0.35">
      <c r="A1447" s="383" t="s">
        <v>3934</v>
      </c>
      <c r="B1447">
        <f>PedBerMedIV!$J$3</f>
        <v>0</v>
      </c>
    </row>
    <row r="1448" spans="1:2" x14ac:dyDescent="0.35">
      <c r="A1448" s="383" t="s">
        <v>3935</v>
      </c>
      <c r="B1448">
        <f>PedBerMedIV!$J$4</f>
        <v>0</v>
      </c>
    </row>
    <row r="1449" spans="1:2" x14ac:dyDescent="0.35">
      <c r="A1449" s="383" t="s">
        <v>3936</v>
      </c>
      <c r="B1449">
        <f>PedBerMedIV!$J$5</f>
        <v>0</v>
      </c>
    </row>
    <row r="1450" spans="1:2" x14ac:dyDescent="0.35">
      <c r="A1450" s="383" t="s">
        <v>3937</v>
      </c>
      <c r="B1450">
        <f>PedBerMedIV!$J$6</f>
        <v>0</v>
      </c>
    </row>
    <row r="1451" spans="1:2" x14ac:dyDescent="0.35">
      <c r="A1451" s="383" t="s">
        <v>3938</v>
      </c>
      <c r="B1451">
        <f>PedBerMedIV!$J$7</f>
        <v>0</v>
      </c>
    </row>
    <row r="1452" spans="1:2" x14ac:dyDescent="0.35">
      <c r="A1452" s="383" t="s">
        <v>3939</v>
      </c>
      <c r="B1452">
        <f>PedBerMedIV!$J$8</f>
        <v>0</v>
      </c>
    </row>
    <row r="1453" spans="1:2" x14ac:dyDescent="0.35">
      <c r="A1453" s="383" t="s">
        <v>3940</v>
      </c>
      <c r="B1453">
        <f>PedBerMedIV!$J$9</f>
        <v>0</v>
      </c>
    </row>
    <row r="1454" spans="1:2" x14ac:dyDescent="0.35">
      <c r="A1454" s="383" t="s">
        <v>3941</v>
      </c>
      <c r="B1454">
        <f>PedBerMedIV!$J$10</f>
        <v>0</v>
      </c>
    </row>
    <row r="1455" spans="1:2" x14ac:dyDescent="0.35">
      <c r="A1455" s="383" t="s">
        <v>3942</v>
      </c>
      <c r="B1455">
        <f>PedBerMedIV!$J$11</f>
        <v>0</v>
      </c>
    </row>
    <row r="1456" spans="1:2" x14ac:dyDescent="0.35">
      <c r="A1456" s="383" t="s">
        <v>3943</v>
      </c>
      <c r="B1456">
        <f>PedBerMedIV!$J$12</f>
        <v>0</v>
      </c>
    </row>
    <row r="1457" spans="1:2" x14ac:dyDescent="0.35">
      <c r="A1457" s="383" t="s">
        <v>3944</v>
      </c>
      <c r="B1457">
        <f>PedBerMedIV!$J$13</f>
        <v>0</v>
      </c>
    </row>
    <row r="1458" spans="1:2" x14ac:dyDescent="0.35">
      <c r="A1458" s="383" t="s">
        <v>3945</v>
      </c>
      <c r="B1458">
        <f>PedBerMedIV!$J$14</f>
        <v>0</v>
      </c>
    </row>
    <row r="1459" spans="1:2" x14ac:dyDescent="0.35">
      <c r="A1459" s="383" t="s">
        <v>3946</v>
      </c>
      <c r="B1459">
        <f>PedBerMedIV!$J$15</f>
        <v>0</v>
      </c>
    </row>
    <row r="1460" spans="1:2" x14ac:dyDescent="0.35">
      <c r="A1460" s="383" t="s">
        <v>3947</v>
      </c>
      <c r="B1460">
        <f>PedBerMedIV!$J$16</f>
        <v>0</v>
      </c>
    </row>
    <row r="1461" spans="1:2" x14ac:dyDescent="0.35">
      <c r="A1461" s="383" t="s">
        <v>3948</v>
      </c>
      <c r="B1461">
        <f>PedBerMedIV!$J$17</f>
        <v>0</v>
      </c>
    </row>
    <row r="1462" spans="1:2" x14ac:dyDescent="0.35">
      <c r="A1462" s="383" t="s">
        <v>3949</v>
      </c>
      <c r="B1462">
        <f>PedBerMedIV!$D$3</f>
        <v>0</v>
      </c>
    </row>
    <row r="1463" spans="1:2" x14ac:dyDescent="0.35">
      <c r="A1463" s="383" t="s">
        <v>3950</v>
      </c>
      <c r="B1463">
        <f>PedBerMedIV!$D$4</f>
        <v>0</v>
      </c>
    </row>
    <row r="1464" spans="1:2" x14ac:dyDescent="0.35">
      <c r="A1464" s="383" t="s">
        <v>3951</v>
      </c>
      <c r="B1464">
        <f>PedBerMedIV!$D$5</f>
        <v>0</v>
      </c>
    </row>
    <row r="1465" spans="1:2" x14ac:dyDescent="0.35">
      <c r="A1465" s="383" t="s">
        <v>3952</v>
      </c>
      <c r="B1465">
        <f>PedBerMedIV!$D$6</f>
        <v>0</v>
      </c>
    </row>
    <row r="1466" spans="1:2" x14ac:dyDescent="0.35">
      <c r="A1466" s="383" t="s">
        <v>3953</v>
      </c>
      <c r="B1466">
        <f>PedBerMedIV!$D$7</f>
        <v>0</v>
      </c>
    </row>
    <row r="1467" spans="1:2" x14ac:dyDescent="0.35">
      <c r="A1467" s="383" t="s">
        <v>3954</v>
      </c>
      <c r="B1467">
        <f>PedBerMedIV!$D$8</f>
        <v>0</v>
      </c>
    </row>
    <row r="1468" spans="1:2" x14ac:dyDescent="0.35">
      <c r="A1468" s="383" t="s">
        <v>3955</v>
      </c>
      <c r="B1468">
        <f>PedBerMedIV!$D$9</f>
        <v>0</v>
      </c>
    </row>
    <row r="1469" spans="1:2" x14ac:dyDescent="0.35">
      <c r="A1469" s="383" t="s">
        <v>3956</v>
      </c>
      <c r="B1469">
        <f>PedBerMedIV!$D$10</f>
        <v>0</v>
      </c>
    </row>
    <row r="1470" spans="1:2" x14ac:dyDescent="0.35">
      <c r="A1470" s="383" t="s">
        <v>3957</v>
      </c>
      <c r="B1470">
        <f>PedBerMedIV!$D$11</f>
        <v>0</v>
      </c>
    </row>
    <row r="1471" spans="1:2" x14ac:dyDescent="0.35">
      <c r="A1471" s="383" t="s">
        <v>3958</v>
      </c>
      <c r="B1471">
        <f>PedBerMedIV!$D$12</f>
        <v>0</v>
      </c>
    </row>
    <row r="1472" spans="1:2" x14ac:dyDescent="0.35">
      <c r="A1472" s="383" t="s">
        <v>3959</v>
      </c>
      <c r="B1472">
        <f>PedBerMedIV!$D$13</f>
        <v>0</v>
      </c>
    </row>
    <row r="1473" spans="1:3" x14ac:dyDescent="0.35">
      <c r="A1473" s="383" t="s">
        <v>3960</v>
      </c>
      <c r="B1473">
        <f>PedBerMedIV!$D$14</f>
        <v>0</v>
      </c>
    </row>
    <row r="1474" spans="1:3" x14ac:dyDescent="0.35">
      <c r="A1474" s="383" t="s">
        <v>3961</v>
      </c>
      <c r="B1474">
        <f>PedBerMedIV!$D$15</f>
        <v>0</v>
      </c>
    </row>
    <row r="1475" spans="1:3" x14ac:dyDescent="0.35">
      <c r="A1475" s="383" t="s">
        <v>3962</v>
      </c>
      <c r="B1475">
        <f>PedBerMedIV!$D$16</f>
        <v>0</v>
      </c>
    </row>
    <row r="1476" spans="1:3" x14ac:dyDescent="0.35">
      <c r="A1476" s="383" t="s">
        <v>3963</v>
      </c>
      <c r="B1476">
        <f>PedBerMedIV!$D$17</f>
        <v>0</v>
      </c>
    </row>
    <row r="1477" spans="1:3" x14ac:dyDescent="0.35">
      <c r="A1477" s="383" t="s">
        <v>3964</v>
      </c>
      <c r="B1477">
        <f>PedBerIVenPM!$D$2</f>
        <v>0</v>
      </c>
    </row>
    <row r="1478" spans="1:3" x14ac:dyDescent="0.35">
      <c r="A1478" s="383" t="s">
        <v>3965</v>
      </c>
      <c r="B1478">
        <f>PedBerIVenPM!$G$2</f>
        <v>0</v>
      </c>
    </row>
    <row r="1479" spans="1:3" x14ac:dyDescent="0.35">
      <c r="A1479" s="383" t="s">
        <v>3966</v>
      </c>
      <c r="B1479">
        <f>PedBerIVenPM!$G$5</f>
        <v>0</v>
      </c>
    </row>
    <row r="1480" spans="1:3" x14ac:dyDescent="0.35">
      <c r="A1480" s="383" t="s">
        <v>3967</v>
      </c>
      <c r="B1480">
        <f>PedBerIVenPM!$G$4</f>
        <v>0</v>
      </c>
    </row>
    <row r="1481" spans="1:3" x14ac:dyDescent="0.35">
      <c r="A1481" s="383" t="s">
        <v>3968</v>
      </c>
      <c r="B1481">
        <f>PedBerIVenPM!$G$1</f>
        <v>0</v>
      </c>
    </row>
    <row r="1482" spans="1:3" x14ac:dyDescent="0.35">
      <c r="A1482" s="383" t="s">
        <v>3969</v>
      </c>
      <c r="B1482">
        <f>PedBerIVenPM!$E$2</f>
        <v>0</v>
      </c>
    </row>
    <row r="1483" spans="1:3" x14ac:dyDescent="0.35">
      <c r="A1483" s="383" t="s">
        <v>3970</v>
      </c>
      <c r="B1483">
        <f>PedBerIVenPM!$G$3</f>
        <v>0</v>
      </c>
    </row>
    <row r="1484" spans="1:3" x14ac:dyDescent="0.35">
      <c r="A1484" s="383" t="s">
        <v>3971</v>
      </c>
      <c r="B1484">
        <f>PedBerIVenPM!$G$6</f>
        <v>0</v>
      </c>
    </row>
    <row r="1485" spans="1:3" x14ac:dyDescent="0.35">
      <c r="A1485" s="383" t="s">
        <v>3972</v>
      </c>
      <c r="B1485" t="b">
        <f>PedBerTPN!$C$9</f>
        <v>0</v>
      </c>
      <c r="C1485" t="b">
        <v>0</v>
      </c>
    </row>
    <row r="1486" spans="1:3" x14ac:dyDescent="0.35">
      <c r="A1486" s="383" t="s">
        <v>3973</v>
      </c>
      <c r="B1486">
        <f>PedBerTPN!$E$9</f>
        <v>0</v>
      </c>
    </row>
    <row r="1487" spans="1:3" x14ac:dyDescent="0.35">
      <c r="A1487" s="383" t="s">
        <v>3974</v>
      </c>
      <c r="B1487" t="b">
        <f>PedBerTPN!$C$8</f>
        <v>0</v>
      </c>
      <c r="C1487" t="b">
        <v>0</v>
      </c>
    </row>
    <row r="1488" spans="1:3" x14ac:dyDescent="0.35">
      <c r="A1488" s="383" t="s">
        <v>3975</v>
      </c>
      <c r="B1488">
        <f>PedBerTPN!$C$22</f>
        <v>0</v>
      </c>
    </row>
    <row r="1489" spans="1:3" x14ac:dyDescent="0.35">
      <c r="A1489" s="383" t="s">
        <v>3976</v>
      </c>
      <c r="B1489">
        <f>PedBerTPN!$E$8</f>
        <v>0</v>
      </c>
    </row>
    <row r="1490" spans="1:3" x14ac:dyDescent="0.35">
      <c r="A1490" s="383" t="s">
        <v>3977</v>
      </c>
      <c r="B1490">
        <f>PedBerTPN!$E$22</f>
        <v>0</v>
      </c>
    </row>
    <row r="1491" spans="1:3" x14ac:dyDescent="0.35">
      <c r="A1491" s="383" t="s">
        <v>3978</v>
      </c>
      <c r="B1491">
        <f>PedBerTPN!$B$4</f>
        <v>1</v>
      </c>
      <c r="C1491">
        <v>1</v>
      </c>
    </row>
    <row r="1492" spans="1:3" x14ac:dyDescent="0.35">
      <c r="A1492" s="383" t="s">
        <v>3979</v>
      </c>
      <c r="B1492" t="b">
        <f>PedBerTPN!$C$11</f>
        <v>0</v>
      </c>
      <c r="C1492" t="b">
        <v>0</v>
      </c>
    </row>
    <row r="1493" spans="1:3" x14ac:dyDescent="0.35">
      <c r="A1493" s="383" t="s">
        <v>3980</v>
      </c>
      <c r="B1493">
        <f>PedBerTPN!$E$11</f>
        <v>0</v>
      </c>
    </row>
    <row r="1494" spans="1:3" x14ac:dyDescent="0.35">
      <c r="A1494" s="383" t="s">
        <v>3981</v>
      </c>
      <c r="B1494">
        <f>PedBerTPN!$D$12</f>
        <v>0</v>
      </c>
      <c r="C1494">
        <v>0</v>
      </c>
    </row>
    <row r="1495" spans="1:3" x14ac:dyDescent="0.35">
      <c r="A1495" s="383" t="s">
        <v>3982</v>
      </c>
      <c r="B1495" t="b">
        <f>PedBerTPN!$C$10</f>
        <v>0</v>
      </c>
      <c r="C1495" t="b">
        <v>0</v>
      </c>
    </row>
    <row r="1496" spans="1:3" x14ac:dyDescent="0.35">
      <c r="A1496" s="383" t="s">
        <v>3983</v>
      </c>
      <c r="B1496">
        <f>PedBerTPN!$E$10</f>
        <v>0</v>
      </c>
    </row>
    <row r="1497" spans="1:3" x14ac:dyDescent="0.35">
      <c r="A1497" s="383" t="s">
        <v>3984</v>
      </c>
      <c r="B1497" t="b">
        <f>PedBerTPN!$C$7</f>
        <v>0</v>
      </c>
      <c r="C1497" t="b">
        <v>0</v>
      </c>
    </row>
    <row r="1498" spans="1:3" x14ac:dyDescent="0.35">
      <c r="A1498" s="383" t="s">
        <v>3985</v>
      </c>
      <c r="B1498">
        <f>PedBerTPN!$C$21</f>
        <v>0</v>
      </c>
    </row>
    <row r="1499" spans="1:3" x14ac:dyDescent="0.35">
      <c r="A1499" s="383" t="s">
        <v>3986</v>
      </c>
      <c r="B1499">
        <f>PedBerTPN!$E$7</f>
        <v>0</v>
      </c>
    </row>
    <row r="1500" spans="1:3" x14ac:dyDescent="0.35">
      <c r="A1500" s="383" t="s">
        <v>3987</v>
      </c>
      <c r="B1500">
        <f>PedBerTPN!$E$21</f>
        <v>0</v>
      </c>
    </row>
    <row r="1501" spans="1:3" x14ac:dyDescent="0.35">
      <c r="A1501" s="383" t="s">
        <v>3988</v>
      </c>
      <c r="B1501">
        <f>GlobBerOpm!$C$4</f>
        <v>0</v>
      </c>
    </row>
    <row r="1502" spans="1:3" x14ac:dyDescent="0.35">
      <c r="A1502" s="383" t="s">
        <v>3989</v>
      </c>
      <c r="B1502">
        <f>PedBerTPN!$E$5</f>
        <v>0</v>
      </c>
    </row>
    <row r="1503" spans="1:3" x14ac:dyDescent="0.35">
      <c r="A1503" s="383" t="s">
        <v>3990</v>
      </c>
      <c r="B1503">
        <f>PedBerTPN!$C$16</f>
        <v>0</v>
      </c>
    </row>
    <row r="1504" spans="1:3" x14ac:dyDescent="0.35">
      <c r="A1504" s="383" t="s">
        <v>3991</v>
      </c>
      <c r="B1504" t="b">
        <f>PedBerTPN!$C$15</f>
        <v>0</v>
      </c>
      <c r="C1504" t="b">
        <v>0</v>
      </c>
    </row>
    <row r="1505" spans="1:3" x14ac:dyDescent="0.35">
      <c r="A1505" s="383" t="s">
        <v>3992</v>
      </c>
      <c r="B1505">
        <f>PedBerTPN!$E$15</f>
        <v>1</v>
      </c>
      <c r="C1505">
        <v>1</v>
      </c>
    </row>
    <row r="1506" spans="1:3" x14ac:dyDescent="0.35">
      <c r="A1506" s="383" t="s">
        <v>3993</v>
      </c>
      <c r="B1506">
        <f>PedBerTPN!$B$6</f>
        <v>1</v>
      </c>
      <c r="C1506">
        <v>1</v>
      </c>
    </row>
    <row r="1507" spans="1:3" x14ac:dyDescent="0.35">
      <c r="A1507" s="383" t="s">
        <v>3994</v>
      </c>
      <c r="B1507">
        <f>PedBerTPN!$D$3</f>
        <v>0</v>
      </c>
    </row>
    <row r="1508" spans="1:3" x14ac:dyDescent="0.35">
      <c r="A1508" s="383" t="s">
        <v>3995</v>
      </c>
      <c r="B1508">
        <f>PedBerTPN!$B$20</f>
        <v>1</v>
      </c>
      <c r="C1508">
        <v>1</v>
      </c>
    </row>
    <row r="1509" spans="1:3" x14ac:dyDescent="0.35">
      <c r="A1509" s="383" t="s">
        <v>3996</v>
      </c>
      <c r="B1509">
        <f>PedBerTPN!$D$19</f>
        <v>0</v>
      </c>
      <c r="C1509">
        <v>0</v>
      </c>
    </row>
    <row r="1510" spans="1:3" x14ac:dyDescent="0.35">
      <c r="A1510" s="383" t="s">
        <v>3997</v>
      </c>
      <c r="B1510" t="b">
        <f>PedBerTPN!$C$14</f>
        <v>0</v>
      </c>
      <c r="C1510" t="b">
        <v>0</v>
      </c>
    </row>
    <row r="1511" spans="1:3" x14ac:dyDescent="0.35">
      <c r="A1511" s="383" t="s">
        <v>3998</v>
      </c>
      <c r="B1511">
        <f>PedBerTPN!$E$14</f>
        <v>1</v>
      </c>
      <c r="C1511">
        <v>1</v>
      </c>
    </row>
    <row r="1512" spans="1:3" x14ac:dyDescent="0.35">
      <c r="A1512" s="383" t="s">
        <v>3999</v>
      </c>
      <c r="B1512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12"/>
  <sheetViews>
    <sheetView workbookViewId="0">
      <selection activeCell="B8" sqref="B8"/>
    </sheetView>
  </sheetViews>
  <sheetFormatPr defaultRowHeight="12.85" x14ac:dyDescent="0.35"/>
  <cols>
    <col min="1" max="1" width="20.19921875" customWidth="1"/>
    <col min="2" max="2" width="13.86328125" bestFit="1" customWidth="1"/>
    <col min="3" max="3" width="9.86328125" bestFit="1" customWidth="1"/>
    <col min="4" max="6" width="14.53125" customWidth="1"/>
    <col min="7" max="7" width="7.73046875" bestFit="1" customWidth="1"/>
    <col min="8" max="8" width="6.59765625" bestFit="1" customWidth="1"/>
    <col min="9" max="9" width="19.73046875" customWidth="1"/>
  </cols>
  <sheetData>
    <row r="1" spans="1:7" x14ac:dyDescent="0.35">
      <c r="A1" s="435" t="s">
        <v>401</v>
      </c>
      <c r="D1" t="s">
        <v>228</v>
      </c>
      <c r="E1" t="s">
        <v>470</v>
      </c>
      <c r="F1" s="384" t="s">
        <v>4183</v>
      </c>
    </row>
    <row r="2" spans="1:7" x14ac:dyDescent="0.35">
      <c r="A2" s="384" t="s">
        <v>548</v>
      </c>
      <c r="D2" s="27">
        <f ca="1" xml:space="preserve"> TODAY()</f>
        <v>42739</v>
      </c>
      <c r="E2" s="188"/>
      <c r="F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3" spans="1:7" s="383" customFormat="1" x14ac:dyDescent="0.35">
      <c r="A3" t="s">
        <v>229</v>
      </c>
      <c r="B3"/>
    </row>
    <row r="4" spans="1:7" s="383" customFormat="1" x14ac:dyDescent="0.35">
      <c r="A4" t="s">
        <v>230</v>
      </c>
      <c r="B4"/>
    </row>
    <row r="5" spans="1:7" x14ac:dyDescent="0.35">
      <c r="A5" s="384" t="s">
        <v>4187</v>
      </c>
      <c r="B5" s="27">
        <v>0</v>
      </c>
      <c r="C5" s="6"/>
      <c r="D5" s="6"/>
      <c r="E5" s="6"/>
      <c r="G5" s="6"/>
    </row>
    <row r="6" spans="1:7" x14ac:dyDescent="0.35">
      <c r="A6" t="s">
        <v>295</v>
      </c>
      <c r="B6" s="142">
        <v>100</v>
      </c>
      <c r="C6" s="6"/>
      <c r="D6" s="6"/>
      <c r="E6" s="6"/>
      <c r="G6" s="6"/>
    </row>
    <row r="7" spans="1:7" x14ac:dyDescent="0.35">
      <c r="A7" t="s">
        <v>142</v>
      </c>
      <c r="B7">
        <v>80</v>
      </c>
    </row>
    <row r="8" spans="1:7" x14ac:dyDescent="0.35">
      <c r="A8" s="384" t="s">
        <v>4186</v>
      </c>
    </row>
    <row r="9" spans="1:7" x14ac:dyDescent="0.35">
      <c r="A9" s="384" t="s">
        <v>4185</v>
      </c>
      <c r="B9" s="27">
        <v>42370</v>
      </c>
    </row>
    <row r="10" spans="1:7" x14ac:dyDescent="0.35">
      <c r="E10" s="216"/>
    </row>
    <row r="12" spans="1:7" x14ac:dyDescent="0.35">
      <c r="E12" s="216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45"/>
  <sheetViews>
    <sheetView workbookViewId="0">
      <pane ySplit="5" topLeftCell="A6" activePane="bottomLeft" state="frozen"/>
      <selection activeCell="A6" sqref="A6"/>
      <selection pane="bottomLeft"/>
    </sheetView>
  </sheetViews>
  <sheetFormatPr defaultColWidth="9.1328125" defaultRowHeight="12.85" x14ac:dyDescent="0.35"/>
  <cols>
    <col min="1" max="1" width="7.59765625" style="104" customWidth="1"/>
    <col min="2" max="2" width="4.33203125" style="104" customWidth="1"/>
    <col min="3" max="3" width="27" style="104" customWidth="1"/>
    <col min="4" max="4" width="13.3984375" style="104" customWidth="1"/>
    <col min="5" max="5" width="11.1328125" style="104" customWidth="1"/>
    <col min="6" max="6" width="11" style="104" customWidth="1"/>
    <col min="7" max="7" width="16.59765625" style="104" customWidth="1"/>
    <col min="8" max="8" width="20.1328125" style="104" customWidth="1"/>
    <col min="9" max="9" width="13.265625" style="104" customWidth="1"/>
    <col min="10" max="10" width="9.1328125" style="104"/>
    <col min="11" max="11" width="12.73046875" style="104" customWidth="1"/>
    <col min="12" max="13" width="9.1328125" style="104"/>
    <col min="14" max="15" width="9.3984375" style="104" bestFit="1" customWidth="1"/>
    <col min="16" max="16384" width="9.1328125" style="104"/>
  </cols>
  <sheetData>
    <row r="1" spans="1:82" s="678" customFormat="1" ht="7.55" customHeight="1" x14ac:dyDescent="0.35">
      <c r="A1" s="663"/>
      <c r="B1" s="677"/>
      <c r="C1" s="677"/>
      <c r="D1" s="677"/>
      <c r="E1" s="677"/>
      <c r="F1" s="677"/>
      <c r="G1" s="677"/>
      <c r="H1" s="677"/>
      <c r="I1" s="677"/>
      <c r="J1" s="677"/>
      <c r="K1" s="677"/>
      <c r="L1" s="677"/>
      <c r="N1" s="677"/>
      <c r="S1" s="677"/>
      <c r="T1" s="677"/>
      <c r="U1" s="677"/>
      <c r="V1" s="677"/>
      <c r="W1" s="677"/>
      <c r="X1" s="677"/>
      <c r="Y1" s="677"/>
    </row>
    <row r="2" spans="1:82" s="678" customFormat="1" ht="17.25" customHeight="1" x14ac:dyDescent="0.4">
      <c r="A2" s="677"/>
      <c r="B2" s="677"/>
      <c r="C2" s="665" t="s">
        <v>326</v>
      </c>
      <c r="D2" s="666">
        <f ca="1">Var_AfspraakDatum</f>
        <v>42739</v>
      </c>
      <c r="E2" s="667"/>
      <c r="F2" s="665" t="s">
        <v>327</v>
      </c>
      <c r="G2" s="677"/>
      <c r="H2" s="668">
        <f>_Pat_OpnDatum</f>
        <v>42370</v>
      </c>
      <c r="I2" s="665" t="str">
        <f ca="1">"ICU-dag: "&amp;Var_AfspraakDatum-_Pat_OpnDatum+1</f>
        <v>ICU-dag: 370</v>
      </c>
      <c r="J2" s="670" t="str">
        <f>"Gewicht: "&amp;_Pat_Gewicht/10&amp;" kg"</f>
        <v>Gewicht: 10 kg</v>
      </c>
      <c r="L2" s="677"/>
      <c r="N2" s="677"/>
      <c r="S2" s="677"/>
      <c r="T2" s="677"/>
      <c r="U2" s="677"/>
      <c r="V2" s="677"/>
      <c r="W2" s="677"/>
      <c r="X2" s="677"/>
      <c r="Y2" s="677"/>
    </row>
    <row r="3" spans="1:82" s="678" customFormat="1" ht="17.25" customHeight="1" x14ac:dyDescent="0.4">
      <c r="A3" s="677"/>
      <c r="B3" s="664"/>
      <c r="C3" s="665" t="s">
        <v>28</v>
      </c>
      <c r="D3" s="671" t="str">
        <f>__2_AchterNaam&amp;", "&amp;__3_VoorNaam</f>
        <v xml:space="preserve">, </v>
      </c>
      <c r="E3" s="671"/>
      <c r="F3" s="665" t="s">
        <v>334</v>
      </c>
      <c r="G3" s="677"/>
      <c r="H3" s="668">
        <f>__4_GebDatum</f>
        <v>0</v>
      </c>
      <c r="J3" s="670" t="str">
        <f>"Lengte: "&amp;_Pat_Lengte&amp;" cm"</f>
        <v>Lengte: 80 cm</v>
      </c>
      <c r="K3" s="665"/>
      <c r="L3" s="677"/>
      <c r="N3" s="679"/>
      <c r="S3" s="677"/>
      <c r="T3" s="677"/>
      <c r="U3" s="677"/>
      <c r="V3" s="677"/>
      <c r="W3" s="677"/>
      <c r="X3" s="677"/>
      <c r="Y3" s="677"/>
    </row>
    <row r="4" spans="1:82" s="678" customFormat="1" ht="17.25" customHeight="1" x14ac:dyDescent="0.4">
      <c r="A4" s="680"/>
      <c r="B4" s="680"/>
      <c r="C4" s="665" t="s">
        <v>369</v>
      </c>
      <c r="D4" s="681">
        <f>__0_PatNum</f>
        <v>0</v>
      </c>
      <c r="E4" s="667"/>
      <c r="F4" s="665" t="s">
        <v>296</v>
      </c>
      <c r="G4" s="680"/>
      <c r="H4" s="673" t="str">
        <f ca="1">PatDetails!F2</f>
        <v/>
      </c>
      <c r="I4" s="665"/>
      <c r="J4" s="665" t="str">
        <f>"Lichamelijk oppervlak: "&amp;ROUND(POWER(_Pat_Gewicht/10,0.425)*POWER(((_Pat_Lengte/100)*100),0.725)*0.007184,2)&amp;" m2"</f>
        <v>Lichamelijk oppervlak: 0,46 m2</v>
      </c>
      <c r="K4" s="665"/>
      <c r="L4" s="680"/>
      <c r="N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2"/>
      <c r="AK4" s="682"/>
      <c r="AL4" s="682"/>
      <c r="AM4" s="682"/>
      <c r="AN4" s="682"/>
      <c r="AO4" s="682"/>
      <c r="AP4" s="682"/>
      <c r="AQ4" s="682"/>
      <c r="AR4" s="682"/>
      <c r="AS4" s="682"/>
      <c r="AT4" s="682"/>
      <c r="AU4" s="682"/>
      <c r="AV4" s="682"/>
      <c r="AW4" s="682"/>
      <c r="AX4" s="682"/>
      <c r="AY4" s="682"/>
      <c r="AZ4" s="682"/>
      <c r="BA4" s="682"/>
      <c r="BB4" s="682"/>
      <c r="BC4" s="682"/>
      <c r="BD4" s="682"/>
      <c r="BE4" s="682"/>
      <c r="BF4" s="682"/>
      <c r="BG4" s="682"/>
      <c r="BH4" s="682"/>
      <c r="BI4" s="682"/>
      <c r="BJ4" s="682"/>
      <c r="BK4" s="682"/>
      <c r="BL4" s="682"/>
      <c r="BM4" s="682"/>
      <c r="BN4" s="682"/>
      <c r="BO4" s="682"/>
      <c r="BP4" s="682"/>
      <c r="BQ4" s="682"/>
      <c r="BR4" s="682"/>
      <c r="BS4" s="682"/>
      <c r="BT4" s="682"/>
      <c r="BU4" s="682"/>
      <c r="BV4" s="682"/>
      <c r="BW4" s="682"/>
      <c r="BX4" s="682"/>
      <c r="BY4" s="682"/>
      <c r="BZ4" s="682"/>
      <c r="CA4" s="682"/>
      <c r="CB4" s="682"/>
      <c r="CC4" s="682"/>
      <c r="CD4" s="682"/>
    </row>
    <row r="5" spans="1:82" s="678" customFormat="1" ht="17.25" customHeight="1" x14ac:dyDescent="0.4">
      <c r="A5" s="680"/>
      <c r="B5" s="680"/>
      <c r="C5" s="669" t="s">
        <v>549</v>
      </c>
      <c r="D5" s="669">
        <f>__1_Bed</f>
        <v>0</v>
      </c>
      <c r="E5" s="667"/>
      <c r="F5" s="665"/>
      <c r="G5" s="680"/>
      <c r="H5" s="673"/>
      <c r="I5" s="665"/>
      <c r="J5" s="665"/>
      <c r="K5" s="665"/>
      <c r="L5" s="680"/>
      <c r="N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2"/>
      <c r="AK5" s="682"/>
      <c r="AL5" s="682"/>
      <c r="AM5" s="682"/>
      <c r="AN5" s="682"/>
      <c r="AO5" s="682"/>
      <c r="AP5" s="682"/>
      <c r="AQ5" s="682"/>
      <c r="AR5" s="682"/>
      <c r="AS5" s="682"/>
      <c r="AT5" s="682"/>
      <c r="AU5" s="682"/>
      <c r="AV5" s="682"/>
      <c r="AW5" s="682"/>
      <c r="AX5" s="682"/>
      <c r="AY5" s="682"/>
      <c r="AZ5" s="682"/>
      <c r="BA5" s="682"/>
      <c r="BB5" s="682"/>
      <c r="BC5" s="682"/>
      <c r="BD5" s="682"/>
      <c r="BE5" s="682"/>
      <c r="BF5" s="682"/>
      <c r="BG5" s="682"/>
      <c r="BH5" s="682"/>
      <c r="BI5" s="682"/>
      <c r="BJ5" s="682"/>
      <c r="BK5" s="682"/>
      <c r="BL5" s="682"/>
      <c r="BM5" s="682"/>
      <c r="BN5" s="682"/>
      <c r="BO5" s="682"/>
      <c r="BP5" s="682"/>
      <c r="BQ5" s="682"/>
      <c r="BR5" s="682"/>
      <c r="BS5" s="682"/>
      <c r="BT5" s="682"/>
      <c r="BU5" s="682"/>
      <c r="BV5" s="682"/>
      <c r="BW5" s="682"/>
      <c r="BX5" s="682"/>
      <c r="BY5" s="682"/>
      <c r="BZ5" s="682"/>
      <c r="CA5" s="682"/>
      <c r="CB5" s="682"/>
      <c r="CC5" s="682"/>
      <c r="CD5" s="682"/>
    </row>
    <row r="6" spans="1:82" ht="13.2" x14ac:dyDescent="0.4">
      <c r="A6" s="456"/>
      <c r="B6" s="42"/>
      <c r="C6" s="67"/>
      <c r="D6" s="118"/>
      <c r="E6" s="59"/>
      <c r="F6" s="67"/>
      <c r="G6" s="119"/>
      <c r="H6" s="67"/>
      <c r="I6" s="67"/>
      <c r="J6" s="67"/>
      <c r="K6" s="67"/>
      <c r="L6" s="67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198"/>
      <c r="AA6" s="198"/>
      <c r="AB6" s="211"/>
      <c r="AC6" s="211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AN6" s="198"/>
      <c r="AO6" s="198"/>
      <c r="AP6" s="198"/>
      <c r="AQ6" s="198"/>
      <c r="AR6" s="198"/>
      <c r="AS6" s="198"/>
      <c r="AT6" s="198"/>
      <c r="AU6" s="198"/>
      <c r="AV6" s="198"/>
      <c r="AW6" s="198"/>
      <c r="AX6" s="198"/>
      <c r="AY6" s="198"/>
      <c r="AZ6" s="198"/>
      <c r="BA6" s="198"/>
      <c r="BB6" s="198"/>
      <c r="BC6" s="198"/>
      <c r="BD6" s="198"/>
      <c r="BE6" s="198"/>
      <c r="BF6" s="198"/>
      <c r="BG6" s="198"/>
      <c r="BH6" s="198"/>
      <c r="BI6" s="198"/>
      <c r="BJ6" s="198"/>
      <c r="BK6" s="198"/>
      <c r="BL6" s="198"/>
      <c r="BM6" s="198"/>
      <c r="BN6" s="198"/>
      <c r="BO6" s="198"/>
      <c r="BP6" s="198"/>
      <c r="BQ6" s="198"/>
      <c r="BR6" s="198"/>
      <c r="BS6" s="198"/>
      <c r="BT6" s="198"/>
      <c r="BU6" s="198"/>
      <c r="BV6" s="198"/>
      <c r="BW6" s="198"/>
      <c r="BX6" s="198"/>
      <c r="BY6" s="198"/>
      <c r="BZ6" s="198"/>
      <c r="CA6" s="198"/>
      <c r="CB6" s="198"/>
      <c r="CC6" s="198"/>
      <c r="CD6" s="198"/>
    </row>
    <row r="7" spans="1:82" ht="13.2" x14ac:dyDescent="0.4">
      <c r="A7" s="41"/>
      <c r="B7" s="42"/>
      <c r="C7" s="874" t="s">
        <v>353</v>
      </c>
      <c r="D7" s="875" t="s">
        <v>222</v>
      </c>
      <c r="E7" s="874" t="s">
        <v>165</v>
      </c>
      <c r="F7" s="876"/>
      <c r="G7" s="874" t="s">
        <v>52</v>
      </c>
      <c r="H7" s="874" t="s">
        <v>354</v>
      </c>
      <c r="I7" s="874"/>
      <c r="J7" s="874" t="s">
        <v>333</v>
      </c>
      <c r="K7" s="874" t="s">
        <v>350</v>
      </c>
      <c r="L7" s="684"/>
      <c r="M7" s="683"/>
      <c r="N7" s="738"/>
      <c r="O7" s="738"/>
      <c r="P7" s="738"/>
      <c r="Q7" s="738"/>
      <c r="R7" s="738"/>
      <c r="S7" s="738"/>
      <c r="T7" s="43"/>
      <c r="U7" s="43"/>
      <c r="V7" s="43"/>
      <c r="W7" s="43"/>
      <c r="X7" s="43"/>
      <c r="Y7" s="43"/>
      <c r="AA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  <c r="BC7" s="198"/>
      <c r="BD7" s="198"/>
      <c r="BE7" s="198"/>
      <c r="BF7" s="198"/>
      <c r="BG7" s="198"/>
      <c r="BH7" s="198"/>
      <c r="BI7" s="198"/>
      <c r="BJ7" s="198"/>
      <c r="BK7" s="198"/>
      <c r="BL7" s="198"/>
      <c r="BM7" s="198"/>
      <c r="BN7" s="198"/>
      <c r="BO7" s="198"/>
      <c r="BP7" s="198"/>
      <c r="BQ7" s="198"/>
      <c r="BR7" s="198"/>
      <c r="BS7" s="198"/>
      <c r="BT7" s="198"/>
      <c r="BU7" s="198"/>
      <c r="BV7" s="198"/>
      <c r="BW7" s="198"/>
      <c r="BX7" s="198"/>
      <c r="BY7" s="198"/>
      <c r="BZ7" s="198"/>
      <c r="CA7" s="198"/>
      <c r="CB7" s="198"/>
      <c r="CC7" s="198"/>
      <c r="CD7" s="198"/>
    </row>
    <row r="8" spans="1:82" ht="6.8" customHeight="1" x14ac:dyDescent="0.35">
      <c r="A8" s="41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AA8" s="198"/>
      <c r="AF8" s="198"/>
      <c r="AG8" s="198"/>
      <c r="AH8" s="198"/>
      <c r="AI8" s="198"/>
      <c r="AJ8" s="198"/>
      <c r="AK8" s="198"/>
      <c r="AL8" s="198"/>
      <c r="AM8" s="198"/>
      <c r="AN8" s="198"/>
      <c r="AO8" s="198"/>
      <c r="AP8" s="198"/>
      <c r="AQ8" s="198"/>
      <c r="AR8" s="198"/>
      <c r="AS8" s="198"/>
      <c r="AT8" s="198"/>
      <c r="AU8" s="198"/>
      <c r="AV8" s="198"/>
      <c r="AW8" s="198"/>
      <c r="AX8" s="198"/>
      <c r="AY8" s="198"/>
      <c r="AZ8" s="198"/>
      <c r="BA8" s="198"/>
      <c r="BB8" s="198"/>
      <c r="BC8" s="198"/>
      <c r="BD8" s="198"/>
      <c r="BE8" s="198"/>
      <c r="BF8" s="198"/>
      <c r="BG8" s="198"/>
      <c r="BH8" s="198"/>
      <c r="BI8" s="198"/>
      <c r="BJ8" s="198"/>
      <c r="BK8" s="198"/>
      <c r="BL8" s="198"/>
      <c r="BM8" s="198"/>
      <c r="BN8" s="198"/>
      <c r="BO8" s="198"/>
      <c r="BP8" s="198"/>
      <c r="BQ8" s="198"/>
      <c r="BR8" s="198"/>
      <c r="BS8" s="198"/>
      <c r="BT8" s="198"/>
      <c r="BU8" s="198"/>
      <c r="BV8" s="198"/>
      <c r="BW8" s="198"/>
      <c r="BX8" s="198"/>
      <c r="BY8" s="198"/>
      <c r="BZ8" s="198"/>
      <c r="CA8" s="198"/>
      <c r="CB8" s="198"/>
      <c r="CC8" s="198"/>
      <c r="CD8" s="198"/>
    </row>
    <row r="9" spans="1:82" ht="20.100000000000001" customHeight="1" x14ac:dyDescent="0.4">
      <c r="A9" s="731" t="s">
        <v>4184</v>
      </c>
      <c r="B9" s="729">
        <v>1</v>
      </c>
      <c r="C9" s="730">
        <f>INDEX(tblMedicationContIV,PedBerMedIV!$B3,1)</f>
        <v>0</v>
      </c>
      <c r="D9" s="732" t="str">
        <f>INDEX(tblBerMedContIV,2,5)&amp;" "&amp;INDEX(tblMedicationContIV,PedBerMedIV!$B3,4)</f>
        <v xml:space="preserve"> </v>
      </c>
      <c r="E9" s="733" t="str">
        <f>IF(AND(C9&lt;&gt;0,INDEX(tblBerMedContIV,2,6)&lt;&gt;""),INDEX(tblBerMedContIV,2,6)&amp;" ml","")</f>
        <v/>
      </c>
      <c r="F9" s="740">
        <f>INDEX(tblOplossing,PedBerMedIV!I3,1)</f>
        <v>0</v>
      </c>
      <c r="G9" s="733" t="str">
        <f>IF(C9&lt;&gt;0,PedBerMedIV!J3/10&amp;" ml/uur","")</f>
        <v/>
      </c>
      <c r="H9" s="733">
        <f>IF(C9&lt;&gt;0,(PedBerMedIV!J3/10)*INDEX(tblBerMedContIV,2,7),0)</f>
        <v>0</v>
      </c>
      <c r="I9" s="733">
        <f>INDEX(tblMedicationContIV,PedBerMedIV!$B3,2)</f>
        <v>0</v>
      </c>
      <c r="J9" s="729" t="str">
        <f>IF(C9&lt;&gt;0,24*PedBerMedIV!J3/10&amp;" ml","")</f>
        <v/>
      </c>
      <c r="K9" s="734">
        <f>INDEX(tblMedicationContIV,PedBerMedIV!$B3,3)</f>
        <v>0</v>
      </c>
      <c r="L9" s="729"/>
      <c r="M9" s="729"/>
      <c r="N9" s="739"/>
      <c r="O9" s="729"/>
      <c r="P9" s="729"/>
      <c r="Q9" s="729"/>
      <c r="R9" s="729"/>
      <c r="S9" s="729"/>
      <c r="T9" s="42"/>
      <c r="U9" s="42"/>
      <c r="V9" s="42"/>
      <c r="W9" s="42"/>
      <c r="X9" s="42"/>
      <c r="Y9" s="42"/>
      <c r="AA9" s="198"/>
      <c r="AB9" s="104" t="b">
        <f>IF(C9&lt;&gt;0,INDEX(tblMedicationContIV,PedBerMedIV!$B3,6)*(PedBerMedIV!J3/10))</f>
        <v>0</v>
      </c>
      <c r="AC9" s="104">
        <f>IF(AB9&gt;=10,0,IF(AB9&gt;=1,1,IF(AB9&gt;=0,2,IF(AB9&gt;=0.1,3,IF(AB9&gt;=0.01,4,5)))))</f>
        <v>0</v>
      </c>
      <c r="AD9" s="104">
        <f>ROUND(AB9,AC9)</f>
        <v>0</v>
      </c>
      <c r="AF9" s="198"/>
      <c r="AG9" s="198"/>
      <c r="AH9" s="198"/>
      <c r="AI9" s="198"/>
      <c r="AJ9" s="198"/>
      <c r="AK9" s="198"/>
      <c r="AL9" s="198"/>
      <c r="AM9" s="198"/>
      <c r="AN9" s="198"/>
      <c r="AO9" s="198"/>
      <c r="AP9" s="198"/>
      <c r="AQ9" s="198"/>
      <c r="AR9" s="198"/>
      <c r="AS9" s="198"/>
      <c r="AT9" s="198"/>
      <c r="AU9" s="198"/>
      <c r="AV9" s="198"/>
      <c r="AW9" s="198"/>
      <c r="AX9" s="198"/>
      <c r="AY9" s="198"/>
      <c r="AZ9" s="198"/>
      <c r="BA9" s="198"/>
      <c r="BB9" s="198"/>
      <c r="BC9" s="198"/>
      <c r="BD9" s="198"/>
      <c r="BE9" s="198"/>
      <c r="BF9" s="198"/>
      <c r="BG9" s="198"/>
      <c r="BH9" s="198"/>
      <c r="BI9" s="198"/>
      <c r="BJ9" s="198"/>
      <c r="BK9" s="198"/>
      <c r="BL9" s="198"/>
      <c r="BM9" s="198"/>
      <c r="BN9" s="198"/>
      <c r="BO9" s="198"/>
      <c r="BP9" s="198"/>
      <c r="BQ9" s="198"/>
      <c r="BR9" s="198"/>
      <c r="BS9" s="198"/>
      <c r="BT9" s="198"/>
      <c r="BU9" s="198"/>
      <c r="BV9" s="198"/>
      <c r="BW9" s="198"/>
      <c r="BX9" s="198"/>
      <c r="BY9" s="198"/>
      <c r="BZ9" s="198"/>
      <c r="CA9" s="198"/>
      <c r="CB9" s="198"/>
      <c r="CC9" s="198"/>
      <c r="CD9" s="198"/>
    </row>
    <row r="10" spans="1:82" ht="20.100000000000001" customHeight="1" x14ac:dyDescent="0.4">
      <c r="A10" s="735" t="s">
        <v>4184</v>
      </c>
      <c r="B10" s="42">
        <v>2</v>
      </c>
      <c r="C10" s="214">
        <f>INDEX(tblMedicationContIV,PedBerMedIV!$B4,1)</f>
        <v>0</v>
      </c>
      <c r="D10" s="616" t="str">
        <f>INDEX(tblBerMedContIV,3,5)&amp;" "&amp;INDEX(tblMedicationContIV,PedBerMedIV!$B4,4)</f>
        <v xml:space="preserve"> </v>
      </c>
      <c r="E10" s="43" t="str">
        <f>IF(AND(C9&lt;&gt;0,INDEX(tblBerMedContIV,3,6)&lt;&gt;""),INDEX(tblBerMedContIV,3,6)&amp;" ml","")</f>
        <v/>
      </c>
      <c r="F10" s="115">
        <f>INDEX(tblOplossing,PedBerMedIV!I4,1)</f>
        <v>0</v>
      </c>
      <c r="G10" s="43" t="str">
        <f>IF(C10&lt;&gt;0,PedBerMedIV!J4/10&amp;" ml/uur","")</f>
        <v/>
      </c>
      <c r="H10" s="43">
        <f>IF(C10&lt;&gt;0,(PedBerMedIV!J4/10)*INDEX(tblBerMedContIV,3,7),0)</f>
        <v>0</v>
      </c>
      <c r="I10" s="43">
        <f>INDEX(tblMedicationContIV,PedBerMedIV!$B4,2)</f>
        <v>0</v>
      </c>
      <c r="J10" s="42" t="str">
        <f>IF(C10&lt;&gt;0,24*PedBerMedIV!J4/10&amp;" ml","")</f>
        <v/>
      </c>
      <c r="K10" s="123">
        <f>INDEX(tblMedicationContIV,PedBerMedIV!$B4,3)</f>
        <v>0</v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AA10" s="198"/>
      <c r="AB10" s="104" t="b">
        <f>IF(C10&lt;&gt;0,INDEX(tblMedicationContIV,PedBerMedIV!$B4,6)*(PedBerMedIV!J4/10))</f>
        <v>0</v>
      </c>
      <c r="AC10" s="104">
        <f t="shared" ref="AC10:AC18" si="0">IF(AB10&gt;=10,0,IF(AB10&gt;=1,1,IF(AB10&gt;=0,2,IF(AB10&gt;=0.1,3,IF(AB10&gt;=0.01,4,5)))))</f>
        <v>0</v>
      </c>
      <c r="AD10" s="104">
        <f t="shared" ref="AD10:AD18" si="1">ROUND(AB10,AC10)</f>
        <v>0</v>
      </c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98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98"/>
      <c r="CA10" s="198"/>
      <c r="CB10" s="198"/>
      <c r="CC10" s="198"/>
      <c r="CD10" s="198"/>
    </row>
    <row r="11" spans="1:82" ht="20.100000000000001" customHeight="1" x14ac:dyDescent="0.4">
      <c r="A11" s="731" t="s">
        <v>4184</v>
      </c>
      <c r="B11" s="729">
        <v>3</v>
      </c>
      <c r="C11" s="730">
        <f>INDEX(tblMedicationContIV,PedBerMedIV!$B5,1)</f>
        <v>0</v>
      </c>
      <c r="D11" s="732" t="str">
        <f>INDEX(tblBerMedContIV,4,5)&amp;" "&amp;INDEX(tblMedicationContIV,PedBerMedIV!$B5,4)</f>
        <v xml:space="preserve"> </v>
      </c>
      <c r="E11" s="733" t="str">
        <f>IF(AND(C9&lt;&gt;0,INDEX(tblBerMedContIV,4,6)&lt;&gt;""),INDEX(tblBerMedContIV,4,6)&amp;" ml","")</f>
        <v/>
      </c>
      <c r="F11" s="740">
        <f>INDEX(tblOplossing,PedBerMedIV!I5,1)</f>
        <v>0</v>
      </c>
      <c r="G11" s="733" t="str">
        <f>IF(C11&lt;&gt;0,PedBerMedIV!J5/10&amp;" ml/uur","")</f>
        <v/>
      </c>
      <c r="H11" s="733">
        <f>IF(C11&lt;&gt;0,(PedBerMedIV!J5/10)*INDEX(tblBerMedContIV,4,7),0)</f>
        <v>0</v>
      </c>
      <c r="I11" s="733">
        <f>INDEX(tblMedicationContIV,PedBerMedIV!$B5,2)</f>
        <v>0</v>
      </c>
      <c r="J11" s="729" t="str">
        <f>IF(C11&lt;&gt;0,24*PedBerMedIV!J5/10&amp;" ml","")</f>
        <v/>
      </c>
      <c r="K11" s="734">
        <f>INDEX(tblMedicationContIV,PedBerMedIV!$B5,3)</f>
        <v>0</v>
      </c>
      <c r="L11" s="729"/>
      <c r="M11" s="729"/>
      <c r="N11" s="729"/>
      <c r="O11" s="729"/>
      <c r="P11" s="729"/>
      <c r="Q11" s="729"/>
      <c r="R11" s="729"/>
      <c r="S11" s="729"/>
      <c r="T11" s="42"/>
      <c r="U11" s="42"/>
      <c r="V11" s="42"/>
      <c r="W11" s="42"/>
      <c r="X11" s="42"/>
      <c r="Y11" s="42"/>
      <c r="AA11" s="198"/>
      <c r="AB11" s="104" t="b">
        <f>IF(C11&lt;&gt;0,INDEX(tblMedicationContIV,PedBerMedIV!$B5,6)*(PedBerMedIV!J5/10))</f>
        <v>0</v>
      </c>
      <c r="AC11" s="104">
        <f t="shared" si="0"/>
        <v>0</v>
      </c>
      <c r="AD11" s="104">
        <f t="shared" si="1"/>
        <v>0</v>
      </c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198"/>
      <c r="BJ11" s="198"/>
      <c r="BK11" s="198"/>
      <c r="BL11" s="198"/>
      <c r="BM11" s="198"/>
      <c r="BN11" s="198"/>
      <c r="BO11" s="198"/>
      <c r="BP11" s="198"/>
      <c r="BQ11" s="198"/>
      <c r="BR11" s="198"/>
      <c r="BS11" s="198"/>
      <c r="BT11" s="198"/>
      <c r="BU11" s="198"/>
      <c r="BV11" s="198"/>
      <c r="BW11" s="198"/>
      <c r="BX11" s="198"/>
      <c r="BY11" s="198"/>
      <c r="BZ11" s="198"/>
      <c r="CA11" s="198"/>
      <c r="CB11" s="198"/>
      <c r="CC11" s="198"/>
      <c r="CD11" s="198"/>
    </row>
    <row r="12" spans="1:82" ht="20.100000000000001" customHeight="1" x14ac:dyDescent="0.4">
      <c r="A12" s="735" t="s">
        <v>4184</v>
      </c>
      <c r="B12" s="42">
        <v>4</v>
      </c>
      <c r="C12" s="214">
        <f>INDEX(tblMedicationContIV,PedBerMedIV!$B6,1)</f>
        <v>0</v>
      </c>
      <c r="D12" s="616" t="str">
        <f>INDEX(tblBerMedContIV,5,5)&amp;" "&amp;INDEX(tblMedicationContIV,PedBerMedIV!$B6,4)</f>
        <v xml:space="preserve"> </v>
      </c>
      <c r="E12" s="43" t="str">
        <f>IF(AND(C9&lt;&gt;0,INDEX(tblBerMedContIV,5,6)&lt;&gt;""),INDEX(tblBerMedContIV,5,6)&amp;" ml","")</f>
        <v/>
      </c>
      <c r="F12" s="115">
        <f>INDEX(tblOplossing,PedBerMedIV!I6,1)</f>
        <v>0</v>
      </c>
      <c r="G12" s="43" t="str">
        <f>IF(C12&lt;&gt;0,PedBerMedIV!J6/10&amp;" ml/uur","")</f>
        <v/>
      </c>
      <c r="H12" s="43">
        <f>IF(C12&lt;&gt;0,(PedBerMedIV!J6/10)*INDEX(tblBerMedContIV,5,7),0)</f>
        <v>0</v>
      </c>
      <c r="I12" s="43">
        <f>INDEX(tblMedicationContIV,PedBerMedIV!$B6,2)</f>
        <v>0</v>
      </c>
      <c r="J12" s="42" t="str">
        <f>IF(C12&lt;&gt;0,24*PedBerMedIV!J6/10&amp;" ml","")</f>
        <v/>
      </c>
      <c r="K12" s="123">
        <f>INDEX(tblMedicationContIV,PedBerMedIV!$B6,3)</f>
        <v>0</v>
      </c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AA12" s="198"/>
      <c r="AB12" s="104" t="b">
        <f>IF(C12&lt;&gt;0,INDEX(tblMedicationContIV,PedBerMedIV!$B6,6)*(PedBerMedIV!J6/10))</f>
        <v>0</v>
      </c>
      <c r="AC12" s="104">
        <f t="shared" si="0"/>
        <v>0</v>
      </c>
      <c r="AD12" s="104">
        <f t="shared" si="1"/>
        <v>0</v>
      </c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</row>
    <row r="13" spans="1:82" ht="20.100000000000001" customHeight="1" x14ac:dyDescent="0.4">
      <c r="A13" s="731" t="s">
        <v>4184</v>
      </c>
      <c r="B13" s="729">
        <v>5</v>
      </c>
      <c r="C13" s="730">
        <f>INDEX(tblMedicationContIV,PedBerMedIV!$B7,1)</f>
        <v>0</v>
      </c>
      <c r="D13" s="732" t="str">
        <f>INDEX(tblBerMedContIV,6,5)&amp;" "&amp;INDEX(tblMedicationContIV,PedBerMedIV!$B7,4)</f>
        <v xml:space="preserve"> </v>
      </c>
      <c r="E13" s="733" t="str">
        <f>IF(AND(C9&lt;&gt;0,INDEX(tblBerMedContIV,6,6)&lt;&gt;""),INDEX(tblBerMedContIV,6,6)&amp;" ml","")</f>
        <v/>
      </c>
      <c r="F13" s="740">
        <f>INDEX(tblOplossing,PedBerMedIV!I7,1)</f>
        <v>0</v>
      </c>
      <c r="G13" s="733" t="str">
        <f>IF(C13&lt;&gt;0,PedBerMedIV!J7/10&amp;" ml/uur","")</f>
        <v/>
      </c>
      <c r="H13" s="733">
        <f>IF(C13&lt;&gt;0,(PedBerMedIV!J7/10)*INDEX(tblBerMedContIV,6,7),0)</f>
        <v>0</v>
      </c>
      <c r="I13" s="733">
        <f>INDEX(tblMedicationContIV,PedBerMedIV!$B7,2)</f>
        <v>0</v>
      </c>
      <c r="J13" s="729" t="str">
        <f>IF(C13&lt;&gt;0,24*PedBerMedIV!J7/10&amp;" ml","")</f>
        <v/>
      </c>
      <c r="K13" s="734">
        <f>INDEX(tblMedicationContIV,PedBerMedIV!$B7,3)</f>
        <v>0</v>
      </c>
      <c r="L13" s="729"/>
      <c r="M13" s="729"/>
      <c r="N13" s="729"/>
      <c r="O13" s="729"/>
      <c r="P13" s="729"/>
      <c r="Q13" s="729"/>
      <c r="R13" s="729"/>
      <c r="S13" s="729"/>
      <c r="T13" s="42"/>
      <c r="U13" s="42"/>
      <c r="V13" s="42"/>
      <c r="W13" s="42"/>
      <c r="X13" s="42"/>
      <c r="Y13" s="42"/>
      <c r="AA13" s="198"/>
      <c r="AB13" s="104" t="b">
        <f>IF(C13&lt;&gt;0,INDEX(tblMedicationContIV,PedBerMedIV!$B7,6)*(PedBerMedIV!J7/10))</f>
        <v>0</v>
      </c>
      <c r="AC13" s="104">
        <f t="shared" si="0"/>
        <v>0</v>
      </c>
      <c r="AD13" s="104">
        <f t="shared" si="1"/>
        <v>0</v>
      </c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U13" s="198"/>
      <c r="AV13" s="198"/>
      <c r="AW13" s="198"/>
      <c r="AX13" s="198"/>
      <c r="AY13" s="198"/>
      <c r="AZ13" s="198"/>
      <c r="BA13" s="198"/>
      <c r="BB13" s="198"/>
      <c r="BC13" s="198"/>
      <c r="BD13" s="198"/>
      <c r="BE13" s="198"/>
      <c r="BF13" s="198"/>
      <c r="BG13" s="198"/>
      <c r="BH13" s="198"/>
      <c r="BI13" s="198"/>
      <c r="BJ13" s="198"/>
      <c r="BK13" s="198"/>
      <c r="BL13" s="198"/>
      <c r="BM13" s="198"/>
      <c r="BN13" s="198"/>
      <c r="BO13" s="198"/>
      <c r="BP13" s="198"/>
      <c r="BQ13" s="198"/>
      <c r="BR13" s="198"/>
      <c r="BS13" s="198"/>
      <c r="BT13" s="198"/>
      <c r="BU13" s="198"/>
      <c r="BV13" s="198"/>
      <c r="BW13" s="198"/>
      <c r="BX13" s="198"/>
      <c r="BY13" s="198"/>
      <c r="BZ13" s="198"/>
      <c r="CA13" s="198"/>
      <c r="CB13" s="198"/>
      <c r="CC13" s="198"/>
      <c r="CD13" s="198"/>
    </row>
    <row r="14" spans="1:82" ht="20.100000000000001" customHeight="1" x14ac:dyDescent="0.4">
      <c r="A14" s="735" t="s">
        <v>4184</v>
      </c>
      <c r="B14" s="42">
        <v>6</v>
      </c>
      <c r="C14" s="214">
        <f>INDEX(tblMedicationContIV,PedBerMedIV!$B8,1)</f>
        <v>0</v>
      </c>
      <c r="D14" s="616" t="str">
        <f>INDEX(tblBerMedContIV,7,5)&amp;" "&amp;INDEX(tblMedicationContIV,PedBerMedIV!$B8,4)</f>
        <v xml:space="preserve"> </v>
      </c>
      <c r="E14" s="43" t="str">
        <f>IF(AND(C9&lt;&gt;0,INDEX(tblBerMedContIV,7,6)&lt;&gt;""),INDEX(tblBerMedContIV,7,6)&amp;" ml","")</f>
        <v/>
      </c>
      <c r="F14" s="115">
        <f>INDEX(tblOplossing,PedBerMedIV!I8,1)</f>
        <v>0</v>
      </c>
      <c r="G14" s="43" t="str">
        <f>IF(C14&lt;&gt;0,PedBerMedIV!J8/10&amp;" ml/uur","")</f>
        <v/>
      </c>
      <c r="H14" s="43">
        <f>IF(C14&lt;&gt;0,(PedBerMedIV!J8/10)*INDEX(tblBerMedContIV,7,7),0)</f>
        <v>0</v>
      </c>
      <c r="I14" s="43">
        <f>INDEX(tblMedicationContIV,PedBerMedIV!$B8,2)</f>
        <v>0</v>
      </c>
      <c r="J14" s="42" t="str">
        <f>IF(C14&lt;&gt;0,24*PedBerMedIV!J8/10&amp;" ml","")</f>
        <v/>
      </c>
      <c r="K14" s="123">
        <f>INDEX(tblMedicationContIV,PedBerMedIV!$B8,3)</f>
        <v>0</v>
      </c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AA14" s="198"/>
      <c r="AB14" s="104" t="b">
        <f>IF(C14&lt;&gt;0,INDEX(tblMedicationContIV,PedBerMedIV!$B8,6)*(PedBerMedIV!J8/10))</f>
        <v>0</v>
      </c>
      <c r="AC14" s="104">
        <f t="shared" si="0"/>
        <v>0</v>
      </c>
      <c r="AD14" s="104">
        <f t="shared" si="1"/>
        <v>0</v>
      </c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</row>
    <row r="15" spans="1:82" ht="20.100000000000001" customHeight="1" x14ac:dyDescent="0.4">
      <c r="A15" s="731" t="s">
        <v>4184</v>
      </c>
      <c r="B15" s="729">
        <v>7</v>
      </c>
      <c r="C15" s="730">
        <f>INDEX(tblMedicationContIV,PedBerMedIV!$B9,1)</f>
        <v>0</v>
      </c>
      <c r="D15" s="732" t="str">
        <f>INDEX(tblBerMedContIV,8,5)&amp;" "&amp;INDEX(tblMedicationContIV,PedBerMedIV!$B9,4)</f>
        <v xml:space="preserve"> </v>
      </c>
      <c r="E15" s="733" t="str">
        <f>IF(AND(C9&lt;&gt;0,INDEX(tblBerMedContIV,8,6)&lt;&gt;""),INDEX(tblBerMedContIV,8,6)&amp;" ml","")</f>
        <v/>
      </c>
      <c r="F15" s="740">
        <f>INDEX(tblOplossing,PedBerMedIV!I9,1)</f>
        <v>0</v>
      </c>
      <c r="G15" s="733" t="str">
        <f>IF(C15&lt;&gt;0,PedBerMedIV!J9/10&amp;" ml/uur","")</f>
        <v/>
      </c>
      <c r="H15" s="733">
        <f>IF(C15&lt;&gt;0,(PedBerMedIV!J9/10)*INDEX(tblBerMedContIV,8,7),0)</f>
        <v>0</v>
      </c>
      <c r="I15" s="733">
        <f>INDEX(tblMedicationContIV,PedBerMedIV!$B9,2)</f>
        <v>0</v>
      </c>
      <c r="J15" s="729" t="str">
        <f>IF(C15&lt;&gt;0,24*PedBerMedIV!J9/10&amp;" ml","")</f>
        <v/>
      </c>
      <c r="K15" s="734">
        <f>INDEX(tblMedicationContIV,PedBerMedIV!$B9,3)</f>
        <v>0</v>
      </c>
      <c r="L15" s="729"/>
      <c r="M15" s="729"/>
      <c r="N15" s="729"/>
      <c r="O15" s="729"/>
      <c r="P15" s="729"/>
      <c r="Q15" s="729"/>
      <c r="R15" s="729"/>
      <c r="S15" s="729"/>
      <c r="T15" s="42"/>
      <c r="U15" s="42"/>
      <c r="V15" s="42"/>
      <c r="W15" s="42"/>
      <c r="X15" s="42"/>
      <c r="Y15" s="42"/>
      <c r="AA15" s="198"/>
      <c r="AB15" s="104" t="b">
        <f>IF(C15&lt;&gt;0,INDEX(tblMedicationContIV,PedBerMedIV!$B9,6)*(PedBerMedIV!J9/10))</f>
        <v>0</v>
      </c>
      <c r="AC15" s="104">
        <f t="shared" si="0"/>
        <v>0</v>
      </c>
      <c r="AD15" s="104">
        <f t="shared" si="1"/>
        <v>0</v>
      </c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</row>
    <row r="16" spans="1:82" ht="20.100000000000001" customHeight="1" x14ac:dyDescent="0.4">
      <c r="A16" s="735" t="s">
        <v>4184</v>
      </c>
      <c r="B16" s="42">
        <v>8</v>
      </c>
      <c r="C16" s="214">
        <f>INDEX(tblMedicationContIV,PedBerMedIV!$B10,1)</f>
        <v>0</v>
      </c>
      <c r="D16" s="616" t="str">
        <f>INDEX(tblBerMedContIV,9,5)&amp;" "&amp;INDEX(tblMedicationContIV,PedBerMedIV!$B10,4)</f>
        <v xml:space="preserve"> </v>
      </c>
      <c r="E16" s="43" t="str">
        <f>IF(AND(C9&lt;&gt;0,INDEX(tblBerMedContIV,9,6)&lt;&gt;""),INDEX(tblBerMedContIV,9,6)&amp;" ml","")</f>
        <v/>
      </c>
      <c r="F16" s="115">
        <f>INDEX(tblOplossing,PedBerMedIV!I10,1)</f>
        <v>0</v>
      </c>
      <c r="G16" s="43" t="str">
        <f>IF(C16&lt;&gt;0,PedBerMedIV!J10/10&amp;" ml/uur","")</f>
        <v/>
      </c>
      <c r="H16" s="43">
        <f>IF(C16&lt;&gt;0,(PedBerMedIV!J10/10)*INDEX(tblBerMedContIV,9,7),0)</f>
        <v>0</v>
      </c>
      <c r="I16" s="43">
        <f>INDEX(tblMedicationContIV,PedBerMedIV!$B10,2)</f>
        <v>0</v>
      </c>
      <c r="J16" s="42" t="str">
        <f>IF(C16&lt;&gt;0,24*PedBerMedIV!J10/10&amp;" ml","")</f>
        <v/>
      </c>
      <c r="K16" s="123">
        <f>INDEX(tblMedicationContIV,PedBerMedIV!$B10,3)</f>
        <v>0</v>
      </c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AA16" s="198"/>
      <c r="AB16" s="104" t="b">
        <f>IF(C16&lt;&gt;0,INDEX(tblMedicationContIV,PedBerMedIV!$B10,6)*(PedBerMedIV!J10/10))</f>
        <v>0</v>
      </c>
      <c r="AC16" s="104">
        <f t="shared" si="0"/>
        <v>0</v>
      </c>
      <c r="AD16" s="104">
        <f t="shared" si="1"/>
        <v>0</v>
      </c>
      <c r="AF16" s="198"/>
      <c r="AG16" s="198"/>
      <c r="AH16" s="198"/>
      <c r="AI16" s="198"/>
      <c r="AJ16" s="198"/>
      <c r="AK16" s="198"/>
      <c r="AL16" s="198"/>
      <c r="AM16" s="198"/>
      <c r="AN16" s="198"/>
      <c r="AO16" s="198"/>
      <c r="AP16" s="198"/>
      <c r="AQ16" s="198"/>
      <c r="AR16" s="198"/>
      <c r="AS16" s="198"/>
      <c r="AT16" s="198"/>
      <c r="AU16" s="198"/>
      <c r="AV16" s="198"/>
      <c r="AW16" s="198"/>
      <c r="AX16" s="198"/>
      <c r="AY16" s="198"/>
      <c r="AZ16" s="198"/>
      <c r="BA16" s="198"/>
      <c r="BB16" s="198"/>
      <c r="BC16" s="198"/>
      <c r="BD16" s="198"/>
      <c r="BE16" s="198"/>
      <c r="BF16" s="198"/>
      <c r="BG16" s="198"/>
      <c r="BH16" s="198"/>
      <c r="BI16" s="198"/>
      <c r="BJ16" s="198"/>
      <c r="BK16" s="198"/>
      <c r="BL16" s="198"/>
      <c r="BM16" s="198"/>
      <c r="BN16" s="198"/>
      <c r="BO16" s="198"/>
      <c r="BP16" s="198"/>
      <c r="BQ16" s="198"/>
      <c r="BR16" s="198"/>
      <c r="BS16" s="198"/>
      <c r="BT16" s="198"/>
      <c r="BU16" s="198"/>
      <c r="BV16" s="198"/>
      <c r="BW16" s="198"/>
      <c r="BX16" s="198"/>
      <c r="BY16" s="198"/>
      <c r="BZ16" s="198"/>
      <c r="CA16" s="198"/>
      <c r="CB16" s="198"/>
      <c r="CC16" s="198"/>
      <c r="CD16" s="198"/>
    </row>
    <row r="17" spans="1:82" ht="20.100000000000001" customHeight="1" x14ac:dyDescent="0.4">
      <c r="A17" s="731" t="s">
        <v>4184</v>
      </c>
      <c r="B17" s="729">
        <v>9</v>
      </c>
      <c r="C17" s="730">
        <f>INDEX(tblMedicationContIV,PedBerMedIV!$B11,1)</f>
        <v>0</v>
      </c>
      <c r="D17" s="732" t="str">
        <f>INDEX(tblBerMedContIV,10,5)&amp;" "&amp;INDEX(tblMedicationContIV,PedBerMedIV!$B11,4)</f>
        <v xml:space="preserve"> </v>
      </c>
      <c r="E17" s="733" t="str">
        <f>IF(AND(C9&lt;&gt;0,INDEX(tblBerMedContIV,10,6)&lt;&gt;""),INDEX(tblBerMedContIV,10,6)&amp;" ml","")</f>
        <v/>
      </c>
      <c r="F17" s="740">
        <f>INDEX(tblOplossing,PedBerMedIV!I11,1)</f>
        <v>0</v>
      </c>
      <c r="G17" s="733" t="str">
        <f>IF(C17&lt;&gt;0,PedBerMedIV!J11/10&amp;" ml/uur","")</f>
        <v/>
      </c>
      <c r="H17" s="733">
        <f>IF(C17&lt;&gt;0,(PedBerMedIV!J11/10)*INDEX(tblBerMedContIV,10,7),0)</f>
        <v>0</v>
      </c>
      <c r="I17" s="733">
        <f>INDEX(tblMedicationContIV,PedBerMedIV!$B11,2)</f>
        <v>0</v>
      </c>
      <c r="J17" s="729" t="str">
        <f>IF(C17&lt;&gt;0,24*PedBerMedIV!J11/10&amp;" ml","")</f>
        <v/>
      </c>
      <c r="K17" s="734">
        <f>INDEX(tblMedicationContIV,PedBerMedIV!$B11,3)</f>
        <v>0</v>
      </c>
      <c r="L17" s="729"/>
      <c r="M17" s="729"/>
      <c r="N17" s="729"/>
      <c r="O17" s="729"/>
      <c r="P17" s="729"/>
      <c r="Q17" s="729"/>
      <c r="R17" s="729"/>
      <c r="S17" s="729"/>
      <c r="T17" s="42"/>
      <c r="U17" s="42"/>
      <c r="V17" s="42"/>
      <c r="W17" s="42"/>
      <c r="X17" s="42"/>
      <c r="Y17" s="42"/>
      <c r="AA17" s="198"/>
      <c r="AB17" s="104" t="b">
        <f>IF(C17&lt;&gt;0,INDEX(tblMedicationContIV,PedBerMedIV!$B11,6)*(PedBerMedIV!J11/10))</f>
        <v>0</v>
      </c>
      <c r="AC17" s="104">
        <f t="shared" si="0"/>
        <v>0</v>
      </c>
      <c r="AD17" s="104">
        <f t="shared" si="1"/>
        <v>0</v>
      </c>
      <c r="AF17" s="198"/>
      <c r="AG17" s="198"/>
      <c r="AH17" s="198"/>
      <c r="AI17" s="198"/>
      <c r="AJ17" s="198"/>
      <c r="AK17" s="198"/>
      <c r="AL17" s="198"/>
      <c r="AM17" s="198"/>
      <c r="AN17" s="198"/>
      <c r="AO17" s="198"/>
      <c r="AP17" s="198"/>
      <c r="AQ17" s="198"/>
      <c r="AR17" s="198"/>
      <c r="AS17" s="198"/>
      <c r="AT17" s="198"/>
      <c r="AU17" s="198"/>
      <c r="AV17" s="198"/>
      <c r="AW17" s="198"/>
      <c r="AX17" s="198"/>
      <c r="AY17" s="198"/>
      <c r="AZ17" s="198"/>
      <c r="BA17" s="198"/>
      <c r="BB17" s="198"/>
      <c r="BC17" s="198"/>
      <c r="BD17" s="198"/>
      <c r="BE17" s="198"/>
      <c r="BF17" s="198"/>
      <c r="BG17" s="198"/>
      <c r="BH17" s="198"/>
      <c r="BI17" s="198"/>
      <c r="BJ17" s="198"/>
      <c r="BK17" s="198"/>
      <c r="BL17" s="198"/>
      <c r="BM17" s="198"/>
      <c r="BN17" s="198"/>
      <c r="BO17" s="198"/>
      <c r="BP17" s="198"/>
      <c r="BQ17" s="198"/>
      <c r="BR17" s="198"/>
      <c r="BS17" s="198"/>
      <c r="BT17" s="198"/>
      <c r="BU17" s="198"/>
      <c r="BV17" s="198"/>
      <c r="BW17" s="198"/>
      <c r="BX17" s="198"/>
      <c r="BY17" s="198"/>
      <c r="BZ17" s="198"/>
      <c r="CA17" s="198"/>
      <c r="CB17" s="198"/>
      <c r="CC17" s="198"/>
      <c r="CD17" s="198"/>
    </row>
    <row r="18" spans="1:82" ht="20.100000000000001" customHeight="1" x14ac:dyDescent="0.4">
      <c r="A18" s="735" t="s">
        <v>4184</v>
      </c>
      <c r="B18" s="42">
        <v>10</v>
      </c>
      <c r="C18" s="214">
        <f>INDEX(tblMedicationContIV,PedBerMedIV!$B12,1)</f>
        <v>0</v>
      </c>
      <c r="D18" s="616" t="str">
        <f>INDEX(tblBerMedContIV,11,5)&amp;" "&amp;INDEX(tblMedicationContIV,PedBerMedIV!$B12,4)</f>
        <v xml:space="preserve"> </v>
      </c>
      <c r="E18" s="43" t="str">
        <f>IF(AND(C9&lt;&gt;0,INDEX(tblBerMedContIV,11,6)&lt;&gt;""),INDEX(tblBerMedContIV,11,6)&amp;" ml","")</f>
        <v/>
      </c>
      <c r="F18" s="115">
        <f>INDEX(tblOplossing,PedBerMedIV!I12,1)</f>
        <v>0</v>
      </c>
      <c r="G18" s="43" t="str">
        <f>IF(C18&lt;&gt;0,PedBerMedIV!J12/10&amp;" ml/uur","")</f>
        <v/>
      </c>
      <c r="H18" s="43">
        <f>IF(C18&lt;&gt;0,(PedBerMedIV!J12/10)*INDEX(tblBerMedContIV,11,7),0)</f>
        <v>0</v>
      </c>
      <c r="I18" s="43">
        <f>INDEX(tblMedicationContIV,PedBerMedIV!$B12,2)</f>
        <v>0</v>
      </c>
      <c r="J18" s="42" t="str">
        <f>IF(C18&lt;&gt;0,24*PedBerMedIV!J12/10&amp;" ml","")</f>
        <v/>
      </c>
      <c r="K18" s="123">
        <f>INDEX(tblMedicationContIV,PedBerMedIV!$B12,3)</f>
        <v>0</v>
      </c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AA18" s="198"/>
      <c r="AB18" s="104" t="b">
        <f>IF(C18&lt;&gt;0,INDEX(tblMedicationContIV,PedBerMedIV!$B12,6)*(PedBerMedIV!J12/10))</f>
        <v>0</v>
      </c>
      <c r="AC18" s="104">
        <f t="shared" si="0"/>
        <v>0</v>
      </c>
      <c r="AD18" s="104">
        <f t="shared" si="1"/>
        <v>0</v>
      </c>
      <c r="AF18" s="198"/>
      <c r="AG18" s="198"/>
      <c r="AH18" s="198"/>
      <c r="AI18" s="198"/>
      <c r="AJ18" s="198"/>
      <c r="AK18" s="198"/>
      <c r="AL18" s="198"/>
      <c r="AM18" s="198"/>
      <c r="AN18" s="198"/>
      <c r="AO18" s="198"/>
      <c r="AP18" s="198"/>
      <c r="AQ18" s="198"/>
      <c r="AR18" s="198"/>
      <c r="AS18" s="198"/>
      <c r="AT18" s="198"/>
      <c r="AU18" s="198"/>
      <c r="AV18" s="198"/>
      <c r="AW18" s="198"/>
      <c r="AX18" s="198"/>
      <c r="AY18" s="198"/>
      <c r="AZ18" s="198"/>
      <c r="BA18" s="198"/>
      <c r="BB18" s="198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  <c r="BM18" s="198"/>
      <c r="BN18" s="198"/>
      <c r="BO18" s="198"/>
      <c r="BP18" s="198"/>
      <c r="BQ18" s="198"/>
      <c r="BR18" s="198"/>
      <c r="BS18" s="198"/>
      <c r="BT18" s="198"/>
      <c r="BU18" s="198"/>
      <c r="BV18" s="198"/>
      <c r="BW18" s="198"/>
      <c r="BX18" s="198"/>
      <c r="BY18" s="198"/>
      <c r="BZ18" s="198"/>
      <c r="CA18" s="198"/>
      <c r="CB18" s="198"/>
      <c r="CC18" s="198"/>
      <c r="CD18" s="198"/>
    </row>
    <row r="19" spans="1:82" ht="20.100000000000001" customHeight="1" x14ac:dyDescent="0.4">
      <c r="A19" s="42"/>
      <c r="B19" s="42"/>
      <c r="C19" s="120"/>
      <c r="D19" s="120"/>
      <c r="E19" s="43"/>
      <c r="F19" s="43"/>
      <c r="G19" s="43"/>
      <c r="H19" s="43"/>
      <c r="I19" s="43"/>
      <c r="J19" s="42"/>
      <c r="K19" s="123" t="str">
        <f>IF(C19&lt;&gt;0,HLOOKUP(C19,#REF!,6),"")</f>
        <v/>
      </c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AA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</row>
    <row r="20" spans="1:82" ht="20.100000000000001" customHeight="1" x14ac:dyDescent="0.4">
      <c r="A20" s="729"/>
      <c r="B20" s="729">
        <v>11</v>
      </c>
      <c r="C20" s="736">
        <f>_Ped_MedIV_Keuze_11</f>
        <v>0</v>
      </c>
      <c r="D20" s="736">
        <f>_Ped_MedIV_Sterkte_11</f>
        <v>0</v>
      </c>
      <c r="E20" s="733" t="str">
        <f>IF(C20&lt;&gt;0,PedBerMedIV!E13&amp;" ml","")</f>
        <v/>
      </c>
      <c r="F20" s="740">
        <f>INDEX(tblOplossing,PedBerMedIV!I13,1)</f>
        <v>0</v>
      </c>
      <c r="G20" s="733">
        <f>IF(C20&lt;&gt;"",IF(PedBerMedIV!J13&lt;&gt;0,PedBerMedIV!J13/10&amp;" ml/uur",0),"")</f>
        <v>0</v>
      </c>
      <c r="H20" s="733" t="str">
        <f>PedBerMedIV!H13</f>
        <v/>
      </c>
      <c r="I20" s="733"/>
      <c r="J20" s="729" t="str">
        <f>IF(PedBerMedIV!K13&lt;&gt;0,PedBerMedIV!K13&amp;" ml","")</f>
        <v/>
      </c>
      <c r="K20" s="734"/>
      <c r="L20" s="729"/>
      <c r="M20" s="729"/>
      <c r="N20" s="729"/>
      <c r="O20" s="729"/>
      <c r="P20" s="729"/>
      <c r="Q20" s="729"/>
      <c r="R20" s="729"/>
      <c r="S20" s="729"/>
      <c r="T20" s="42"/>
      <c r="U20" s="42"/>
      <c r="V20" s="42"/>
      <c r="W20" s="42"/>
      <c r="X20" s="42"/>
      <c r="Y20" s="42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</row>
    <row r="21" spans="1:82" ht="20.100000000000001" customHeight="1" x14ac:dyDescent="0.4">
      <c r="A21" s="42"/>
      <c r="B21" s="42">
        <v>12</v>
      </c>
      <c r="C21" s="737">
        <f>_Ped_MedIV_Keuze_12</f>
        <v>0</v>
      </c>
      <c r="D21" s="737">
        <f>_Ped_MedIV_Sterkte_12</f>
        <v>0</v>
      </c>
      <c r="E21" s="43" t="str">
        <f>IF(C21&lt;&gt;0,PedBerMedIV!E14&amp;" ml","")</f>
        <v/>
      </c>
      <c r="F21" s="115">
        <f>INDEX(tblOplossing,PedBerMedIV!I14,1)</f>
        <v>0</v>
      </c>
      <c r="G21" s="43">
        <f>IF(C21&lt;&gt;"",IF(PedBerMedIV!J14&lt;&gt;0,PedBerMedIV!J14/10&amp;" ml/uur",0),"")</f>
        <v>0</v>
      </c>
      <c r="H21" s="43" t="str">
        <f>PedBerMedIV!H14</f>
        <v/>
      </c>
      <c r="I21" s="43"/>
      <c r="J21" s="42" t="str">
        <f>IF(PedBerMedIV!K14&lt;&gt;0,PedBerMedIV!K14&amp;" ml","")</f>
        <v/>
      </c>
      <c r="K21" s="12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</row>
    <row r="22" spans="1:82" ht="20.100000000000001" customHeight="1" x14ac:dyDescent="0.4">
      <c r="A22" s="729"/>
      <c r="B22" s="729">
        <v>13</v>
      </c>
      <c r="C22" s="736">
        <f>_Ped_MedIV_Keuze_13</f>
        <v>0</v>
      </c>
      <c r="D22" s="736">
        <f>_Ped_MedIV_Sterkte_13</f>
        <v>0</v>
      </c>
      <c r="E22" s="733" t="str">
        <f>IF(C22&lt;&gt;0,PedBerMedIV!E15&amp;" ml","")</f>
        <v/>
      </c>
      <c r="F22" s="740">
        <f>INDEX(tblOplossing,PedBerMedIV!I15,1)</f>
        <v>0</v>
      </c>
      <c r="G22" s="733">
        <f>IF(C22&lt;&gt;"",IF(PedBerMedIV!J15&lt;&gt;0,PedBerMedIV!J15/10&amp;" ml/uur",0),"")</f>
        <v>0</v>
      </c>
      <c r="H22" s="733" t="str">
        <f>PedBerMedIV!H15</f>
        <v/>
      </c>
      <c r="I22" s="733"/>
      <c r="J22" s="729" t="str">
        <f>IF(PedBerMedIV!K15&lt;&gt;0,PedBerMedIV!K15&amp;" ml","")</f>
        <v/>
      </c>
      <c r="K22" s="734"/>
      <c r="L22" s="729"/>
      <c r="M22" s="729"/>
      <c r="N22" s="729"/>
      <c r="O22" s="729"/>
      <c r="P22" s="729"/>
      <c r="Q22" s="729"/>
      <c r="R22" s="729"/>
      <c r="S22" s="729"/>
      <c r="T22" s="42"/>
      <c r="U22" s="42"/>
      <c r="V22" s="42"/>
      <c r="W22" s="42"/>
      <c r="X22" s="42"/>
      <c r="Y22" s="42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</row>
    <row r="23" spans="1:82" ht="20.100000000000001" customHeight="1" x14ac:dyDescent="0.4">
      <c r="A23" s="42"/>
      <c r="B23" s="42">
        <v>14</v>
      </c>
      <c r="C23" s="737">
        <f>_Ped_MedIV_Keuze_14</f>
        <v>0</v>
      </c>
      <c r="D23" s="737">
        <f>_Ped_MedIV_Sterkte_14</f>
        <v>0</v>
      </c>
      <c r="E23" s="43" t="str">
        <f>IF(C23&lt;&gt;0,PedBerMedIV!E16&amp;" ml","")</f>
        <v/>
      </c>
      <c r="F23" s="115">
        <f>INDEX(tblOplossing,PedBerMedIV!I16,1)</f>
        <v>0</v>
      </c>
      <c r="G23" s="43">
        <f>IF(C23&lt;&gt;"",IF(PedBerMedIV!J16&lt;&gt;0,PedBerMedIV!J16/10&amp;" ml/uur",0),"")</f>
        <v>0</v>
      </c>
      <c r="H23" s="43" t="str">
        <f>PedBerMedIV!H16</f>
        <v/>
      </c>
      <c r="I23" s="43"/>
      <c r="J23" s="42" t="str">
        <f>IF(PedBerMedIV!K16&lt;&gt;0,PedBerMedIV!K16&amp;" ml","")</f>
        <v/>
      </c>
      <c r="K23" s="12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</row>
    <row r="24" spans="1:82" ht="20.100000000000001" customHeight="1" x14ac:dyDescent="0.4">
      <c r="A24" s="729"/>
      <c r="B24" s="729">
        <v>15</v>
      </c>
      <c r="C24" s="736">
        <f>_Ped_MedIV_Keuze_15</f>
        <v>0</v>
      </c>
      <c r="D24" s="736">
        <f>_Ped_MedIV_Sterkte_15</f>
        <v>0</v>
      </c>
      <c r="E24" s="733" t="str">
        <f>IF(C24&lt;&gt;0,PedBerMedIV!E17&amp;" ml","")</f>
        <v/>
      </c>
      <c r="F24" s="740">
        <f>INDEX(tblOplossing,PedBerMedIV!I17,1)</f>
        <v>0</v>
      </c>
      <c r="G24" s="733">
        <f>IF(C24&lt;&gt;"",IF(PedBerMedIV!J17&lt;&gt;0,PedBerMedIV!J17/10&amp;" ml/uur",0),"")</f>
        <v>0</v>
      </c>
      <c r="H24" s="733" t="str">
        <f>PedBerMedIV!H17</f>
        <v/>
      </c>
      <c r="I24" s="733"/>
      <c r="J24" s="729" t="str">
        <f>IF(PedBerMedIV!K17&lt;&gt;0,PedBerMedIV!K17&amp;" ml","")</f>
        <v/>
      </c>
      <c r="K24" s="734"/>
      <c r="L24" s="729"/>
      <c r="M24" s="729"/>
      <c r="N24" s="729"/>
      <c r="O24" s="729"/>
      <c r="P24" s="729"/>
      <c r="Q24" s="729"/>
      <c r="R24" s="729"/>
      <c r="S24" s="729"/>
      <c r="T24" s="42"/>
      <c r="U24" s="42"/>
      <c r="V24" s="42"/>
      <c r="W24" s="42"/>
      <c r="X24" s="42"/>
      <c r="Y24" s="42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</row>
    <row r="25" spans="1:82" x14ac:dyDescent="0.3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2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</row>
    <row r="26" spans="1:82" ht="13.2" x14ac:dyDescent="0.4">
      <c r="A26" s="41"/>
      <c r="B26" s="41"/>
      <c r="C26" s="658" t="str">
        <f>PedGuiEntTPN!B34</f>
        <v>Vocht</v>
      </c>
      <c r="D26" s="685" t="str">
        <f>PedGuiEntTPN!D34</f>
        <v>0 ml/kg</v>
      </c>
      <c r="E26" s="658" t="str">
        <f ca="1">PedGuiEntTPN!E34</f>
        <v>100 ml/kg</v>
      </c>
      <c r="F26" s="658"/>
      <c r="G26" s="658" t="str">
        <f>PedGuiEntTPN!H34</f>
        <v>Eiwit</v>
      </c>
      <c r="H26" s="685" t="str">
        <f>PedGuiEntTPN!I34</f>
        <v>0  gram/kg</v>
      </c>
      <c r="I26" s="658" t="str">
        <f>PedGuiEntTPN!J34</f>
        <v>2-2,5 g/kg</v>
      </c>
      <c r="J26" s="658"/>
      <c r="K26" s="686"/>
      <c r="L26" s="686"/>
      <c r="M26" s="686"/>
      <c r="N26" s="686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198"/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</row>
    <row r="27" spans="1:82" ht="13.2" x14ac:dyDescent="0.4">
      <c r="A27" s="41"/>
      <c r="B27" s="41"/>
      <c r="C27" s="658" t="str">
        <f>PedGuiEntTPN!B35</f>
        <v>Calorieen</v>
      </c>
      <c r="D27" s="685" t="str">
        <f>PedGuiEntTPN!D35</f>
        <v>0 kCal/kg</v>
      </c>
      <c r="E27" s="658" t="str">
        <f ca="1">PedGuiEntTPN!E35</f>
        <v>-315 kCal/kg</v>
      </c>
      <c r="F27" s="658"/>
      <c r="G27" s="658" t="str">
        <f>PedGuiEntTPN!H35</f>
        <v>Vet</v>
      </c>
      <c r="H27" s="685" t="str">
        <f>PedGuiEntTPN!I35</f>
        <v>0 gram/kg</v>
      </c>
      <c r="I27" s="658" t="str">
        <f>PedGuiEntTPN!J35</f>
        <v>4 g/kg</v>
      </c>
      <c r="J27" s="658"/>
      <c r="K27" s="658"/>
      <c r="L27" s="658"/>
      <c r="M27" s="658"/>
      <c r="N27" s="658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</row>
    <row r="28" spans="1:82" ht="13.2" x14ac:dyDescent="0.4">
      <c r="A28" s="41"/>
      <c r="B28" s="41"/>
      <c r="C28" s="658" t="str">
        <f>PedGuiEntTPN!B36</f>
        <v>Glucose/KH</v>
      </c>
      <c r="D28" s="685" t="str">
        <f>PedGuiEntTPN!D36</f>
        <v>0 g/kg</v>
      </c>
      <c r="E28" s="658" t="str">
        <f>PedGuiEntTPN!E36</f>
        <v>3,6 g/kg</v>
      </c>
      <c r="F28" s="658"/>
      <c r="G28" s="658" t="str">
        <f>PedGuiEntTPN!H36</f>
        <v>Calcium</v>
      </c>
      <c r="H28" s="685" t="str">
        <f>PedGuiEntTPN!I36</f>
        <v>0 mmol/kg</v>
      </c>
      <c r="I28" s="658" t="str">
        <f>PedGuiEntTPN!J36</f>
        <v>0,2-0,8 mmol/kg (3-10 kg:0,8; 10-20 kg:0,5; &gt; 20 kg:0,2 mmol/kg)</v>
      </c>
      <c r="J28" s="658"/>
      <c r="K28" s="658"/>
      <c r="L28" s="658"/>
      <c r="M28" s="658"/>
      <c r="N28" s="658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198"/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</row>
    <row r="29" spans="1:82" ht="13.2" x14ac:dyDescent="0.4">
      <c r="A29" s="41"/>
      <c r="B29" s="41"/>
      <c r="C29" s="658" t="str">
        <f>PedGuiEntTPN!B37</f>
        <v xml:space="preserve">Natrium </v>
      </c>
      <c r="D29" s="685" t="str">
        <f>PedGuiEntTPN!D37</f>
        <v>0 mmol/kg</v>
      </c>
      <c r="E29" s="658" t="str">
        <f>PedGuiEntTPN!E37</f>
        <v>2-4 mmol/kg</v>
      </c>
      <c r="F29" s="658"/>
      <c r="G29" s="658" t="str">
        <f>PedGuiEntTPN!H37</f>
        <v>Magnesium</v>
      </c>
      <c r="H29" s="685" t="str">
        <f>PedGuiEntTPN!I37</f>
        <v>0 mmol/kg</v>
      </c>
      <c r="I29" s="658" t="str">
        <f>PedGuiEntTPN!J37</f>
        <v>0,1-0,3 mmol/kg</v>
      </c>
      <c r="J29" s="658"/>
      <c r="K29" s="658"/>
      <c r="L29" s="658"/>
      <c r="M29" s="658"/>
      <c r="N29" s="658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</row>
    <row r="30" spans="1:82" ht="13.2" x14ac:dyDescent="0.4">
      <c r="A30" s="41"/>
      <c r="B30" s="41"/>
      <c r="C30" s="658" t="str">
        <f>PedGuiEntTPN!B38</f>
        <v>Kalium</v>
      </c>
      <c r="D30" s="685" t="str">
        <f>PedGuiEntTPN!D38</f>
        <v>0 mmol/kg</v>
      </c>
      <c r="E30" s="658" t="str">
        <f>PedGuiEntTPN!E38</f>
        <v>1-2 mmol/kg</v>
      </c>
      <c r="F30" s="658"/>
      <c r="G30" s="658" t="str">
        <f>PedGuiEntTPN!H38</f>
        <v>Fosfaat</v>
      </c>
      <c r="H30" s="685" t="str">
        <f>PedGuiEntTPN!I38</f>
        <v>0 mmol/kg</v>
      </c>
      <c r="I30" s="658" t="str">
        <f>PedGuiEntTPN!J38</f>
        <v>0,75 mmol/kg</v>
      </c>
      <c r="J30" s="658"/>
      <c r="K30" s="658"/>
      <c r="L30" s="658"/>
      <c r="M30" s="658"/>
      <c r="N30" s="658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</row>
    <row r="31" spans="1:82" x14ac:dyDescent="0.35">
      <c r="A31" s="41"/>
      <c r="B31" s="41"/>
      <c r="C31" s="41"/>
      <c r="D31" s="41"/>
      <c r="E31" s="41"/>
      <c r="F31" s="41"/>
      <c r="G31" s="41"/>
      <c r="H31" s="41"/>
      <c r="I31" s="41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</row>
    <row r="32" spans="1:82" x14ac:dyDescent="0.35">
      <c r="A32" s="41"/>
      <c r="B32" s="41"/>
      <c r="C32" s="676" t="s">
        <v>313</v>
      </c>
      <c r="D32" s="879">
        <f>GlobBerOpm!C3</f>
        <v>0</v>
      </c>
      <c r="E32" s="880"/>
      <c r="F32" s="880"/>
      <c r="G32" s="880"/>
      <c r="H32" s="880"/>
      <c r="I32" s="880"/>
      <c r="J32" s="880"/>
      <c r="K32" s="880"/>
      <c r="L32" s="657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</row>
    <row r="33" spans="1:82" x14ac:dyDescent="0.35">
      <c r="A33" s="41"/>
      <c r="B33" s="41"/>
      <c r="C33" s="687"/>
      <c r="D33" s="880"/>
      <c r="E33" s="880"/>
      <c r="F33" s="880"/>
      <c r="G33" s="880"/>
      <c r="H33" s="880"/>
      <c r="I33" s="880"/>
      <c r="J33" s="880"/>
      <c r="K33" s="880"/>
      <c r="L33" s="657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198"/>
      <c r="AA33" s="198"/>
      <c r="AB33" s="198"/>
      <c r="AC33" s="198"/>
      <c r="AD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</row>
    <row r="34" spans="1:82" x14ac:dyDescent="0.35">
      <c r="A34" s="41"/>
      <c r="B34" s="41"/>
      <c r="C34" s="687"/>
      <c r="D34" s="880"/>
      <c r="E34" s="880"/>
      <c r="F34" s="880"/>
      <c r="G34" s="880"/>
      <c r="H34" s="880"/>
      <c r="I34" s="880"/>
      <c r="J34" s="880"/>
      <c r="K34" s="880"/>
      <c r="L34" s="657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</row>
    <row r="35" spans="1:82" x14ac:dyDescent="0.35">
      <c r="A35" s="41"/>
      <c r="B35" s="41"/>
      <c r="C35" s="687"/>
      <c r="D35" s="880"/>
      <c r="E35" s="880"/>
      <c r="F35" s="880"/>
      <c r="G35" s="880"/>
      <c r="H35" s="880"/>
      <c r="I35" s="880"/>
      <c r="J35" s="880"/>
      <c r="K35" s="880"/>
      <c r="L35" s="657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</row>
    <row r="36" spans="1:82" x14ac:dyDescent="0.35">
      <c r="A36" s="42"/>
      <c r="B36" s="42"/>
      <c r="C36" s="687"/>
      <c r="D36" s="880"/>
      <c r="E36" s="880"/>
      <c r="F36" s="880"/>
      <c r="G36" s="880"/>
      <c r="H36" s="880"/>
      <c r="I36" s="880"/>
      <c r="J36" s="880"/>
      <c r="K36" s="880"/>
      <c r="L36" s="59"/>
      <c r="M36" s="42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198"/>
      <c r="AA36" s="198"/>
      <c r="AB36" s="198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</row>
    <row r="37" spans="1:82" x14ac:dyDescent="0.3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198"/>
      <c r="AA37" s="198"/>
      <c r="AB37" s="198"/>
      <c r="AC37" s="198"/>
      <c r="AD37" s="198"/>
      <c r="AE37" s="198"/>
      <c r="AF37" s="198"/>
      <c r="AG37" s="198"/>
      <c r="AH37" s="198"/>
      <c r="AI37" s="198"/>
      <c r="AJ37" s="198"/>
      <c r="AK37" s="198"/>
      <c r="AL37" s="198"/>
      <c r="AM37" s="198"/>
      <c r="AN37" s="198"/>
      <c r="AO37" s="198"/>
      <c r="AP37" s="198"/>
      <c r="AQ37" s="198"/>
      <c r="AR37" s="198"/>
      <c r="AS37" s="198"/>
      <c r="AT37" s="198"/>
      <c r="AU37" s="198"/>
      <c r="AV37" s="198"/>
      <c r="AW37" s="198"/>
      <c r="AX37" s="198"/>
      <c r="AY37" s="198"/>
      <c r="AZ37" s="198"/>
      <c r="BA37" s="198"/>
      <c r="BB37" s="198"/>
      <c r="BC37" s="198"/>
      <c r="BD37" s="198"/>
      <c r="BE37" s="198"/>
      <c r="BF37" s="198"/>
      <c r="BG37" s="198"/>
      <c r="BH37" s="198"/>
      <c r="BI37" s="198"/>
      <c r="BJ37" s="198"/>
      <c r="BK37" s="198"/>
      <c r="BL37" s="198"/>
      <c r="BM37" s="198"/>
      <c r="BN37" s="198"/>
      <c r="BO37" s="198"/>
      <c r="BP37" s="198"/>
      <c r="BQ37" s="198"/>
      <c r="BR37" s="198"/>
      <c r="BS37" s="198"/>
      <c r="BT37" s="198"/>
      <c r="BU37" s="198"/>
      <c r="BV37" s="198"/>
      <c r="BW37" s="198"/>
      <c r="BX37" s="198"/>
      <c r="BY37" s="198"/>
      <c r="BZ37" s="198"/>
      <c r="CA37" s="198"/>
      <c r="CB37" s="198"/>
      <c r="CC37" s="198"/>
      <c r="CD37" s="198"/>
    </row>
    <row r="38" spans="1:82" x14ac:dyDescent="0.3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198"/>
      <c r="AA38" s="198"/>
      <c r="AB38" s="198"/>
      <c r="AC38" s="198"/>
      <c r="AD38" s="198"/>
      <c r="AE38" s="198"/>
      <c r="AF38" s="198"/>
      <c r="AG38" s="198"/>
      <c r="AH38" s="198"/>
      <c r="AI38" s="198"/>
      <c r="AJ38" s="198"/>
      <c r="AK38" s="198"/>
      <c r="AL38" s="198"/>
      <c r="AM38" s="198"/>
      <c r="AN38" s="198"/>
      <c r="AO38" s="198"/>
      <c r="AP38" s="198"/>
      <c r="AQ38" s="198"/>
      <c r="AR38" s="198"/>
      <c r="AS38" s="198"/>
      <c r="AT38" s="198"/>
      <c r="AU38" s="198"/>
      <c r="AV38" s="198"/>
      <c r="AW38" s="198"/>
      <c r="AX38" s="198"/>
      <c r="AY38" s="198"/>
      <c r="AZ38" s="198"/>
      <c r="BA38" s="198"/>
      <c r="BB38" s="198"/>
      <c r="BC38" s="198"/>
      <c r="BD38" s="198"/>
      <c r="BE38" s="198"/>
      <c r="BF38" s="198"/>
      <c r="BG38" s="198"/>
      <c r="BH38" s="198"/>
      <c r="BI38" s="198"/>
      <c r="BJ38" s="198"/>
      <c r="BK38" s="198"/>
      <c r="BL38" s="198"/>
      <c r="BM38" s="198"/>
      <c r="BN38" s="198"/>
      <c r="BO38" s="198"/>
      <c r="BP38" s="198"/>
      <c r="BQ38" s="198"/>
      <c r="BR38" s="198"/>
      <c r="BS38" s="198"/>
      <c r="BT38" s="198"/>
      <c r="BU38" s="198"/>
      <c r="BV38" s="198"/>
      <c r="BW38" s="198"/>
      <c r="BX38" s="198"/>
      <c r="BY38" s="198"/>
      <c r="BZ38" s="198"/>
      <c r="CA38" s="198"/>
      <c r="CB38" s="198"/>
      <c r="CC38" s="198"/>
      <c r="CD38" s="198"/>
    </row>
    <row r="39" spans="1:82" x14ac:dyDescent="0.3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198"/>
      <c r="AA39" s="198"/>
      <c r="AB39" s="198"/>
      <c r="AC39" s="198"/>
      <c r="AD39" s="198"/>
      <c r="AE39" s="198"/>
      <c r="AF39" s="198"/>
      <c r="AG39" s="198"/>
      <c r="AH39" s="198"/>
      <c r="AI39" s="198"/>
      <c r="AJ39" s="198"/>
      <c r="AK39" s="198"/>
      <c r="AL39" s="198"/>
      <c r="AM39" s="198"/>
      <c r="AN39" s="198"/>
      <c r="AO39" s="198"/>
      <c r="AP39" s="198"/>
      <c r="AQ39" s="198"/>
      <c r="AR39" s="198"/>
      <c r="AS39" s="198"/>
      <c r="AT39" s="198"/>
      <c r="AU39" s="198"/>
      <c r="AV39" s="198"/>
      <c r="AW39" s="198"/>
      <c r="AX39" s="198"/>
      <c r="AY39" s="198"/>
      <c r="AZ39" s="198"/>
      <c r="BA39" s="198"/>
      <c r="BB39" s="198"/>
      <c r="BC39" s="198"/>
      <c r="BD39" s="198"/>
      <c r="BE39" s="198"/>
      <c r="BF39" s="198"/>
      <c r="BG39" s="198"/>
      <c r="BH39" s="198"/>
      <c r="BI39" s="198"/>
      <c r="BJ39" s="198"/>
      <c r="BK39" s="198"/>
      <c r="BL39" s="198"/>
      <c r="BM39" s="198"/>
      <c r="BN39" s="198"/>
      <c r="BO39" s="198"/>
      <c r="BP39" s="198"/>
      <c r="BQ39" s="198"/>
      <c r="BR39" s="198"/>
      <c r="BS39" s="198"/>
      <c r="BT39" s="198"/>
      <c r="BU39" s="198"/>
      <c r="BV39" s="198"/>
      <c r="BW39" s="198"/>
      <c r="BX39" s="198"/>
      <c r="BY39" s="198"/>
      <c r="BZ39" s="198"/>
      <c r="CA39" s="198"/>
      <c r="CB39" s="198"/>
      <c r="CC39" s="198"/>
      <c r="CD39" s="198"/>
    </row>
    <row r="40" spans="1:82" x14ac:dyDescent="0.3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</row>
    <row r="41" spans="1:82" x14ac:dyDescent="0.3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</row>
    <row r="42" spans="1:82" x14ac:dyDescent="0.3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</row>
    <row r="43" spans="1:82" x14ac:dyDescent="0.3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</row>
    <row r="44" spans="1:82" x14ac:dyDescent="0.3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</row>
    <row r="45" spans="1:82" x14ac:dyDescent="0.3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</row>
  </sheetData>
  <sheetProtection algorithmName="SHA-512" hashValue="uODJhiRUkGwJ+tMOmFcsG9BvPSAIL6iQ+SmZPf3NLolHw/F64L6W1oMIAL344kH3VIGppnDD+0HeHN3EKnzWKw==" saltValue="GEOdAzcSHUVtqK9TShr9JA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14362</xdr:colOff>
                    <xdr:row>8</xdr:row>
                    <xdr:rowOff>19150</xdr:rowOff>
                  </from>
                  <to>
                    <xdr:col>5</xdr:col>
                    <xdr:colOff>785139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14362</xdr:colOff>
                    <xdr:row>9</xdr:row>
                    <xdr:rowOff>19150</xdr:rowOff>
                  </from>
                  <to>
                    <xdr:col>5</xdr:col>
                    <xdr:colOff>785139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14362</xdr:colOff>
                    <xdr:row>10</xdr:row>
                    <xdr:rowOff>19150</xdr:rowOff>
                  </from>
                  <to>
                    <xdr:col>5</xdr:col>
                    <xdr:colOff>785139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14362</xdr:colOff>
                    <xdr:row>11</xdr:row>
                    <xdr:rowOff>19150</xdr:rowOff>
                  </from>
                  <to>
                    <xdr:col>5</xdr:col>
                    <xdr:colOff>785139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14362</xdr:colOff>
                    <xdr:row>12</xdr:row>
                    <xdr:rowOff>19150</xdr:rowOff>
                  </from>
                  <to>
                    <xdr:col>5</xdr:col>
                    <xdr:colOff>785139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14362</xdr:colOff>
                    <xdr:row>13</xdr:row>
                    <xdr:rowOff>19150</xdr:rowOff>
                  </from>
                  <to>
                    <xdr:col>5</xdr:col>
                    <xdr:colOff>785139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14362</xdr:colOff>
                    <xdr:row>14</xdr:row>
                    <xdr:rowOff>19150</xdr:rowOff>
                  </from>
                  <to>
                    <xdr:col>5</xdr:col>
                    <xdr:colOff>785139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14362</xdr:colOff>
                    <xdr:row>15</xdr:row>
                    <xdr:rowOff>19150</xdr:rowOff>
                  </from>
                  <to>
                    <xdr:col>5</xdr:col>
                    <xdr:colOff>785139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14362</xdr:colOff>
                    <xdr:row>16</xdr:row>
                    <xdr:rowOff>19150</xdr:rowOff>
                  </from>
                  <to>
                    <xdr:col>5</xdr:col>
                    <xdr:colOff>785139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5</xdr:col>
                    <xdr:colOff>14362</xdr:colOff>
                    <xdr:row>21</xdr:row>
                    <xdr:rowOff>0</xdr:rowOff>
                  </from>
                  <to>
                    <xdr:col>5</xdr:col>
                    <xdr:colOff>785139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5</xdr:col>
                    <xdr:colOff>14362</xdr:colOff>
                    <xdr:row>22</xdr:row>
                    <xdr:rowOff>0</xdr:rowOff>
                  </from>
                  <to>
                    <xdr:col>5</xdr:col>
                    <xdr:colOff>785139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5</xdr:col>
                    <xdr:colOff>14362</xdr:colOff>
                    <xdr:row>23</xdr:row>
                    <xdr:rowOff>0</xdr:rowOff>
                  </from>
                  <to>
                    <xdr:col>5</xdr:col>
                    <xdr:colOff>785139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5</xdr:col>
                    <xdr:colOff>14362</xdr:colOff>
                    <xdr:row>19</xdr:row>
                    <xdr:rowOff>0</xdr:rowOff>
                  </from>
                  <to>
                    <xdr:col>5</xdr:col>
                    <xdr:colOff>785139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5</xdr:col>
                    <xdr:colOff>14362</xdr:colOff>
                    <xdr:row>20</xdr:row>
                    <xdr:rowOff>0</xdr:rowOff>
                  </from>
                  <to>
                    <xdr:col>5</xdr:col>
                    <xdr:colOff>785139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5</xdr:col>
                    <xdr:colOff>14362</xdr:colOff>
                    <xdr:row>17</xdr:row>
                    <xdr:rowOff>19150</xdr:rowOff>
                  </from>
                  <to>
                    <xdr:col>5</xdr:col>
                    <xdr:colOff>785139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2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3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4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5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7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8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9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0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1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2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3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4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5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6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7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8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9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0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383" bestFit="1" customWidth="1"/>
    <col min="8" max="8" width="7.265625" style="383" customWidth="1"/>
    <col min="9" max="19" width="7.265625" customWidth="1"/>
    <col min="20" max="20" width="9.86328125" bestFit="1" customWidth="1"/>
  </cols>
  <sheetData>
    <row r="1" spans="1:22" s="22" customFormat="1" ht="25.65" x14ac:dyDescent="0.35">
      <c r="A1" s="446" t="s">
        <v>517</v>
      </c>
      <c r="B1" s="22" t="s">
        <v>260</v>
      </c>
      <c r="C1" s="22" t="s">
        <v>511</v>
      </c>
      <c r="D1" s="22" t="s">
        <v>222</v>
      </c>
      <c r="E1" s="213" t="s">
        <v>512</v>
      </c>
      <c r="F1" s="213" t="s">
        <v>1192</v>
      </c>
      <c r="G1" s="213" t="s">
        <v>1193</v>
      </c>
      <c r="H1" s="213" t="s">
        <v>1194</v>
      </c>
      <c r="I1" s="213" t="s">
        <v>513</v>
      </c>
      <c r="J1" s="213" t="s">
        <v>52</v>
      </c>
      <c r="K1" s="213" t="s">
        <v>514</v>
      </c>
      <c r="L1" s="213" t="s">
        <v>515</v>
      </c>
      <c r="M1" s="213" t="s">
        <v>516</v>
      </c>
      <c r="N1" s="22" t="s">
        <v>301</v>
      </c>
      <c r="O1" s="22" t="s">
        <v>246</v>
      </c>
      <c r="P1" s="22" t="s">
        <v>247</v>
      </c>
      <c r="Q1" s="22" t="s">
        <v>415</v>
      </c>
      <c r="R1" s="22" t="s">
        <v>240</v>
      </c>
      <c r="T1" s="22" t="s">
        <v>205</v>
      </c>
    </row>
    <row r="2" spans="1:22" x14ac:dyDescent="0.35">
      <c r="A2">
        <v>0</v>
      </c>
      <c r="B2" s="618">
        <v>0</v>
      </c>
      <c r="C2" s="618">
        <v>1</v>
      </c>
      <c r="D2" s="618">
        <v>0</v>
      </c>
      <c r="E2" s="618">
        <v>0</v>
      </c>
      <c r="F2" s="618"/>
      <c r="G2" s="618"/>
      <c r="H2" s="618" t="str">
        <f t="shared" ref="H2:H12" si="0">IF(B2&gt;1,ROUND(INDEX(tblMedicationContIV,B2,18)*J2/10,3),"")</f>
        <v/>
      </c>
    </row>
    <row r="3" spans="1:22" x14ac:dyDescent="0.35">
      <c r="A3">
        <v>1</v>
      </c>
      <c r="B3" s="618">
        <v>1</v>
      </c>
      <c r="C3" s="618">
        <v>2</v>
      </c>
      <c r="D3" s="618"/>
      <c r="E3" s="618"/>
      <c r="F3" s="618" t="str">
        <f t="shared" ref="F3:F12" si="1">IF(B3&gt;1,IF(D3&gt;0,D3,INDEX(tblMedicationContIV,B3,11)),"")</f>
        <v/>
      </c>
      <c r="G3" s="618" t="str">
        <f t="shared" ref="G3:G12" si="2">IF(B3&gt;1,IF(E3&gt;0,E3,INDEX(tblMedicationContIV,B3,12)),"")</f>
        <v/>
      </c>
      <c r="H3" s="618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618">
        <v>1</v>
      </c>
      <c r="C4" s="618">
        <v>3</v>
      </c>
      <c r="D4" s="618"/>
      <c r="E4" s="618"/>
      <c r="F4" s="618" t="str">
        <f t="shared" si="1"/>
        <v/>
      </c>
      <c r="G4" s="618" t="str">
        <f t="shared" si="2"/>
        <v/>
      </c>
      <c r="H4" s="618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1127</v>
      </c>
    </row>
    <row r="5" spans="1:22" x14ac:dyDescent="0.35">
      <c r="A5">
        <v>3</v>
      </c>
      <c r="B5" s="618">
        <v>1</v>
      </c>
      <c r="C5" s="618">
        <v>4</v>
      </c>
      <c r="D5" s="618"/>
      <c r="E5" s="618"/>
      <c r="F5" s="618" t="str">
        <f t="shared" si="1"/>
        <v/>
      </c>
      <c r="G5" s="618" t="str">
        <f t="shared" si="2"/>
        <v/>
      </c>
      <c r="H5" s="618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302</v>
      </c>
    </row>
    <row r="6" spans="1:22" x14ac:dyDescent="0.35">
      <c r="A6" s="435">
        <v>4</v>
      </c>
      <c r="B6" s="618">
        <v>1</v>
      </c>
      <c r="C6" s="618">
        <v>5</v>
      </c>
      <c r="D6" s="618"/>
      <c r="E6" s="618"/>
      <c r="F6" s="618" t="str">
        <f t="shared" si="1"/>
        <v/>
      </c>
      <c r="G6" s="618" t="str">
        <f t="shared" si="2"/>
        <v/>
      </c>
      <c r="H6" s="618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303</v>
      </c>
    </row>
    <row r="7" spans="1:22" x14ac:dyDescent="0.35">
      <c r="A7">
        <v>5</v>
      </c>
      <c r="B7" s="618">
        <v>1</v>
      </c>
      <c r="C7" s="618">
        <v>6</v>
      </c>
      <c r="D7" s="618"/>
      <c r="E7" s="618"/>
      <c r="F7" s="618" t="str">
        <f t="shared" si="1"/>
        <v/>
      </c>
      <c r="G7" s="618" t="str">
        <f t="shared" si="2"/>
        <v/>
      </c>
      <c r="H7" s="618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618">
        <v>1</v>
      </c>
      <c r="C8" s="618">
        <v>7</v>
      </c>
      <c r="D8" s="618"/>
      <c r="E8" s="618"/>
      <c r="F8" s="618" t="str">
        <f t="shared" si="1"/>
        <v/>
      </c>
      <c r="G8" s="618" t="str">
        <f t="shared" si="2"/>
        <v/>
      </c>
      <c r="H8" s="618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618">
        <v>1</v>
      </c>
      <c r="C9" s="618">
        <v>8</v>
      </c>
      <c r="D9" s="618"/>
      <c r="E9" s="618"/>
      <c r="F9" s="618" t="str">
        <f t="shared" si="1"/>
        <v/>
      </c>
      <c r="G9" s="618" t="str">
        <f t="shared" si="2"/>
        <v/>
      </c>
      <c r="H9" s="618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618">
        <v>1</v>
      </c>
      <c r="C10" s="618">
        <v>9</v>
      </c>
      <c r="D10" s="618"/>
      <c r="E10" s="618"/>
      <c r="F10" s="618" t="str">
        <f t="shared" si="1"/>
        <v/>
      </c>
      <c r="G10" s="618" t="str">
        <f t="shared" si="2"/>
        <v/>
      </c>
      <c r="H10" s="618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618">
        <v>1</v>
      </c>
      <c r="C11" s="618">
        <v>10</v>
      </c>
      <c r="D11" s="618"/>
      <c r="E11" s="618"/>
      <c r="F11" s="618" t="str">
        <f t="shared" si="1"/>
        <v/>
      </c>
      <c r="G11" s="618" t="str">
        <f t="shared" si="2"/>
        <v/>
      </c>
      <c r="H11" s="618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618">
        <v>1</v>
      </c>
      <c r="C12" s="618">
        <v>11</v>
      </c>
      <c r="D12" s="618"/>
      <c r="E12" s="618"/>
      <c r="F12" s="618" t="str">
        <f t="shared" si="1"/>
        <v/>
      </c>
      <c r="G12" s="618" t="str">
        <f t="shared" si="2"/>
        <v/>
      </c>
      <c r="H12" s="618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384"/>
      <c r="H13" s="618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383" t="e">
        <f>LEFT(D13,FIND(" ",D13))</f>
        <v>#VALUE!</v>
      </c>
      <c r="V13" s="383" t="e">
        <f>MID(D13, FIND(" ",D13), LEN(D13) - FIND(" ",D13) + 1)</f>
        <v>#VALUE!</v>
      </c>
    </row>
    <row r="14" spans="1:22" x14ac:dyDescent="0.35">
      <c r="A14">
        <v>12</v>
      </c>
      <c r="H14" s="618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383" t="e">
        <f t="shared" ref="U14:U18" si="7">LEFT(D14,FIND(" ",D14))</f>
        <v>#VALUE!</v>
      </c>
      <c r="V14" s="383" t="e">
        <f t="shared" ref="V14:V18" si="8">MID(D14, FIND(" ",D14), LEN(D14) - FIND(" ",D14) + 1)</f>
        <v>#VALUE!</v>
      </c>
    </row>
    <row r="15" spans="1:22" x14ac:dyDescent="0.35">
      <c r="A15">
        <v>13</v>
      </c>
      <c r="H15" s="618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383" t="e">
        <f t="shared" si="7"/>
        <v>#VALUE!</v>
      </c>
      <c r="V15" s="383" t="e">
        <f t="shared" si="8"/>
        <v>#VALUE!</v>
      </c>
    </row>
    <row r="16" spans="1:22" x14ac:dyDescent="0.35">
      <c r="A16">
        <v>14</v>
      </c>
      <c r="H16" s="618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383" t="e">
        <f t="shared" si="7"/>
        <v>#VALUE!</v>
      </c>
      <c r="V16" s="383" t="e">
        <f t="shared" si="8"/>
        <v>#VALUE!</v>
      </c>
    </row>
    <row r="17" spans="1:22" x14ac:dyDescent="0.35">
      <c r="A17">
        <v>15</v>
      </c>
      <c r="H17" s="618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383" t="e">
        <f t="shared" si="7"/>
        <v>#VALUE!</v>
      </c>
      <c r="V17" s="383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383" t="e">
        <f t="shared" si="7"/>
        <v>#VALUE!</v>
      </c>
      <c r="V18" s="383" t="e">
        <f t="shared" si="8"/>
        <v>#VALUE!</v>
      </c>
    </row>
    <row r="26" spans="1:22" x14ac:dyDescent="0.35">
      <c r="B26" s="384"/>
    </row>
    <row r="27" spans="1:22" x14ac:dyDescent="0.35">
      <c r="D27" s="384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384" customWidth="1"/>
    <col min="2" max="2" width="23.1328125" style="384" customWidth="1"/>
    <col min="3" max="3" width="13.3984375" style="384" customWidth="1"/>
    <col min="4" max="4" width="23.59765625" style="384" customWidth="1"/>
    <col min="5" max="5" width="7.265625" style="384" customWidth="1"/>
    <col min="6" max="11" width="7.73046875" style="384" customWidth="1"/>
    <col min="12" max="19" width="8.73046875" style="384" customWidth="1"/>
    <col min="20" max="20" width="14.1328125" style="384" bestFit="1" customWidth="1"/>
    <col min="21" max="21" width="14.73046875" style="384" bestFit="1" customWidth="1"/>
    <col min="22" max="22" width="17.265625" style="384" bestFit="1" customWidth="1"/>
    <col min="23" max="23" width="9.86328125" style="384" bestFit="1" customWidth="1"/>
    <col min="24" max="16384" width="9.1328125" style="384"/>
  </cols>
  <sheetData>
    <row r="1" spans="1:23" x14ac:dyDescent="0.35">
      <c r="A1" s="441"/>
      <c r="F1" s="384" t="s">
        <v>488</v>
      </c>
      <c r="H1" s="384" t="s">
        <v>489</v>
      </c>
      <c r="J1" s="212" t="s">
        <v>490</v>
      </c>
      <c r="L1" s="384" t="s">
        <v>506</v>
      </c>
      <c r="N1" s="384" t="s">
        <v>507</v>
      </c>
      <c r="P1" s="384" t="s">
        <v>508</v>
      </c>
    </row>
    <row r="2" spans="1:23" x14ac:dyDescent="0.35">
      <c r="B2" s="384" t="s">
        <v>491</v>
      </c>
      <c r="C2" s="384" t="s">
        <v>492</v>
      </c>
      <c r="D2" s="384" t="s">
        <v>493</v>
      </c>
      <c r="E2" s="384" t="s">
        <v>494</v>
      </c>
      <c r="F2" s="384" t="s">
        <v>495</v>
      </c>
      <c r="G2" s="384" t="s">
        <v>496</v>
      </c>
      <c r="H2" s="384" t="s">
        <v>495</v>
      </c>
      <c r="I2" s="384" t="s">
        <v>496</v>
      </c>
      <c r="J2" s="384" t="s">
        <v>495</v>
      </c>
      <c r="K2" s="384" t="s">
        <v>496</v>
      </c>
      <c r="L2" s="384" t="s">
        <v>495</v>
      </c>
      <c r="M2" s="384" t="s">
        <v>496</v>
      </c>
      <c r="N2" s="384" t="s">
        <v>495</v>
      </c>
      <c r="O2" s="384" t="s">
        <v>496</v>
      </c>
      <c r="P2" s="384" t="s">
        <v>495</v>
      </c>
      <c r="Q2" s="384" t="s">
        <v>496</v>
      </c>
      <c r="R2" s="384" t="s">
        <v>504</v>
      </c>
      <c r="S2" s="384" t="s">
        <v>505</v>
      </c>
      <c r="T2" s="384" t="s">
        <v>546</v>
      </c>
      <c r="U2" s="384" t="s">
        <v>547</v>
      </c>
      <c r="V2" s="384" t="s">
        <v>1137</v>
      </c>
      <c r="W2" s="384" t="s">
        <v>1148</v>
      </c>
    </row>
    <row r="3" spans="1:23" x14ac:dyDescent="0.35">
      <c r="A3" s="384">
        <v>1</v>
      </c>
      <c r="W3" s="384">
        <v>1</v>
      </c>
    </row>
    <row r="4" spans="1:23" x14ac:dyDescent="0.35">
      <c r="A4" s="384">
        <v>2</v>
      </c>
      <c r="B4" s="384" t="s">
        <v>231</v>
      </c>
      <c r="C4" s="212" t="s">
        <v>445</v>
      </c>
      <c r="D4" s="212" t="str">
        <f>CONCATENATE(T4,"-",U4," ",C4)</f>
        <v>0,05-0,5 mcg/kg/min</v>
      </c>
      <c r="E4" s="212" t="s">
        <v>176</v>
      </c>
      <c r="F4" s="384">
        <v>1</v>
      </c>
      <c r="G4" s="384">
        <v>50</v>
      </c>
      <c r="H4" s="384">
        <v>2</v>
      </c>
      <c r="I4" s="384">
        <v>50</v>
      </c>
      <c r="J4" s="558">
        <v>5</v>
      </c>
      <c r="K4" s="558">
        <v>50</v>
      </c>
      <c r="L4" s="384">
        <f t="shared" ref="L4:L34" si="0">IF(_Pat_Gewicht/10&lt;6,F4,IF(_Pat_Gewicht/10&lt;11,H4,J4))</f>
        <v>2</v>
      </c>
      <c r="M4" s="384">
        <f t="shared" ref="M4:M34" si="1">IF(_Pat_Gewicht/10&lt;6,G4,IF(_Pat_Gewicht/10&lt;11,I4,K4))</f>
        <v>50</v>
      </c>
      <c r="N4" s="384">
        <f t="shared" ref="N4" si="2">INDEX(tblBerMedContIV,IFERROR(VLOOKUP(A4,tblBerMedContIV,2,FALSE),1),3)</f>
        <v>0</v>
      </c>
      <c r="O4" s="384">
        <f t="shared" ref="O4" si="3">INDEX(tblBerMedContIV,IFERROR(VLOOKUP(A4,tblBerMedContIV,2,FALSE),1),4)</f>
        <v>0</v>
      </c>
      <c r="P4" s="384">
        <f>IF(N4&gt;0,N4,L4)</f>
        <v>2</v>
      </c>
      <c r="Q4" s="384">
        <f>IF(O4&gt;0,O4,M4)</f>
        <v>50</v>
      </c>
      <c r="R4" s="384">
        <v>10</v>
      </c>
      <c r="S4" s="384">
        <f>IF(Q4&gt;0,ROUND(1000*R4/10*(P4/Q4)/(_Pat_Gewicht/10)/60,3),0)</f>
        <v>6.7000000000000004E-2</v>
      </c>
      <c r="T4" s="212">
        <v>0.05</v>
      </c>
      <c r="U4" s="212">
        <v>0.5</v>
      </c>
      <c r="V4" s="384">
        <v>1</v>
      </c>
      <c r="W4" s="384">
        <v>1</v>
      </c>
    </row>
    <row r="5" spans="1:23" x14ac:dyDescent="0.35">
      <c r="A5" s="384">
        <v>3</v>
      </c>
      <c r="B5" s="212" t="s">
        <v>131</v>
      </c>
      <c r="C5" s="212" t="s">
        <v>387</v>
      </c>
      <c r="D5" s="212" t="str">
        <f t="shared" ref="D5:D10" si="4">CONCATENATE(T5,"-",U5," ",C5)</f>
        <v>1-2 gram/kg/dag</v>
      </c>
      <c r="E5" s="212" t="s">
        <v>73</v>
      </c>
      <c r="F5" s="384">
        <v>0.2</v>
      </c>
      <c r="G5" s="384">
        <v>1</v>
      </c>
      <c r="H5" s="384">
        <v>0.2</v>
      </c>
      <c r="I5" s="384">
        <v>1</v>
      </c>
      <c r="J5" s="558">
        <v>0.2</v>
      </c>
      <c r="K5" s="558">
        <v>1</v>
      </c>
      <c r="L5" s="384">
        <f t="shared" si="0"/>
        <v>0.2</v>
      </c>
      <c r="M5" s="384">
        <f t="shared" si="1"/>
        <v>1</v>
      </c>
      <c r="N5" s="384">
        <f t="shared" ref="N5:N34" si="5">INDEX(tblBerMedContIV,IFERROR(VLOOKUP(A5,tblBerMedContIV,2,FALSE),1),3)</f>
        <v>0</v>
      </c>
      <c r="O5" s="384">
        <f>INDEX(tblBerMedContIV,IFERROR(VLOOKUP(A5,tblBerMedContIV,2,FALSE),1),4)</f>
        <v>0</v>
      </c>
      <c r="P5" s="384">
        <f t="shared" ref="P5:P34" si="6">IF(N5&gt;0,N5,L5)</f>
        <v>0.2</v>
      </c>
      <c r="Q5" s="384">
        <f t="shared" ref="Q5:Q34" si="7">IF(O5&gt;0,O5,M5)</f>
        <v>1</v>
      </c>
      <c r="R5" s="384">
        <v>10</v>
      </c>
      <c r="S5" s="384">
        <f>IF(Q5&gt;0,ROUND(24*(R5/10)*(P5/Q5)/(_Pat_Gewicht/10),3),0)</f>
        <v>0.48</v>
      </c>
      <c r="T5" s="384">
        <v>1</v>
      </c>
      <c r="U5" s="384">
        <v>2</v>
      </c>
      <c r="V5" s="384">
        <v>4</v>
      </c>
      <c r="W5" s="384">
        <v>1</v>
      </c>
    </row>
    <row r="6" spans="1:23" x14ac:dyDescent="0.35">
      <c r="A6" s="441">
        <v>4</v>
      </c>
      <c r="B6" s="212" t="s">
        <v>164</v>
      </c>
      <c r="C6" s="212" t="s">
        <v>446</v>
      </c>
      <c r="D6" s="212" t="str">
        <f t="shared" si="4"/>
        <v>10-50 nanog/kg/min</v>
      </c>
      <c r="E6" s="384" t="s">
        <v>176</v>
      </c>
      <c r="F6" s="384">
        <v>0.2</v>
      </c>
      <c r="G6" s="384">
        <v>50</v>
      </c>
      <c r="L6" s="384">
        <f t="shared" si="0"/>
        <v>0</v>
      </c>
      <c r="M6" s="384">
        <f t="shared" si="1"/>
        <v>0</v>
      </c>
      <c r="N6" s="384">
        <f t="shared" si="5"/>
        <v>0</v>
      </c>
      <c r="O6" s="384">
        <f t="shared" ref="O6:O34" si="8">INDEX(tblBerMedContIV,IFERROR(VLOOKUP(A6,tblBerMedContIV,2,FALSE),1),4)</f>
        <v>0</v>
      </c>
      <c r="P6" s="384">
        <f t="shared" si="6"/>
        <v>0</v>
      </c>
      <c r="Q6" s="384">
        <f t="shared" si="7"/>
        <v>0</v>
      </c>
      <c r="R6" s="384">
        <v>10</v>
      </c>
      <c r="S6" s="384">
        <f>IF(Q6&gt;0,ROUND(1000*1000*R6/10*(P6/Q6)/(_Pat_Gewicht/10)/60,3),0)</f>
        <v>0</v>
      </c>
      <c r="T6" s="384">
        <v>10</v>
      </c>
      <c r="U6" s="384">
        <v>50</v>
      </c>
      <c r="V6" s="384">
        <v>100</v>
      </c>
      <c r="W6" s="384">
        <v>1</v>
      </c>
    </row>
    <row r="7" spans="1:23" x14ac:dyDescent="0.35">
      <c r="A7" s="384">
        <v>5</v>
      </c>
      <c r="B7" s="384" t="s">
        <v>455</v>
      </c>
      <c r="C7" s="212" t="s">
        <v>445</v>
      </c>
      <c r="D7" s="212" t="str">
        <f t="shared" si="4"/>
        <v>5-15 mcg/kg/min</v>
      </c>
      <c r="E7" s="212" t="s">
        <v>176</v>
      </c>
      <c r="F7" s="384">
        <v>50</v>
      </c>
      <c r="G7" s="384">
        <v>50</v>
      </c>
      <c r="H7" s="384">
        <v>150</v>
      </c>
      <c r="I7" s="384">
        <v>50</v>
      </c>
      <c r="J7" s="558">
        <v>300</v>
      </c>
      <c r="K7" s="558">
        <v>50</v>
      </c>
      <c r="L7" s="384">
        <f t="shared" si="0"/>
        <v>150</v>
      </c>
      <c r="M7" s="384">
        <f t="shared" si="1"/>
        <v>50</v>
      </c>
      <c r="N7" s="384">
        <f t="shared" si="5"/>
        <v>0</v>
      </c>
      <c r="O7" s="384">
        <f t="shared" si="8"/>
        <v>0</v>
      </c>
      <c r="P7" s="384">
        <f t="shared" si="6"/>
        <v>150</v>
      </c>
      <c r="Q7" s="384">
        <f t="shared" si="7"/>
        <v>50</v>
      </c>
      <c r="R7" s="384">
        <v>10</v>
      </c>
      <c r="S7" s="384">
        <f>IF(Q7&gt;0,ROUND(1000*R7/10*(P7/Q7)/(_Pat_Gewicht/10)/60,3),0)</f>
        <v>5</v>
      </c>
      <c r="T7" s="384">
        <v>5</v>
      </c>
      <c r="U7" s="384">
        <v>15</v>
      </c>
      <c r="V7" s="384">
        <v>25</v>
      </c>
      <c r="W7" s="384">
        <v>1</v>
      </c>
    </row>
    <row r="8" spans="1:23" x14ac:dyDescent="0.35">
      <c r="A8" s="384">
        <v>6</v>
      </c>
      <c r="B8" s="384" t="s">
        <v>41</v>
      </c>
      <c r="C8" s="212" t="s">
        <v>206</v>
      </c>
      <c r="D8" s="212" t="str">
        <f t="shared" si="4"/>
        <v>0,25-2 mcg/kg/uur</v>
      </c>
      <c r="E8" s="212" t="s">
        <v>176</v>
      </c>
      <c r="F8" s="384">
        <v>0.15</v>
      </c>
      <c r="G8" s="212">
        <v>50</v>
      </c>
      <c r="H8" s="384">
        <v>0.3</v>
      </c>
      <c r="I8" s="384">
        <v>50</v>
      </c>
      <c r="J8" s="558">
        <v>0.6</v>
      </c>
      <c r="K8" s="558">
        <v>50</v>
      </c>
      <c r="L8" s="384">
        <f t="shared" si="0"/>
        <v>0.3</v>
      </c>
      <c r="M8" s="384">
        <f t="shared" si="1"/>
        <v>50</v>
      </c>
      <c r="N8" s="384">
        <f t="shared" si="5"/>
        <v>0</v>
      </c>
      <c r="O8" s="384">
        <f t="shared" si="8"/>
        <v>0</v>
      </c>
      <c r="P8" s="384">
        <f t="shared" si="6"/>
        <v>0.3</v>
      </c>
      <c r="Q8" s="384">
        <f t="shared" si="7"/>
        <v>50</v>
      </c>
      <c r="R8" s="384">
        <v>10</v>
      </c>
      <c r="S8" s="384">
        <f>IF(Q8&gt;0,ROUND(1000*R8/10*(P8/Q8)/(_Pat_Gewicht/10),3),0)</f>
        <v>0.6</v>
      </c>
      <c r="T8" s="384">
        <v>0.25</v>
      </c>
      <c r="U8" s="384">
        <v>2</v>
      </c>
      <c r="V8" s="384">
        <v>3</v>
      </c>
      <c r="W8" s="384">
        <v>2</v>
      </c>
    </row>
    <row r="9" spans="1:23" x14ac:dyDescent="0.35">
      <c r="A9" s="384">
        <v>7</v>
      </c>
      <c r="B9" s="212" t="s">
        <v>352</v>
      </c>
      <c r="C9" s="212" t="s">
        <v>445</v>
      </c>
      <c r="D9" s="212" t="str">
        <f t="shared" si="4"/>
        <v>1-20 mcg/kg/min</v>
      </c>
      <c r="E9" s="212" t="s">
        <v>176</v>
      </c>
      <c r="F9" s="384">
        <v>80</v>
      </c>
      <c r="G9" s="384">
        <v>50</v>
      </c>
      <c r="H9" s="384">
        <v>200</v>
      </c>
      <c r="I9" s="384">
        <v>50</v>
      </c>
      <c r="J9" s="558">
        <v>400</v>
      </c>
      <c r="K9" s="558">
        <v>50</v>
      </c>
      <c r="L9" s="384">
        <f t="shared" si="0"/>
        <v>200</v>
      </c>
      <c r="M9" s="384">
        <f t="shared" si="1"/>
        <v>50</v>
      </c>
      <c r="N9" s="384">
        <f t="shared" si="5"/>
        <v>0</v>
      </c>
      <c r="O9" s="384">
        <f t="shared" si="8"/>
        <v>0</v>
      </c>
      <c r="P9" s="384">
        <f t="shared" si="6"/>
        <v>200</v>
      </c>
      <c r="Q9" s="384">
        <f t="shared" si="7"/>
        <v>50</v>
      </c>
      <c r="R9" s="384">
        <v>10</v>
      </c>
      <c r="S9" s="384">
        <f>IF(Q9&gt;0,ROUND(1000*R9/10*(P9/Q9)/(_Pat_Gewicht/10)/60,3),0)</f>
        <v>6.6669999999999998</v>
      </c>
      <c r="T9" s="384">
        <v>1</v>
      </c>
      <c r="U9" s="384">
        <v>20</v>
      </c>
      <c r="V9" s="384">
        <v>30</v>
      </c>
      <c r="W9" s="384">
        <v>1</v>
      </c>
    </row>
    <row r="10" spans="1:23" x14ac:dyDescent="0.35">
      <c r="A10" s="384">
        <v>8</v>
      </c>
      <c r="B10" s="384" t="s">
        <v>323</v>
      </c>
      <c r="C10" s="212" t="s">
        <v>445</v>
      </c>
      <c r="D10" s="212" t="str">
        <f t="shared" si="4"/>
        <v>1-20 mcg/kg/min</v>
      </c>
      <c r="E10" s="212" t="s">
        <v>176</v>
      </c>
      <c r="F10" s="384">
        <v>80</v>
      </c>
      <c r="G10" s="384">
        <v>50</v>
      </c>
      <c r="H10" s="384">
        <v>200</v>
      </c>
      <c r="I10" s="384">
        <v>50</v>
      </c>
      <c r="J10" s="558">
        <v>400</v>
      </c>
      <c r="K10" s="558">
        <v>50</v>
      </c>
      <c r="L10" s="384">
        <f t="shared" si="0"/>
        <v>200</v>
      </c>
      <c r="M10" s="384">
        <f t="shared" si="1"/>
        <v>50</v>
      </c>
      <c r="N10" s="384">
        <f t="shared" si="5"/>
        <v>0</v>
      </c>
      <c r="O10" s="384">
        <f t="shared" si="8"/>
        <v>0</v>
      </c>
      <c r="P10" s="384">
        <f t="shared" si="6"/>
        <v>200</v>
      </c>
      <c r="Q10" s="384">
        <f t="shared" si="7"/>
        <v>50</v>
      </c>
      <c r="R10" s="384">
        <v>10</v>
      </c>
      <c r="S10" s="384">
        <f>IF(Q10&gt;0,ROUND(1000*R10/10*(P10/Q10)/(_Pat_Gewicht/10)/60,3),0)</f>
        <v>6.6669999999999998</v>
      </c>
      <c r="T10" s="384">
        <v>1</v>
      </c>
      <c r="U10" s="384">
        <v>20</v>
      </c>
      <c r="V10" s="384">
        <v>30</v>
      </c>
      <c r="W10" s="384">
        <v>1</v>
      </c>
    </row>
    <row r="11" spans="1:23" x14ac:dyDescent="0.35">
      <c r="A11" s="384">
        <v>9</v>
      </c>
      <c r="B11" s="384" t="s">
        <v>522</v>
      </c>
      <c r="C11" s="212" t="s">
        <v>469</v>
      </c>
      <c r="D11" s="212" t="s">
        <v>523</v>
      </c>
      <c r="E11" s="212" t="s">
        <v>177</v>
      </c>
      <c r="F11" s="384">
        <f>IF(_Pat_Gewicht/10&gt;48,48,_Pat_Gewicht/10)</f>
        <v>10</v>
      </c>
      <c r="G11" s="384">
        <v>24</v>
      </c>
      <c r="H11" s="384">
        <f>IF(_Pat_Gewicht/10&gt;48,48,_Pat_Gewicht/10)</f>
        <v>10</v>
      </c>
      <c r="I11" s="384">
        <v>48</v>
      </c>
      <c r="J11" s="384">
        <f>IF(_Pat_Gewicht/10&gt;48,48,_Pat_Gewicht/10)</f>
        <v>10</v>
      </c>
      <c r="K11" s="558">
        <v>48</v>
      </c>
      <c r="L11" s="384">
        <f t="shared" si="0"/>
        <v>10</v>
      </c>
      <c r="M11" s="384">
        <f t="shared" si="1"/>
        <v>48</v>
      </c>
      <c r="N11" s="384">
        <f>INDEX(tblBerMedContIV,IFERROR(VLOOKUP(A11,tblBerMedContIV,2,FALSE),1),3)</f>
        <v>0</v>
      </c>
      <c r="O11" s="384">
        <f>INDEX(tblBerMedContIV,IFERROR(VLOOKUP(A11,tblBerMedContIV,2,FALSE),1),4)</f>
        <v>0</v>
      </c>
      <c r="P11" s="384">
        <f>IF(N11&gt;0,N11,L11)</f>
        <v>10</v>
      </c>
      <c r="Q11" s="384">
        <f>IF(O11&gt;0,O11,M11)</f>
        <v>48</v>
      </c>
      <c r="R11" s="384">
        <v>10</v>
      </c>
      <c r="S11" s="384">
        <f>R11/10</f>
        <v>1</v>
      </c>
      <c r="T11" s="384">
        <v>1</v>
      </c>
      <c r="U11" s="384">
        <v>8</v>
      </c>
      <c r="V11" s="384">
        <v>8</v>
      </c>
      <c r="W11" s="384">
        <v>1</v>
      </c>
    </row>
    <row r="12" spans="1:23" x14ac:dyDescent="0.35">
      <c r="A12" s="384">
        <v>10</v>
      </c>
      <c r="B12" s="212" t="s">
        <v>521</v>
      </c>
      <c r="C12" s="212" t="s">
        <v>469</v>
      </c>
      <c r="D12" s="212" t="s">
        <v>523</v>
      </c>
      <c r="E12" s="212" t="s">
        <v>177</v>
      </c>
      <c r="F12" s="384">
        <f>IF(_Pat_Gewicht/10&gt;48,48,_Pat_Gewicht/10)</f>
        <v>10</v>
      </c>
      <c r="G12" s="384">
        <v>24</v>
      </c>
      <c r="H12" s="384">
        <f>IF(_Pat_Gewicht/10&gt;48,48,_Pat_Gewicht/10)</f>
        <v>10</v>
      </c>
      <c r="I12" s="384">
        <v>48</v>
      </c>
      <c r="J12" s="384">
        <f>IF(_Pat_Gewicht/10&gt;48,48,_Pat_Gewicht/10)</f>
        <v>10</v>
      </c>
      <c r="K12" s="558">
        <v>48</v>
      </c>
      <c r="L12" s="384">
        <f t="shared" si="0"/>
        <v>10</v>
      </c>
      <c r="M12" s="384">
        <f t="shared" si="1"/>
        <v>48</v>
      </c>
      <c r="N12" s="384">
        <f t="shared" si="5"/>
        <v>0</v>
      </c>
      <c r="O12" s="384">
        <f t="shared" si="8"/>
        <v>0</v>
      </c>
      <c r="P12" s="384">
        <f t="shared" si="6"/>
        <v>10</v>
      </c>
      <c r="Q12" s="384">
        <f t="shared" si="7"/>
        <v>48</v>
      </c>
      <c r="R12" s="384">
        <v>10</v>
      </c>
      <c r="S12" s="384">
        <f>R12/10</f>
        <v>1</v>
      </c>
      <c r="T12" s="384">
        <v>1</v>
      </c>
      <c r="U12" s="384">
        <v>8</v>
      </c>
      <c r="V12" s="384">
        <v>8</v>
      </c>
      <c r="W12" s="384">
        <v>1</v>
      </c>
    </row>
    <row r="13" spans="1:23" x14ac:dyDescent="0.35">
      <c r="A13" s="384">
        <v>11</v>
      </c>
      <c r="B13" s="212" t="s">
        <v>99</v>
      </c>
      <c r="C13" s="212" t="s">
        <v>446</v>
      </c>
      <c r="D13" s="212" t="str">
        <f>CONCATENATE(T13,"-",U13," ",C13)</f>
        <v>0,5-50 nanog/kg/min</v>
      </c>
      <c r="E13" s="212" t="s">
        <v>176</v>
      </c>
      <c r="F13" s="384">
        <v>0.2</v>
      </c>
      <c r="G13" s="384">
        <v>50</v>
      </c>
      <c r="H13" s="384">
        <v>0.4</v>
      </c>
      <c r="I13" s="384">
        <v>50</v>
      </c>
      <c r="J13" s="558">
        <v>0.8</v>
      </c>
      <c r="K13" s="558">
        <v>50</v>
      </c>
      <c r="L13" s="384">
        <f t="shared" si="0"/>
        <v>0.4</v>
      </c>
      <c r="M13" s="384">
        <f t="shared" si="1"/>
        <v>50</v>
      </c>
      <c r="N13" s="384">
        <f t="shared" si="5"/>
        <v>0</v>
      </c>
      <c r="O13" s="384">
        <f t="shared" si="8"/>
        <v>0</v>
      </c>
      <c r="P13" s="384">
        <f t="shared" si="6"/>
        <v>0.4</v>
      </c>
      <c r="Q13" s="384">
        <f t="shared" si="7"/>
        <v>50</v>
      </c>
      <c r="R13" s="384">
        <v>10</v>
      </c>
      <c r="S13" s="384">
        <f>IF(Q13&gt;0,ROUND(1000*1000*R13/10*(P13/Q13)/(_Pat_Gewicht/10)/60,3),0)</f>
        <v>13.333</v>
      </c>
      <c r="T13" s="384">
        <v>0.5</v>
      </c>
      <c r="U13" s="384">
        <v>50</v>
      </c>
      <c r="V13" s="384">
        <v>50</v>
      </c>
      <c r="W13" s="384">
        <v>2</v>
      </c>
    </row>
    <row r="14" spans="1:23" x14ac:dyDescent="0.35">
      <c r="A14" s="384">
        <v>12</v>
      </c>
      <c r="B14" s="384" t="s">
        <v>155</v>
      </c>
      <c r="C14" s="212" t="s">
        <v>385</v>
      </c>
      <c r="D14" s="212" t="str">
        <f t="shared" ref="D14:D33" si="9">CONCATENATE(T14,"-",U14," ",C14)</f>
        <v>0,5-1 mg/kg/uur</v>
      </c>
      <c r="E14" s="212" t="s">
        <v>176</v>
      </c>
      <c r="F14" s="384">
        <v>100</v>
      </c>
      <c r="G14" s="212">
        <v>50</v>
      </c>
      <c r="H14" s="384">
        <v>250</v>
      </c>
      <c r="I14" s="384">
        <v>50</v>
      </c>
      <c r="J14" s="558">
        <v>250</v>
      </c>
      <c r="K14" s="558">
        <v>50</v>
      </c>
      <c r="L14" s="384">
        <f t="shared" si="0"/>
        <v>250</v>
      </c>
      <c r="M14" s="384">
        <f t="shared" si="1"/>
        <v>50</v>
      </c>
      <c r="N14" s="384">
        <f t="shared" si="5"/>
        <v>0</v>
      </c>
      <c r="O14" s="384">
        <f t="shared" si="8"/>
        <v>0</v>
      </c>
      <c r="P14" s="384">
        <f t="shared" si="6"/>
        <v>250</v>
      </c>
      <c r="Q14" s="384">
        <f t="shared" si="7"/>
        <v>50</v>
      </c>
      <c r="R14" s="384">
        <v>10</v>
      </c>
      <c r="S14" s="384">
        <f>IF(Q14&gt;0,ROUND(R14/10*(P14/Q14)/(_Pat_Gewicht/10),3),0)</f>
        <v>0.5</v>
      </c>
      <c r="T14" s="384">
        <v>0.5</v>
      </c>
      <c r="U14" s="384">
        <v>1</v>
      </c>
      <c r="V14" s="384">
        <v>2</v>
      </c>
      <c r="W14" s="384">
        <v>1</v>
      </c>
    </row>
    <row r="15" spans="1:23" x14ac:dyDescent="0.35">
      <c r="A15" s="384">
        <v>13</v>
      </c>
      <c r="B15" s="384" t="s">
        <v>497</v>
      </c>
      <c r="C15" s="212" t="s">
        <v>510</v>
      </c>
      <c r="D15" s="212" t="str">
        <f t="shared" si="9"/>
        <v>0,1-1 mg/kg/min</v>
      </c>
      <c r="E15" s="212" t="s">
        <v>176</v>
      </c>
      <c r="F15" s="384">
        <v>500</v>
      </c>
      <c r="G15" s="384">
        <v>50</v>
      </c>
      <c r="H15" s="384">
        <v>500</v>
      </c>
      <c r="I15" s="384">
        <v>50</v>
      </c>
      <c r="J15" s="558">
        <v>500</v>
      </c>
      <c r="K15" s="558">
        <v>50</v>
      </c>
      <c r="L15" s="384">
        <f t="shared" si="0"/>
        <v>500</v>
      </c>
      <c r="M15" s="384">
        <f t="shared" si="1"/>
        <v>50</v>
      </c>
      <c r="N15" s="384">
        <f t="shared" si="5"/>
        <v>0</v>
      </c>
      <c r="O15" s="384">
        <f t="shared" si="8"/>
        <v>0</v>
      </c>
      <c r="P15" s="384">
        <f t="shared" si="6"/>
        <v>500</v>
      </c>
      <c r="Q15" s="384">
        <f t="shared" si="7"/>
        <v>50</v>
      </c>
      <c r="R15" s="384">
        <v>10</v>
      </c>
      <c r="S15" s="384">
        <f>IF(Q15&gt;0,ROUND(R15/10*(P15/Q15)/(_Pat_Gewicht/10)/60,3),0)</f>
        <v>1.7000000000000001E-2</v>
      </c>
      <c r="T15" s="384">
        <v>0.1</v>
      </c>
      <c r="U15" s="384">
        <v>1</v>
      </c>
      <c r="V15" s="384">
        <v>2</v>
      </c>
      <c r="W15" s="384">
        <v>1</v>
      </c>
    </row>
    <row r="16" spans="1:23" x14ac:dyDescent="0.35">
      <c r="A16" s="384">
        <v>14</v>
      </c>
      <c r="B16" s="384" t="s">
        <v>520</v>
      </c>
      <c r="C16" s="212" t="s">
        <v>206</v>
      </c>
      <c r="D16" s="212" t="str">
        <f t="shared" si="9"/>
        <v>1-5 mcg/kg/uur</v>
      </c>
      <c r="E16" s="212" t="s">
        <v>176</v>
      </c>
      <c r="F16" s="384">
        <v>0.5</v>
      </c>
      <c r="G16" s="384">
        <v>50</v>
      </c>
      <c r="H16" s="384">
        <v>1</v>
      </c>
      <c r="I16" s="384">
        <v>50</v>
      </c>
      <c r="J16" s="558">
        <v>5</v>
      </c>
      <c r="K16" s="558">
        <v>50</v>
      </c>
      <c r="L16" s="384">
        <f t="shared" si="0"/>
        <v>1</v>
      </c>
      <c r="M16" s="384">
        <f t="shared" si="1"/>
        <v>50</v>
      </c>
      <c r="N16" s="384">
        <f>INDEX(tblBerMedContIV,IFERROR(VLOOKUP(A16,tblBerMedContIV,2,FALSE),1),3)</f>
        <v>0</v>
      </c>
      <c r="O16" s="384">
        <f>INDEX(tblBerMedContIV,IFERROR(VLOOKUP(A16,tblBerMedContIV,2,FALSE),1),4)</f>
        <v>0</v>
      </c>
      <c r="P16" s="384">
        <f>IF(N16&gt;0,N16,L16)</f>
        <v>1</v>
      </c>
      <c r="Q16" s="384">
        <f>IF(O16&gt;0,O16,M16)</f>
        <v>50</v>
      </c>
      <c r="R16" s="384">
        <v>10</v>
      </c>
      <c r="S16" s="384">
        <f>IF(Q16&gt;0,ROUND(1000*R16/10*(P16/Q16)/(_Pat_Gewicht/10),3),0)</f>
        <v>2</v>
      </c>
      <c r="T16" s="384">
        <v>1</v>
      </c>
      <c r="U16" s="384">
        <v>5</v>
      </c>
      <c r="V16" s="384">
        <v>10</v>
      </c>
      <c r="W16" s="384">
        <v>1</v>
      </c>
    </row>
    <row r="17" spans="1:23" x14ac:dyDescent="0.35">
      <c r="A17" s="384">
        <v>15</v>
      </c>
      <c r="B17" s="384" t="s">
        <v>498</v>
      </c>
      <c r="C17" s="212" t="s">
        <v>445</v>
      </c>
      <c r="D17" s="212" t="str">
        <f t="shared" si="9"/>
        <v>0,05-5 mcg/kg/min</v>
      </c>
      <c r="E17" s="212" t="s">
        <v>176</v>
      </c>
      <c r="F17" s="384">
        <v>0.2</v>
      </c>
      <c r="G17" s="384">
        <v>20</v>
      </c>
      <c r="H17" s="384">
        <v>0.4</v>
      </c>
      <c r="I17" s="384">
        <v>20</v>
      </c>
      <c r="J17" s="558">
        <v>0.8</v>
      </c>
      <c r="K17" s="558">
        <v>20</v>
      </c>
      <c r="L17" s="384">
        <f t="shared" si="0"/>
        <v>0.4</v>
      </c>
      <c r="M17" s="384">
        <f t="shared" si="1"/>
        <v>20</v>
      </c>
      <c r="N17" s="384">
        <f t="shared" si="5"/>
        <v>0</v>
      </c>
      <c r="O17" s="384">
        <f t="shared" si="8"/>
        <v>0</v>
      </c>
      <c r="P17" s="384">
        <f t="shared" si="6"/>
        <v>0.4</v>
      </c>
      <c r="Q17" s="384">
        <f t="shared" si="7"/>
        <v>20</v>
      </c>
      <c r="R17" s="384">
        <v>10</v>
      </c>
      <c r="S17" s="384">
        <f>IF(Q17&gt;0,ROUND(1000*R17/10*(P17/Q17)/(_Pat_Gewicht/10)/60,3),0)</f>
        <v>3.3000000000000002E-2</v>
      </c>
      <c r="T17" s="384">
        <v>0.05</v>
      </c>
      <c r="U17" s="384">
        <v>5</v>
      </c>
      <c r="V17" s="384">
        <v>10</v>
      </c>
      <c r="W17" s="384">
        <v>1</v>
      </c>
    </row>
    <row r="18" spans="1:23" x14ac:dyDescent="0.35">
      <c r="A18" s="384">
        <v>16</v>
      </c>
      <c r="B18" s="384" t="s">
        <v>185</v>
      </c>
      <c r="C18" s="212" t="s">
        <v>386</v>
      </c>
      <c r="D18" s="212" t="str">
        <f t="shared" si="9"/>
        <v>1-4 mg/kg/dag</v>
      </c>
      <c r="E18" s="212" t="s">
        <v>176</v>
      </c>
      <c r="F18" s="384">
        <v>10</v>
      </c>
      <c r="G18" s="384">
        <v>50</v>
      </c>
      <c r="H18" s="384">
        <v>20</v>
      </c>
      <c r="I18" s="384">
        <v>50</v>
      </c>
      <c r="J18" s="558">
        <v>40</v>
      </c>
      <c r="K18" s="558">
        <v>50</v>
      </c>
      <c r="L18" s="384">
        <f t="shared" si="0"/>
        <v>20</v>
      </c>
      <c r="M18" s="384">
        <f t="shared" si="1"/>
        <v>50</v>
      </c>
      <c r="N18" s="384">
        <f t="shared" si="5"/>
        <v>0</v>
      </c>
      <c r="O18" s="384">
        <f t="shared" si="8"/>
        <v>0</v>
      </c>
      <c r="P18" s="384">
        <f t="shared" si="6"/>
        <v>20</v>
      </c>
      <c r="Q18" s="384">
        <f t="shared" si="7"/>
        <v>50</v>
      </c>
      <c r="R18" s="384">
        <v>10</v>
      </c>
      <c r="S18" s="384">
        <f>IF(Q18&gt;0,ROUND(24*R18/10*(P18/Q18)/(_Pat_Gewicht/10),3),0)</f>
        <v>0.96</v>
      </c>
      <c r="T18" s="384">
        <v>1</v>
      </c>
      <c r="U18" s="384">
        <v>4</v>
      </c>
      <c r="V18" s="384">
        <v>6</v>
      </c>
      <c r="W18" s="384">
        <v>1</v>
      </c>
    </row>
    <row r="19" spans="1:23" x14ac:dyDescent="0.35">
      <c r="A19" s="384">
        <v>17</v>
      </c>
      <c r="B19" s="384" t="s">
        <v>203</v>
      </c>
      <c r="C19" s="212" t="s">
        <v>204</v>
      </c>
      <c r="D19" s="212" t="str">
        <f t="shared" si="9"/>
        <v>10-20 IE/kg/uur</v>
      </c>
      <c r="E19" s="212" t="s">
        <v>499</v>
      </c>
      <c r="F19" s="384">
        <v>5000</v>
      </c>
      <c r="G19" s="384">
        <v>50</v>
      </c>
      <c r="H19" s="384">
        <v>10000</v>
      </c>
      <c r="I19" s="384">
        <v>50</v>
      </c>
      <c r="J19" s="558">
        <v>20000</v>
      </c>
      <c r="K19" s="558">
        <v>50</v>
      </c>
      <c r="L19" s="384">
        <f t="shared" si="0"/>
        <v>10000</v>
      </c>
      <c r="M19" s="384">
        <f t="shared" si="1"/>
        <v>50</v>
      </c>
      <c r="N19" s="384">
        <f t="shared" si="5"/>
        <v>0</v>
      </c>
      <c r="O19" s="384">
        <f t="shared" si="8"/>
        <v>0</v>
      </c>
      <c r="P19" s="384">
        <f t="shared" si="6"/>
        <v>10000</v>
      </c>
      <c r="Q19" s="384">
        <f t="shared" si="7"/>
        <v>50</v>
      </c>
      <c r="R19" s="384">
        <v>10</v>
      </c>
      <c r="S19" s="384">
        <f>IF(Q19&gt;0,ROUND(R19/10*(P19/Q19)/(_Pat_Gewicht/10),3),0)</f>
        <v>20</v>
      </c>
      <c r="T19" s="384">
        <v>10</v>
      </c>
      <c r="U19" s="384">
        <v>20</v>
      </c>
      <c r="V19" s="384">
        <v>50</v>
      </c>
      <c r="W19" s="384">
        <v>1</v>
      </c>
    </row>
    <row r="20" spans="1:23" x14ac:dyDescent="0.35">
      <c r="A20" s="384">
        <v>18</v>
      </c>
      <c r="B20" s="384" t="s">
        <v>500</v>
      </c>
      <c r="C20" s="212" t="s">
        <v>71</v>
      </c>
      <c r="D20" s="212" t="str">
        <f t="shared" si="9"/>
        <v>0,02-0,125 E/kg/uur</v>
      </c>
      <c r="E20" s="212" t="s">
        <v>499</v>
      </c>
      <c r="F20" s="384">
        <v>10</v>
      </c>
      <c r="G20" s="384">
        <v>50</v>
      </c>
      <c r="H20" s="384">
        <v>10</v>
      </c>
      <c r="I20" s="384">
        <v>50</v>
      </c>
      <c r="J20" s="558">
        <v>50</v>
      </c>
      <c r="K20" s="558">
        <v>50</v>
      </c>
      <c r="L20" s="384">
        <f t="shared" si="0"/>
        <v>10</v>
      </c>
      <c r="M20" s="384">
        <f t="shared" si="1"/>
        <v>50</v>
      </c>
      <c r="N20" s="384">
        <f t="shared" si="5"/>
        <v>0</v>
      </c>
      <c r="O20" s="384">
        <f t="shared" si="8"/>
        <v>0</v>
      </c>
      <c r="P20" s="384">
        <f t="shared" si="6"/>
        <v>10</v>
      </c>
      <c r="Q20" s="384">
        <f t="shared" si="7"/>
        <v>50</v>
      </c>
      <c r="R20" s="384">
        <v>10</v>
      </c>
      <c r="S20" s="384">
        <f>IF(Q20&gt;0,ROUND(R20/10*(P20/Q20)/(_Pat_Gewicht/10),3),0)</f>
        <v>0.02</v>
      </c>
      <c r="T20" s="384">
        <v>0.02</v>
      </c>
      <c r="U20" s="384">
        <v>0.125</v>
      </c>
      <c r="V20" s="384">
        <v>2</v>
      </c>
      <c r="W20" s="384">
        <v>1</v>
      </c>
    </row>
    <row r="21" spans="1:23" x14ac:dyDescent="0.35">
      <c r="A21" s="384">
        <v>19</v>
      </c>
      <c r="B21" s="384" t="s">
        <v>416</v>
      </c>
      <c r="C21" s="212" t="s">
        <v>445</v>
      </c>
      <c r="D21" s="212" t="str">
        <f t="shared" si="9"/>
        <v>0,01-1,5 mcg/kg/min</v>
      </c>
      <c r="E21" s="212" t="s">
        <v>176</v>
      </c>
      <c r="F21" s="384">
        <v>2</v>
      </c>
      <c r="G21" s="384">
        <v>50</v>
      </c>
      <c r="H21" s="384">
        <v>2</v>
      </c>
      <c r="I21" s="384">
        <v>50</v>
      </c>
      <c r="J21" s="558">
        <v>2</v>
      </c>
      <c r="K21" s="558">
        <v>50</v>
      </c>
      <c r="L21" s="384">
        <f t="shared" si="0"/>
        <v>2</v>
      </c>
      <c r="M21" s="384">
        <f t="shared" si="1"/>
        <v>50</v>
      </c>
      <c r="N21" s="384">
        <f t="shared" si="5"/>
        <v>0</v>
      </c>
      <c r="O21" s="384">
        <f t="shared" si="8"/>
        <v>0</v>
      </c>
      <c r="P21" s="384">
        <f t="shared" si="6"/>
        <v>2</v>
      </c>
      <c r="Q21" s="384">
        <f t="shared" si="7"/>
        <v>50</v>
      </c>
      <c r="R21" s="384">
        <v>10</v>
      </c>
      <c r="S21" s="384">
        <f>IF(Q21&gt;0,ROUND(1000*R21/10*(P21/Q21)/(_Pat_Gewicht/10)/60,3),0)</f>
        <v>6.7000000000000004E-2</v>
      </c>
      <c r="T21" s="384">
        <v>0.01</v>
      </c>
      <c r="U21" s="384">
        <v>1.5</v>
      </c>
      <c r="V21" s="384">
        <v>3</v>
      </c>
      <c r="W21" s="384">
        <v>1</v>
      </c>
    </row>
    <row r="22" spans="1:23" x14ac:dyDescent="0.35">
      <c r="A22" s="384">
        <v>20</v>
      </c>
      <c r="B22" s="384" t="s">
        <v>501</v>
      </c>
      <c r="C22" s="212" t="s">
        <v>385</v>
      </c>
      <c r="D22" s="212" t="str">
        <f t="shared" si="9"/>
        <v>0,25-3 mg/kg/uur</v>
      </c>
      <c r="E22" s="212" t="s">
        <v>176</v>
      </c>
      <c r="F22" s="384">
        <v>250</v>
      </c>
      <c r="G22" s="384">
        <v>50</v>
      </c>
      <c r="H22" s="384">
        <v>250</v>
      </c>
      <c r="I22" s="384">
        <v>50</v>
      </c>
      <c r="J22" s="558">
        <v>250</v>
      </c>
      <c r="K22" s="558">
        <v>50</v>
      </c>
      <c r="L22" s="384">
        <f t="shared" si="0"/>
        <v>250</v>
      </c>
      <c r="M22" s="384">
        <f t="shared" si="1"/>
        <v>50</v>
      </c>
      <c r="N22" s="384">
        <f t="shared" si="5"/>
        <v>0</v>
      </c>
      <c r="O22" s="384">
        <f t="shared" si="8"/>
        <v>0</v>
      </c>
      <c r="P22" s="384">
        <f t="shared" si="6"/>
        <v>250</v>
      </c>
      <c r="Q22" s="384">
        <f t="shared" si="7"/>
        <v>50</v>
      </c>
      <c r="R22" s="384">
        <v>10</v>
      </c>
      <c r="S22" s="384">
        <f>IF(Q22&gt;0,ROUND(R22/10*(P22/Q22)/(_Pat_Gewicht/10),3),0)</f>
        <v>0.5</v>
      </c>
      <c r="T22" s="384">
        <v>0.25</v>
      </c>
      <c r="U22" s="384">
        <v>3</v>
      </c>
      <c r="V22" s="384">
        <v>4</v>
      </c>
      <c r="W22" s="384">
        <v>1</v>
      </c>
    </row>
    <row r="23" spans="1:23" x14ac:dyDescent="0.35">
      <c r="A23" s="384">
        <v>21</v>
      </c>
      <c r="B23" s="384" t="s">
        <v>502</v>
      </c>
      <c r="C23" s="212" t="s">
        <v>385</v>
      </c>
      <c r="D23" s="212" t="s">
        <v>518</v>
      </c>
      <c r="E23" s="212" t="s">
        <v>176</v>
      </c>
      <c r="F23" s="384">
        <v>500</v>
      </c>
      <c r="G23" s="384">
        <v>50</v>
      </c>
      <c r="H23" s="384">
        <v>1000</v>
      </c>
      <c r="I23" s="384">
        <v>50</v>
      </c>
      <c r="J23" s="558">
        <v>2000</v>
      </c>
      <c r="K23" s="558">
        <v>50</v>
      </c>
      <c r="L23" s="384">
        <f t="shared" si="0"/>
        <v>1000</v>
      </c>
      <c r="M23" s="384">
        <f t="shared" si="1"/>
        <v>50</v>
      </c>
      <c r="N23" s="384">
        <f t="shared" si="5"/>
        <v>0</v>
      </c>
      <c r="O23" s="384">
        <f t="shared" si="8"/>
        <v>0</v>
      </c>
      <c r="P23" s="384">
        <f t="shared" si="6"/>
        <v>1000</v>
      </c>
      <c r="Q23" s="384">
        <f t="shared" si="7"/>
        <v>50</v>
      </c>
      <c r="R23" s="384">
        <v>10</v>
      </c>
      <c r="S23" s="384">
        <f>IF(Q23&gt;0,ROUND(R23/10*(P23/Q23)/(_Pat_Gewicht/10),3),0)</f>
        <v>2</v>
      </c>
      <c r="T23" s="384">
        <v>3</v>
      </c>
      <c r="U23" s="384">
        <v>20</v>
      </c>
      <c r="V23" s="384">
        <v>25</v>
      </c>
      <c r="W23" s="384">
        <v>1</v>
      </c>
    </row>
    <row r="24" spans="1:23" x14ac:dyDescent="0.35">
      <c r="A24" s="384">
        <v>22</v>
      </c>
      <c r="B24" s="384" t="s">
        <v>380</v>
      </c>
      <c r="C24" s="212" t="s">
        <v>385</v>
      </c>
      <c r="D24" s="212" t="str">
        <f t="shared" si="9"/>
        <v>0,05-0,5 mg/kg/uur</v>
      </c>
      <c r="E24" s="212" t="s">
        <v>176</v>
      </c>
      <c r="F24" s="384">
        <v>25</v>
      </c>
      <c r="G24" s="212">
        <v>50</v>
      </c>
      <c r="H24" s="384">
        <v>50</v>
      </c>
      <c r="I24" s="384">
        <v>50</v>
      </c>
      <c r="J24" s="558">
        <v>50</v>
      </c>
      <c r="K24" s="558">
        <v>50</v>
      </c>
      <c r="L24" s="384">
        <f t="shared" si="0"/>
        <v>50</v>
      </c>
      <c r="M24" s="384">
        <f t="shared" si="1"/>
        <v>50</v>
      </c>
      <c r="N24" s="384">
        <f t="shared" si="5"/>
        <v>0</v>
      </c>
      <c r="O24" s="384">
        <f t="shared" si="8"/>
        <v>0</v>
      </c>
      <c r="P24" s="384">
        <f t="shared" si="6"/>
        <v>50</v>
      </c>
      <c r="Q24" s="384">
        <f t="shared" si="7"/>
        <v>50</v>
      </c>
      <c r="R24" s="384">
        <v>10</v>
      </c>
      <c r="S24" s="384">
        <f>IF(Q24&gt;0,ROUND(R24/10*(P24/Q24)/(_Pat_Gewicht/10),3),0)</f>
        <v>0.1</v>
      </c>
      <c r="T24" s="384">
        <v>0.05</v>
      </c>
      <c r="U24" s="384">
        <v>0.5</v>
      </c>
      <c r="V24" s="384">
        <v>1</v>
      </c>
      <c r="W24" s="384">
        <v>1</v>
      </c>
    </row>
    <row r="25" spans="1:23" x14ac:dyDescent="0.35">
      <c r="A25" s="384">
        <v>23</v>
      </c>
      <c r="B25" s="384" t="s">
        <v>503</v>
      </c>
      <c r="C25" s="212" t="s">
        <v>445</v>
      </c>
      <c r="D25" s="212" t="str">
        <f t="shared" si="9"/>
        <v>0,15-0,5 mcg/kg/min</v>
      </c>
      <c r="E25" s="212" t="s">
        <v>176</v>
      </c>
      <c r="F25" s="384">
        <v>5</v>
      </c>
      <c r="G25" s="384">
        <v>50</v>
      </c>
      <c r="H25" s="384">
        <v>10</v>
      </c>
      <c r="I25" s="384">
        <v>50</v>
      </c>
      <c r="J25" s="558">
        <v>20</v>
      </c>
      <c r="K25" s="558">
        <v>50</v>
      </c>
      <c r="L25" s="384">
        <f t="shared" si="0"/>
        <v>10</v>
      </c>
      <c r="M25" s="384">
        <f t="shared" si="1"/>
        <v>50</v>
      </c>
      <c r="N25" s="384">
        <f t="shared" si="5"/>
        <v>0</v>
      </c>
      <c r="O25" s="384">
        <f t="shared" si="8"/>
        <v>0</v>
      </c>
      <c r="P25" s="384">
        <f t="shared" si="6"/>
        <v>10</v>
      </c>
      <c r="Q25" s="384">
        <f t="shared" si="7"/>
        <v>50</v>
      </c>
      <c r="R25" s="384">
        <v>10</v>
      </c>
      <c r="S25" s="384">
        <f>IF(Q25&gt;0,ROUND(1000*R25/10*(P25/Q25)/(_Pat_Gewicht/10)/60,3),0)</f>
        <v>0.33300000000000002</v>
      </c>
      <c r="T25" s="384">
        <v>0.15</v>
      </c>
      <c r="U25" s="384">
        <v>0.5</v>
      </c>
      <c r="V25" s="384">
        <v>0.75</v>
      </c>
      <c r="W25" s="384">
        <v>1</v>
      </c>
    </row>
    <row r="26" spans="1:23" x14ac:dyDescent="0.35">
      <c r="A26" s="384">
        <v>24</v>
      </c>
      <c r="B26" s="384" t="s">
        <v>130</v>
      </c>
      <c r="C26" s="212" t="s">
        <v>386</v>
      </c>
      <c r="D26" s="212" t="str">
        <f t="shared" si="9"/>
        <v>0,1-0,5 mg/kg/dag</v>
      </c>
      <c r="E26" s="212" t="s">
        <v>176</v>
      </c>
      <c r="F26" s="384">
        <v>2</v>
      </c>
      <c r="G26" s="212">
        <v>50</v>
      </c>
      <c r="H26" s="384">
        <v>5</v>
      </c>
      <c r="I26" s="384">
        <v>50</v>
      </c>
      <c r="J26" s="558">
        <v>10</v>
      </c>
      <c r="K26" s="558">
        <v>50</v>
      </c>
      <c r="L26" s="384">
        <f t="shared" si="0"/>
        <v>5</v>
      </c>
      <c r="M26" s="384">
        <f t="shared" si="1"/>
        <v>50</v>
      </c>
      <c r="N26" s="384">
        <f t="shared" si="5"/>
        <v>0</v>
      </c>
      <c r="O26" s="384">
        <f t="shared" si="8"/>
        <v>0</v>
      </c>
      <c r="P26" s="384">
        <f>IF(N26&gt;0,N26,L26)</f>
        <v>5</v>
      </c>
      <c r="Q26" s="384">
        <f t="shared" si="7"/>
        <v>50</v>
      </c>
      <c r="R26" s="384">
        <v>10</v>
      </c>
      <c r="S26" s="384">
        <f>IF(Q26&gt;0,ROUND(24*(R26/10)*(P26/Q26)/(_Pat_Gewicht/10),3),0)</f>
        <v>0.24</v>
      </c>
      <c r="T26" s="384">
        <v>0.1</v>
      </c>
      <c r="U26" s="384">
        <v>0.5</v>
      </c>
      <c r="V26" s="384">
        <v>1</v>
      </c>
      <c r="W26" s="384">
        <v>1</v>
      </c>
    </row>
    <row r="27" spans="1:23" x14ac:dyDescent="0.35">
      <c r="A27" s="384">
        <v>25</v>
      </c>
      <c r="B27" s="212" t="s">
        <v>357</v>
      </c>
      <c r="C27" s="212" t="s">
        <v>414</v>
      </c>
      <c r="D27" s="212" t="str">
        <f t="shared" si="9"/>
        <v>2-4 mmol/kg/dag</v>
      </c>
      <c r="E27" s="212" t="s">
        <v>519</v>
      </c>
      <c r="F27" s="384">
        <v>25</v>
      </c>
      <c r="G27" s="212">
        <v>50</v>
      </c>
      <c r="H27" s="384">
        <v>25</v>
      </c>
      <c r="I27" s="384">
        <v>50</v>
      </c>
      <c r="J27" s="558">
        <v>25</v>
      </c>
      <c r="K27" s="558">
        <v>50</v>
      </c>
      <c r="L27" s="384">
        <f t="shared" si="0"/>
        <v>25</v>
      </c>
      <c r="M27" s="384">
        <f t="shared" si="1"/>
        <v>50</v>
      </c>
      <c r="N27" s="384">
        <f t="shared" si="5"/>
        <v>0</v>
      </c>
      <c r="O27" s="384">
        <f t="shared" si="8"/>
        <v>0</v>
      </c>
      <c r="P27" s="384">
        <f t="shared" si="6"/>
        <v>25</v>
      </c>
      <c r="Q27" s="384">
        <f t="shared" si="7"/>
        <v>50</v>
      </c>
      <c r="R27" s="384">
        <v>10</v>
      </c>
      <c r="S27" s="384">
        <f>IF(Q27&gt;0,ROUND(24*(R27/10)*(P27/Q27)/(_Pat_Gewicht/10),3),0)</f>
        <v>1.2</v>
      </c>
      <c r="T27" s="384">
        <v>2</v>
      </c>
      <c r="U27" s="384">
        <v>4</v>
      </c>
      <c r="V27" s="384">
        <v>6</v>
      </c>
      <c r="W27" s="384">
        <v>1</v>
      </c>
    </row>
    <row r="28" spans="1:23" x14ac:dyDescent="0.35">
      <c r="A28" s="384">
        <v>26</v>
      </c>
      <c r="B28" s="384" t="s">
        <v>58</v>
      </c>
      <c r="C28" s="212" t="s">
        <v>445</v>
      </c>
      <c r="D28" s="212" t="str">
        <f t="shared" si="9"/>
        <v>0,5-8 mcg/kg/min</v>
      </c>
      <c r="E28" s="212" t="s">
        <v>176</v>
      </c>
      <c r="F28" s="384">
        <v>10</v>
      </c>
      <c r="G28" s="384">
        <v>50</v>
      </c>
      <c r="H28" s="384">
        <v>20</v>
      </c>
      <c r="I28" s="384">
        <v>50</v>
      </c>
      <c r="J28" s="558">
        <v>40</v>
      </c>
      <c r="K28" s="558">
        <v>50</v>
      </c>
      <c r="L28" s="384">
        <f t="shared" si="0"/>
        <v>20</v>
      </c>
      <c r="M28" s="384">
        <f t="shared" si="1"/>
        <v>50</v>
      </c>
      <c r="N28" s="384">
        <f t="shared" si="5"/>
        <v>0</v>
      </c>
      <c r="O28" s="384">
        <f t="shared" si="8"/>
        <v>0</v>
      </c>
      <c r="P28" s="384">
        <f t="shared" si="6"/>
        <v>20</v>
      </c>
      <c r="Q28" s="384">
        <f t="shared" si="7"/>
        <v>50</v>
      </c>
      <c r="R28" s="384">
        <v>10</v>
      </c>
      <c r="S28" s="384">
        <f>IF(Q28&gt;0,ROUND(1000*R28/10*(P28/Q28)/(_Pat_Gewicht/10)/60,3),0)</f>
        <v>0.66700000000000004</v>
      </c>
      <c r="T28" s="384">
        <v>0.5</v>
      </c>
      <c r="U28" s="384">
        <v>8</v>
      </c>
      <c r="V28" s="384">
        <v>10</v>
      </c>
      <c r="W28" s="384">
        <v>1</v>
      </c>
    </row>
    <row r="29" spans="1:23" x14ac:dyDescent="0.35">
      <c r="A29" s="384">
        <v>27</v>
      </c>
      <c r="B29" s="384" t="s">
        <v>412</v>
      </c>
      <c r="C29" s="212" t="s">
        <v>445</v>
      </c>
      <c r="D29" s="212" t="str">
        <f t="shared" si="9"/>
        <v>0,05-0,5 mcg/kg/min</v>
      </c>
      <c r="E29" s="212" t="s">
        <v>176</v>
      </c>
      <c r="F29" s="384">
        <v>1</v>
      </c>
      <c r="G29" s="384">
        <v>50</v>
      </c>
      <c r="H29" s="384">
        <v>2</v>
      </c>
      <c r="I29" s="384">
        <v>50</v>
      </c>
      <c r="J29" s="558">
        <v>5</v>
      </c>
      <c r="K29" s="558">
        <v>50</v>
      </c>
      <c r="L29" s="384">
        <f t="shared" si="0"/>
        <v>2</v>
      </c>
      <c r="M29" s="384">
        <f t="shared" si="1"/>
        <v>50</v>
      </c>
      <c r="N29" s="384">
        <f t="shared" si="5"/>
        <v>0</v>
      </c>
      <c r="O29" s="384">
        <f t="shared" si="8"/>
        <v>0</v>
      </c>
      <c r="P29" s="384">
        <f t="shared" si="6"/>
        <v>2</v>
      </c>
      <c r="Q29" s="384">
        <f t="shared" si="7"/>
        <v>50</v>
      </c>
      <c r="R29" s="384">
        <v>10</v>
      </c>
      <c r="S29" s="384">
        <f>IF(Q29&gt;0,ROUND(1000*R29/10*(P29/Q29)/(_Pat_Gewicht/10)/60,3),0)</f>
        <v>6.7000000000000004E-2</v>
      </c>
      <c r="T29" s="384">
        <v>0.05</v>
      </c>
      <c r="U29" s="384">
        <v>0.5</v>
      </c>
      <c r="V29" s="384">
        <v>1</v>
      </c>
      <c r="W29" s="384">
        <v>1</v>
      </c>
    </row>
    <row r="30" spans="1:23" x14ac:dyDescent="0.35">
      <c r="A30" s="384">
        <v>28</v>
      </c>
      <c r="B30" s="212" t="s">
        <v>348</v>
      </c>
      <c r="C30" s="212" t="s">
        <v>385</v>
      </c>
      <c r="D30" s="212" t="str">
        <f t="shared" si="9"/>
        <v>1-4 mg/kg/uur</v>
      </c>
      <c r="E30" s="212" t="s">
        <v>176</v>
      </c>
      <c r="F30" s="384">
        <v>10</v>
      </c>
      <c r="G30" s="384">
        <v>1</v>
      </c>
      <c r="H30" s="384">
        <v>10</v>
      </c>
      <c r="I30" s="384">
        <v>1</v>
      </c>
      <c r="J30" s="558">
        <v>10</v>
      </c>
      <c r="K30" s="558">
        <v>1</v>
      </c>
      <c r="L30" s="384">
        <f t="shared" si="0"/>
        <v>10</v>
      </c>
      <c r="M30" s="384">
        <f t="shared" si="1"/>
        <v>1</v>
      </c>
      <c r="N30" s="384">
        <f t="shared" si="5"/>
        <v>0</v>
      </c>
      <c r="O30" s="384">
        <f t="shared" si="8"/>
        <v>0</v>
      </c>
      <c r="P30" s="384">
        <f t="shared" si="6"/>
        <v>10</v>
      </c>
      <c r="Q30" s="384">
        <f t="shared" si="7"/>
        <v>1</v>
      </c>
      <c r="R30" s="384">
        <v>10</v>
      </c>
      <c r="S30" s="384">
        <f>IF(Q30&gt;0,ROUND(R30/10*(P30/Q30)/(_Pat_Gewicht/10),3),0)</f>
        <v>1</v>
      </c>
      <c r="T30" s="384">
        <v>1</v>
      </c>
      <c r="U30" s="384">
        <v>4</v>
      </c>
      <c r="V30" s="384">
        <v>4</v>
      </c>
      <c r="W30" s="384">
        <v>1</v>
      </c>
    </row>
    <row r="31" spans="1:23" x14ac:dyDescent="0.35">
      <c r="A31" s="384">
        <v>29</v>
      </c>
      <c r="B31" s="212" t="s">
        <v>349</v>
      </c>
      <c r="C31" s="212" t="s">
        <v>385</v>
      </c>
      <c r="D31" s="212" t="str">
        <f t="shared" si="9"/>
        <v>1-4 mg/kg/uur</v>
      </c>
      <c r="E31" s="212" t="s">
        <v>176</v>
      </c>
      <c r="F31" s="384">
        <v>20</v>
      </c>
      <c r="G31" s="384">
        <v>1</v>
      </c>
      <c r="H31" s="384">
        <v>20</v>
      </c>
      <c r="I31" s="384">
        <v>1</v>
      </c>
      <c r="J31" s="558">
        <v>20</v>
      </c>
      <c r="K31" s="558">
        <v>1</v>
      </c>
      <c r="L31" s="384">
        <f t="shared" si="0"/>
        <v>20</v>
      </c>
      <c r="M31" s="384">
        <f t="shared" si="1"/>
        <v>1</v>
      </c>
      <c r="N31" s="384">
        <f t="shared" si="5"/>
        <v>0</v>
      </c>
      <c r="O31" s="384">
        <f t="shared" si="8"/>
        <v>0</v>
      </c>
      <c r="P31" s="384">
        <f t="shared" si="6"/>
        <v>20</v>
      </c>
      <c r="Q31" s="384">
        <f t="shared" si="7"/>
        <v>1</v>
      </c>
      <c r="R31" s="384">
        <v>10</v>
      </c>
      <c r="S31" s="384">
        <f>IF(Q31&gt;0,ROUND(R31/10*(P31/Q31)/(_Pat_Gewicht/10),3),0)</f>
        <v>2</v>
      </c>
      <c r="T31" s="384">
        <v>1</v>
      </c>
      <c r="U31" s="384">
        <v>4</v>
      </c>
      <c r="V31" s="384">
        <v>4</v>
      </c>
      <c r="W31" s="384">
        <v>1</v>
      </c>
    </row>
    <row r="32" spans="1:23" x14ac:dyDescent="0.35">
      <c r="A32" s="384">
        <v>30</v>
      </c>
      <c r="B32" s="384" t="s">
        <v>294</v>
      </c>
      <c r="C32" s="212" t="s">
        <v>385</v>
      </c>
      <c r="D32" s="212" t="str">
        <f t="shared" si="9"/>
        <v>0,6-1,2 mg/kg/uur</v>
      </c>
      <c r="E32" s="212" t="s">
        <v>176</v>
      </c>
      <c r="F32" s="384">
        <v>50</v>
      </c>
      <c r="G32" s="384">
        <v>50</v>
      </c>
      <c r="H32" s="384">
        <v>100</v>
      </c>
      <c r="I32" s="384">
        <v>50</v>
      </c>
      <c r="J32" s="558">
        <v>200</v>
      </c>
      <c r="K32" s="558">
        <v>50</v>
      </c>
      <c r="L32" s="384">
        <f t="shared" si="0"/>
        <v>100</v>
      </c>
      <c r="M32" s="384">
        <f t="shared" si="1"/>
        <v>50</v>
      </c>
      <c r="N32" s="384">
        <f t="shared" si="5"/>
        <v>0</v>
      </c>
      <c r="O32" s="384">
        <f t="shared" si="8"/>
        <v>0</v>
      </c>
      <c r="P32" s="384">
        <f t="shared" si="6"/>
        <v>100</v>
      </c>
      <c r="Q32" s="384">
        <f t="shared" si="7"/>
        <v>50</v>
      </c>
      <c r="R32" s="384">
        <v>10</v>
      </c>
      <c r="S32" s="384">
        <f>IF(Q32&gt;0,ROUND(R32/10*(P32/Q32)/(_Pat_Gewicht/10),3),0)</f>
        <v>0.2</v>
      </c>
      <c r="T32" s="384">
        <v>0.6</v>
      </c>
      <c r="U32" s="384">
        <v>1.2</v>
      </c>
      <c r="V32" s="384">
        <v>2</v>
      </c>
      <c r="W32" s="384">
        <v>1</v>
      </c>
    </row>
    <row r="33" spans="1:23" x14ac:dyDescent="0.35">
      <c r="A33" s="384">
        <v>31</v>
      </c>
      <c r="B33" s="384" t="s">
        <v>27</v>
      </c>
      <c r="C33" s="212" t="s">
        <v>445</v>
      </c>
      <c r="D33" s="212" t="str">
        <f t="shared" si="9"/>
        <v>0,1-10 mcg/kg/min</v>
      </c>
      <c r="E33" s="212" t="s">
        <v>176</v>
      </c>
      <c r="F33" s="384">
        <v>5</v>
      </c>
      <c r="G33" s="384">
        <v>50</v>
      </c>
      <c r="H33" s="384">
        <v>10</v>
      </c>
      <c r="I33" s="384">
        <v>50</v>
      </c>
      <c r="J33" s="558">
        <v>20</v>
      </c>
      <c r="K33" s="558">
        <v>50</v>
      </c>
      <c r="L33" s="384">
        <f t="shared" si="0"/>
        <v>10</v>
      </c>
      <c r="M33" s="384">
        <f t="shared" si="1"/>
        <v>50</v>
      </c>
      <c r="N33" s="384">
        <f t="shared" si="5"/>
        <v>0</v>
      </c>
      <c r="O33" s="384">
        <f t="shared" si="8"/>
        <v>0</v>
      </c>
      <c r="P33" s="384">
        <f t="shared" si="6"/>
        <v>10</v>
      </c>
      <c r="Q33" s="384">
        <f t="shared" si="7"/>
        <v>50</v>
      </c>
      <c r="R33" s="384">
        <v>10</v>
      </c>
      <c r="S33" s="384">
        <f>IF(Q33&gt;0,ROUND(1000*R33/10*(P33/Q33)/(_Pat_Gewicht/10)/60,3),0)</f>
        <v>0.33300000000000002</v>
      </c>
      <c r="T33" s="384">
        <v>0.1</v>
      </c>
      <c r="U33" s="384">
        <v>10</v>
      </c>
      <c r="V33" s="384">
        <v>15</v>
      </c>
      <c r="W33" s="384">
        <v>1</v>
      </c>
    </row>
    <row r="34" spans="1:23" x14ac:dyDescent="0.35">
      <c r="A34" s="384">
        <v>32</v>
      </c>
      <c r="B34" s="384" t="s">
        <v>378</v>
      </c>
      <c r="C34" s="212" t="s">
        <v>385</v>
      </c>
      <c r="D34" s="212" t="s">
        <v>466</v>
      </c>
      <c r="E34" s="212" t="s">
        <v>176</v>
      </c>
      <c r="F34" s="384">
        <v>1000</v>
      </c>
      <c r="G34" s="384">
        <v>50</v>
      </c>
      <c r="H34" s="384">
        <v>2000</v>
      </c>
      <c r="I34" s="384">
        <v>50</v>
      </c>
      <c r="J34" s="558">
        <v>4000</v>
      </c>
      <c r="K34" s="558">
        <v>50</v>
      </c>
      <c r="L34" s="384">
        <f t="shared" si="0"/>
        <v>2000</v>
      </c>
      <c r="M34" s="384">
        <f t="shared" si="1"/>
        <v>50</v>
      </c>
      <c r="N34" s="384">
        <f t="shared" si="5"/>
        <v>0</v>
      </c>
      <c r="O34" s="384">
        <f t="shared" si="8"/>
        <v>0</v>
      </c>
      <c r="P34" s="384">
        <f t="shared" si="6"/>
        <v>2000</v>
      </c>
      <c r="Q34" s="384">
        <f t="shared" si="7"/>
        <v>50</v>
      </c>
      <c r="R34" s="384">
        <v>10</v>
      </c>
      <c r="S34" s="384">
        <f>IF(Q34&gt;0,ROUND(R34/10*(P34/Q34)/(_Pat_Gewicht/10),3),0)</f>
        <v>4</v>
      </c>
      <c r="T34" s="384">
        <v>5</v>
      </c>
      <c r="U34" s="384">
        <v>10</v>
      </c>
      <c r="V34" s="384">
        <v>20</v>
      </c>
      <c r="W34" s="384">
        <v>1</v>
      </c>
    </row>
    <row r="35" spans="1:23" x14ac:dyDescent="0.35">
      <c r="B35" s="384">
        <v>1</v>
      </c>
      <c r="C35" s="384">
        <v>2</v>
      </c>
      <c r="D35" s="384">
        <v>3</v>
      </c>
      <c r="E35" s="384">
        <v>4</v>
      </c>
      <c r="F35" s="384">
        <v>5</v>
      </c>
      <c r="G35" s="384">
        <v>6</v>
      </c>
      <c r="H35" s="384">
        <v>7</v>
      </c>
      <c r="I35" s="384">
        <v>8</v>
      </c>
      <c r="J35" s="384">
        <v>9</v>
      </c>
      <c r="K35" s="384">
        <v>10</v>
      </c>
      <c r="L35" s="384">
        <v>11</v>
      </c>
      <c r="M35" s="384">
        <v>12</v>
      </c>
      <c r="N35" s="384">
        <v>13</v>
      </c>
      <c r="O35" s="384">
        <v>14</v>
      </c>
      <c r="P35" s="384">
        <v>15</v>
      </c>
      <c r="Q35" s="384">
        <v>16</v>
      </c>
      <c r="R35" s="384">
        <v>17</v>
      </c>
      <c r="S35" s="384">
        <v>18</v>
      </c>
      <c r="T35" s="384">
        <v>19</v>
      </c>
      <c r="U35" s="384">
        <v>20</v>
      </c>
      <c r="V35" s="384">
        <v>21</v>
      </c>
      <c r="W35" s="384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2" customFormat="1" ht="13.2" x14ac:dyDescent="0.4">
      <c r="A1" s="2" t="s">
        <v>1081</v>
      </c>
      <c r="B1" s="2" t="s">
        <v>1082</v>
      </c>
      <c r="C1" s="539" t="s">
        <v>1083</v>
      </c>
      <c r="D1" s="539" t="s">
        <v>1084</v>
      </c>
      <c r="E1" s="2" t="s">
        <v>1085</v>
      </c>
    </row>
    <row r="2" spans="1:5" x14ac:dyDescent="0.35">
      <c r="A2" s="383"/>
      <c r="B2" s="383"/>
      <c r="C2" s="383"/>
      <c r="D2" s="383"/>
      <c r="E2" s="383"/>
    </row>
    <row r="3" spans="1:5" x14ac:dyDescent="0.35">
      <c r="A3" s="383" t="s">
        <v>97</v>
      </c>
      <c r="B3" s="383" t="s">
        <v>1127</v>
      </c>
      <c r="C3" s="383">
        <v>0</v>
      </c>
      <c r="D3" s="383" t="s">
        <v>468</v>
      </c>
      <c r="E3" s="383" t="s">
        <v>178</v>
      </c>
    </row>
    <row r="4" spans="1:5" x14ac:dyDescent="0.35">
      <c r="A4" s="383" t="s">
        <v>96</v>
      </c>
      <c r="B4" s="383" t="s">
        <v>302</v>
      </c>
      <c r="C4" s="383">
        <v>1</v>
      </c>
      <c r="D4" s="383" t="s">
        <v>398</v>
      </c>
      <c r="E4" s="383" t="s">
        <v>176</v>
      </c>
    </row>
    <row r="5" spans="1:5" x14ac:dyDescent="0.35">
      <c r="A5" s="383" t="s">
        <v>39</v>
      </c>
      <c r="B5" s="383" t="s">
        <v>303</v>
      </c>
      <c r="C5" s="383">
        <v>0</v>
      </c>
      <c r="D5" s="384" t="s">
        <v>1073</v>
      </c>
      <c r="E5" s="383" t="s">
        <v>31</v>
      </c>
    </row>
    <row r="6" spans="1:5" x14ac:dyDescent="0.35">
      <c r="A6" s="383" t="s">
        <v>329</v>
      </c>
      <c r="B6" s="383"/>
      <c r="C6" s="383">
        <v>1</v>
      </c>
      <c r="D6" s="383" t="s">
        <v>418</v>
      </c>
      <c r="E6" s="383" t="s">
        <v>72</v>
      </c>
    </row>
    <row r="7" spans="1:5" x14ac:dyDescent="0.35">
      <c r="A7" s="383" t="s">
        <v>40</v>
      </c>
      <c r="B7" s="383"/>
      <c r="C7" s="383">
        <v>2</v>
      </c>
      <c r="D7" s="383" t="s">
        <v>419</v>
      </c>
      <c r="E7" s="383" t="s">
        <v>177</v>
      </c>
    </row>
    <row r="8" spans="1:5" x14ac:dyDescent="0.35">
      <c r="A8" s="383" t="s">
        <v>223</v>
      </c>
      <c r="B8" s="383"/>
      <c r="C8" s="383">
        <v>3</v>
      </c>
      <c r="D8" s="383" t="s">
        <v>420</v>
      </c>
      <c r="E8" s="383"/>
    </row>
    <row r="9" spans="1:5" x14ac:dyDescent="0.35">
      <c r="A9" s="383" t="s">
        <v>389</v>
      </c>
      <c r="B9" s="383"/>
      <c r="C9" s="383">
        <v>4</v>
      </c>
      <c r="D9" s="383" t="s">
        <v>421</v>
      </c>
      <c r="E9" s="383"/>
    </row>
    <row r="10" spans="1:5" x14ac:dyDescent="0.35">
      <c r="A10" s="383" t="s">
        <v>390</v>
      </c>
      <c r="B10" s="383"/>
      <c r="C10" s="383">
        <v>5</v>
      </c>
      <c r="D10" s="383" t="s">
        <v>467</v>
      </c>
      <c r="E10" s="383"/>
    </row>
    <row r="11" spans="1:5" x14ac:dyDescent="0.35">
      <c r="A11" s="383" t="s">
        <v>391</v>
      </c>
      <c r="B11" s="383"/>
      <c r="C11" s="383">
        <v>6</v>
      </c>
      <c r="D11" s="383" t="s">
        <v>196</v>
      </c>
      <c r="E11" s="383"/>
    </row>
    <row r="12" spans="1:5" x14ac:dyDescent="0.35">
      <c r="A12" s="383" t="s">
        <v>51</v>
      </c>
      <c r="B12" s="383"/>
      <c r="C12" s="383">
        <v>8</v>
      </c>
      <c r="D12" s="383" t="s">
        <v>197</v>
      </c>
      <c r="E12" s="383"/>
    </row>
    <row r="13" spans="1:5" x14ac:dyDescent="0.35">
      <c r="A13" s="383" t="s">
        <v>163</v>
      </c>
      <c r="B13" s="383"/>
      <c r="C13" s="383">
        <v>12</v>
      </c>
      <c r="D13" s="383" t="s">
        <v>198</v>
      </c>
      <c r="E13" s="383"/>
    </row>
    <row r="14" spans="1:5" x14ac:dyDescent="0.35">
      <c r="A14" s="383"/>
      <c r="B14" s="383"/>
      <c r="C14" s="383">
        <v>24</v>
      </c>
      <c r="D14" s="383" t="s">
        <v>26</v>
      </c>
      <c r="E14" s="38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0" customWidth="1"/>
    <col min="2" max="2" width="16.59765625" style="20" customWidth="1"/>
    <col min="3" max="3" width="17.265625" style="20" customWidth="1"/>
    <col min="4" max="4" width="17.59765625" style="20" customWidth="1"/>
    <col min="5" max="5" width="18.59765625" style="20" customWidth="1"/>
    <col min="6" max="6" width="18.265625" style="20" customWidth="1"/>
    <col min="7" max="7" width="14.73046875" style="20" customWidth="1"/>
    <col min="8" max="8" width="9.1328125" style="20"/>
    <col min="9" max="9" width="9.3984375" style="20" bestFit="1" customWidth="1"/>
    <col min="10" max="10" width="9.265625" style="20" bestFit="1" customWidth="1"/>
    <col min="11" max="16384" width="9.1328125" style="20"/>
  </cols>
  <sheetData>
    <row r="1" spans="1:12" s="664" customFormat="1" x14ac:dyDescent="0.35">
      <c r="A1" s="663"/>
    </row>
    <row r="2" spans="1:12" s="664" customFormat="1" ht="17.25" customHeight="1" x14ac:dyDescent="0.4">
      <c r="B2" s="665" t="s">
        <v>326</v>
      </c>
      <c r="C2" s="666">
        <f ca="1">Var_AfspraakDatum</f>
        <v>42739</v>
      </c>
      <c r="D2" s="667"/>
      <c r="E2" s="665" t="s">
        <v>327</v>
      </c>
      <c r="F2" s="668">
        <f>_Pat_OpnDatum</f>
        <v>42370</v>
      </c>
      <c r="G2" s="665" t="str">
        <f ca="1">"ICU-dag: "&amp;Var_AfspraakDatum-_Pat_OpnDatum+1</f>
        <v>ICU-dag: 370</v>
      </c>
      <c r="H2" s="665"/>
      <c r="I2" s="669" t="s">
        <v>549</v>
      </c>
      <c r="J2" s="670">
        <f>__1_Bed</f>
        <v>0</v>
      </c>
    </row>
    <row r="3" spans="1:12" s="664" customFormat="1" ht="17.25" customHeight="1" x14ac:dyDescent="0.4">
      <c r="B3" s="665" t="s">
        <v>28</v>
      </c>
      <c r="C3" s="671" t="str">
        <f>__2_AchterNaam&amp;", "&amp;__3_VoorNaam</f>
        <v xml:space="preserve">, </v>
      </c>
      <c r="D3" s="671"/>
      <c r="E3" s="665" t="s">
        <v>334</v>
      </c>
      <c r="F3" s="668">
        <f>__4_GebDatum</f>
        <v>0</v>
      </c>
      <c r="G3" s="670" t="str">
        <f>"Gewicht: "&amp;_Pat_Gewicht/10&amp;" kg"</f>
        <v>Gewicht: 10 kg</v>
      </c>
      <c r="H3" s="665"/>
      <c r="I3" s="670" t="str">
        <f>"Lengte: "&amp;_Pat_Lengte&amp;" cm"</f>
        <v>Lengte: 80 cm</v>
      </c>
      <c r="J3" s="665"/>
    </row>
    <row r="4" spans="1:12" s="664" customFormat="1" ht="17.25" customHeight="1" x14ac:dyDescent="0.4">
      <c r="A4" s="672"/>
      <c r="B4" s="665" t="s">
        <v>369</v>
      </c>
      <c r="C4" s="670">
        <f>__0_PatNum</f>
        <v>0</v>
      </c>
      <c r="D4" s="667"/>
      <c r="E4" s="665" t="s">
        <v>296</v>
      </c>
      <c r="F4" s="673" t="str">
        <f ca="1">PatDetails!F2</f>
        <v/>
      </c>
      <c r="G4" s="665"/>
      <c r="H4" s="665" t="str">
        <f>"Lichamelijk oppervlak: "&amp;ROUND(POWER(_Pat_Gewicht/10,0.425)*POWER(((_Pat_Lengte/100)*100),0.725)*0.007184,2)&amp;" m2"</f>
        <v>Lichamelijk oppervlak: 0,46 m2</v>
      </c>
      <c r="I4" s="665"/>
      <c r="J4" s="665"/>
    </row>
    <row r="5" spans="1:12" ht="12.75" customHeight="1" x14ac:dyDescent="0.35"/>
    <row r="6" spans="1:12" ht="17.25" customHeight="1" x14ac:dyDescent="0.4">
      <c r="A6" s="443"/>
      <c r="B6" s="674" t="s">
        <v>25</v>
      </c>
      <c r="C6" s="675"/>
      <c r="D6" s="675"/>
      <c r="E6" s="675"/>
      <c r="F6" s="675"/>
      <c r="H6" s="480"/>
      <c r="I6" s="480"/>
      <c r="J6" s="480"/>
      <c r="K6" s="479"/>
      <c r="L6" s="479"/>
    </row>
    <row r="7" spans="1:12" ht="9.0500000000000007" customHeight="1" x14ac:dyDescent="0.35">
      <c r="H7" s="480"/>
      <c r="I7" s="480" t="s">
        <v>134</v>
      </c>
      <c r="J7" s="480" t="s">
        <v>359</v>
      </c>
      <c r="K7" s="479"/>
      <c r="L7" s="479"/>
    </row>
    <row r="8" spans="1:12" ht="17.25" customHeight="1" x14ac:dyDescent="0.35">
      <c r="A8" s="659">
        <v>1</v>
      </c>
      <c r="B8" s="659"/>
      <c r="C8" s="661"/>
      <c r="D8" s="659"/>
      <c r="E8" s="660"/>
      <c r="F8" s="662" t="str">
        <f>IF(INDEX(tblInfusenBer,PedBerIVenPM!B2,2)&lt;&gt;0,INDEX(tblInfusenBer,PedBerIVenPM!B2,2)&amp;" ml","")</f>
        <v/>
      </c>
      <c r="H8" s="480"/>
      <c r="I8" s="480" t="b">
        <f>IF(INDEX(tblInfusenBer,PedBerIVenPM!B2,2)&lt;&gt;0,INDEX(tblInfusenBer,PedBerIVenPM!B2,3))</f>
        <v>0</v>
      </c>
      <c r="J8" s="480">
        <f>IF(INDEX(tblInfusenBer,PedBerIVenPM!B2,2)&lt;&gt;0,INDEX(tblInfusenBer,PedBerIVenPM!B2,2),0)</f>
        <v>0</v>
      </c>
      <c r="K8" s="479"/>
      <c r="L8" s="479"/>
    </row>
    <row r="9" spans="1:12" ht="17.25" customHeight="1" x14ac:dyDescent="0.35">
      <c r="A9" s="20">
        <v>2</v>
      </c>
      <c r="E9" s="21"/>
      <c r="F9" s="149" t="str">
        <f>IF(INDEX(tblInfusenBer,PedBerIVenPM!B3,2)&lt;&gt;0,INDEX(tblInfusenBer,PedBerIVenPM!B3,2)&amp;" ml","")</f>
        <v/>
      </c>
      <c r="H9" s="480"/>
      <c r="I9" s="480" t="b">
        <f>IF(INDEX(tblInfusenBer,PedBerIVenPM!B3,2)&lt;&gt;0,INDEX(tblInfusenBer,PedBerIVenPM!B3,3))</f>
        <v>0</v>
      </c>
      <c r="J9" s="480">
        <f>IF(INDEX(tblInfusenBer,PedBerIVenPM!B3,2)&lt;&gt;0,INDEX(tblInfusenBer,PedBerIVenPM!B3,2),0)</f>
        <v>0</v>
      </c>
      <c r="K9" s="479"/>
      <c r="L9" s="479"/>
    </row>
    <row r="10" spans="1:12" ht="17.25" customHeight="1" x14ac:dyDescent="0.35">
      <c r="A10" s="659">
        <v>3</v>
      </c>
      <c r="B10" s="659"/>
      <c r="C10" s="659"/>
      <c r="D10" s="659"/>
      <c r="E10" s="660"/>
      <c r="F10" s="662" t="str">
        <f>IF(INDEX(tblInfusenBer,PedBerIVenPM!B4,2)&lt;&gt;0,INDEX(tblInfusenBer,PedBerIVenPM!B4,2)&amp;" ml","")</f>
        <v/>
      </c>
      <c r="H10" s="480"/>
      <c r="I10" s="480" t="b">
        <f>IF(INDEX(tblInfusenBer,PedBerIVenPM!B4,2)&lt;&gt;0,INDEX(tblInfusenBer,PedBerIVenPM!B4,3))</f>
        <v>0</v>
      </c>
      <c r="J10" s="480">
        <f>IF(INDEX(tblInfusenBer,PedBerIVenPM!B4,2)&lt;&gt;0,INDEX(tblInfusenBer,PedBerIVenPM!B4,2),0)</f>
        <v>0</v>
      </c>
      <c r="K10" s="479"/>
      <c r="L10" s="479"/>
    </row>
    <row r="11" spans="1:12" ht="17.25" customHeight="1" x14ac:dyDescent="0.35">
      <c r="A11" s="20">
        <v>4</v>
      </c>
      <c r="E11" s="21"/>
      <c r="F11" s="149" t="str">
        <f>IF(INDEX(tblInfusenBer,PedBerIVenPM!B5,2)&lt;&gt;0,INDEX(tblInfusenBer,PedBerIVenPM!B5,2)&amp;" ml","")</f>
        <v/>
      </c>
      <c r="H11" s="480"/>
      <c r="I11" s="480" t="b">
        <f>IF(INDEX(tblInfusenBer,PedBerIVenPM!B5,2)&lt;&gt;0,INDEX(tblInfusenBer,PedBerIVenPM!B5,3))</f>
        <v>0</v>
      </c>
      <c r="J11" s="480">
        <f>IF(INDEX(tblInfusenBer,PedBerIVenPM!B5,2)&lt;&gt;0,INDEX(tblInfusenBer,PedBerIVenPM!B5,2),0)</f>
        <v>0</v>
      </c>
      <c r="K11" s="479"/>
      <c r="L11" s="479"/>
    </row>
    <row r="12" spans="1:12" ht="17.25" customHeight="1" x14ac:dyDescent="0.35">
      <c r="A12" s="659">
        <v>5</v>
      </c>
      <c r="B12" s="659"/>
      <c r="C12" s="659"/>
      <c r="D12" s="659"/>
      <c r="E12" s="660"/>
      <c r="F12" s="662" t="str">
        <f>IF(INDEX(tblInfusenBer,PedBerIVenPM!B6,2)&lt;&gt;0,INDEX(tblInfusenBer,PedBerIVenPM!B6,2)&amp;" ml","")</f>
        <v/>
      </c>
      <c r="H12" s="480"/>
      <c r="I12" s="480" t="b">
        <f>IF(INDEX(tblInfusenBer,PedBerIVenPM!B6,2)&lt;&gt;0,INDEX(tblInfusenBer,PedBerIVenPM!B6,3))</f>
        <v>0</v>
      </c>
      <c r="J12" s="480">
        <f>IF(INDEX(tblInfusenBer,PedBerIVenPM!B6,2)&lt;&gt;0,INDEX(tblInfusenBer,PedBerIVenPM!B6,2),0)</f>
        <v>0</v>
      </c>
      <c r="K12" s="479"/>
      <c r="L12" s="479"/>
    </row>
    <row r="13" spans="1:12" ht="17.25" customHeight="1" x14ac:dyDescent="0.35">
      <c r="A13" s="20">
        <v>6</v>
      </c>
      <c r="E13" s="21"/>
      <c r="F13" s="149" t="str">
        <f>IF(INDEX(tblInfusenBer,PedBerIVenPM!B7,2)&lt;&gt;0,INDEX(tblInfusenBer,PedBerIVenPM!B7,2)&amp;" ml","")</f>
        <v/>
      </c>
      <c r="H13" s="480"/>
      <c r="I13" s="480" t="b">
        <f>IF(INDEX(tblInfusenBer,PedBerIVenPM!B7,2)&lt;&gt;0,INDEX(tblInfusenBer,PedBerIVenPM!B7,3))</f>
        <v>0</v>
      </c>
      <c r="J13" s="480">
        <f>IF(INDEX(tblInfusenBer,PedBerIVenPM!B7,2)&lt;&gt;0,INDEX(tblInfusenBer,PedBerIVenPM!B7,2),0)</f>
        <v>0</v>
      </c>
      <c r="K13" s="479"/>
      <c r="L13" s="479"/>
    </row>
    <row r="14" spans="1:12" ht="17.25" customHeight="1" x14ac:dyDescent="0.35">
      <c r="H14" s="480"/>
      <c r="I14" s="480"/>
      <c r="J14" s="480"/>
      <c r="K14" s="479"/>
      <c r="L14" s="479"/>
    </row>
    <row r="15" spans="1:12" ht="17.25" customHeight="1" x14ac:dyDescent="0.35">
      <c r="B15" s="676" t="s">
        <v>313</v>
      </c>
      <c r="C15" s="511">
        <f>GlobBerOpm!C2</f>
        <v>0</v>
      </c>
      <c r="D15" s="507"/>
      <c r="E15" s="507"/>
      <c r="F15" s="507"/>
      <c r="G15" s="507"/>
      <c r="H15" s="509"/>
      <c r="I15" s="509">
        <f>SUM(I8:I14)</f>
        <v>0</v>
      </c>
      <c r="J15" s="509">
        <f>SUM(J8:J14)</f>
        <v>0</v>
      </c>
      <c r="K15" s="479"/>
      <c r="L15" s="479"/>
    </row>
    <row r="16" spans="1:12" ht="17.25" customHeight="1" x14ac:dyDescent="0.35">
      <c r="B16" s="21"/>
      <c r="C16" s="21"/>
      <c r="D16" s="21"/>
      <c r="E16" s="21"/>
      <c r="F16" s="21"/>
      <c r="G16" s="21"/>
      <c r="H16" s="508"/>
      <c r="I16" s="508"/>
      <c r="J16" s="508"/>
      <c r="K16" s="479"/>
      <c r="L16" s="479"/>
    </row>
    <row r="17" spans="2:10" ht="20.100000000000001" customHeight="1" x14ac:dyDescent="0.35">
      <c r="B17" s="117"/>
      <c r="C17" s="151"/>
      <c r="D17" s="151"/>
      <c r="E17" s="151"/>
      <c r="F17" s="151"/>
      <c r="G17" s="151"/>
      <c r="H17" s="510"/>
      <c r="I17" s="510"/>
      <c r="J17" s="151"/>
    </row>
    <row r="18" spans="2:10" ht="20.100000000000001" customHeight="1" x14ac:dyDescent="0.4">
      <c r="B18" s="674" t="s">
        <v>20</v>
      </c>
      <c r="C18" s="656" t="s">
        <v>4181</v>
      </c>
      <c r="H18" s="151"/>
      <c r="I18" s="151"/>
      <c r="J18" s="151"/>
    </row>
    <row r="19" spans="2:10" ht="20.100000000000001" customHeight="1" x14ac:dyDescent="0.35"/>
    <row r="20" spans="2:10" ht="20.100000000000001" customHeight="1" x14ac:dyDescent="0.35">
      <c r="B20" s="675" t="s">
        <v>287</v>
      </c>
      <c r="E20" s="675" t="s">
        <v>62</v>
      </c>
    </row>
    <row r="21" spans="2:10" ht="20.100000000000001" customHeight="1" x14ac:dyDescent="0.35"/>
    <row r="22" spans="2:10" ht="13.2" x14ac:dyDescent="0.4">
      <c r="B22" s="675" t="s">
        <v>317</v>
      </c>
      <c r="C22" s="152" t="str">
        <f>IF(PedBerIVenPM!D1&gt;1,PedBerIVenPM!G1&amp;" /min","")</f>
        <v xml:space="preserve"> /min</v>
      </c>
    </row>
    <row r="23" spans="2:10" ht="17.25" customHeight="1" x14ac:dyDescent="0.4">
      <c r="C23" s="152"/>
    </row>
    <row r="24" spans="2:10" ht="17.25" customHeight="1" x14ac:dyDescent="0.4">
      <c r="B24" s="675" t="s">
        <v>63</v>
      </c>
      <c r="C24" s="152" t="str">
        <f>IF(PedBerIVenPM!D1&gt;1,(PedBerIVenPM!G2/10)&amp;" V","")</f>
        <v>0 V</v>
      </c>
    </row>
    <row r="25" spans="2:10" ht="17.25" customHeight="1" x14ac:dyDescent="0.4">
      <c r="B25" s="675" t="s">
        <v>64</v>
      </c>
      <c r="C25" s="152" t="str">
        <f>IF(PedBerIVenPM!D1&gt;1,(PedBerIVenPM!G3/10)&amp;" V","")</f>
        <v>0 V</v>
      </c>
    </row>
    <row r="26" spans="2:10" ht="17.25" customHeight="1" x14ac:dyDescent="0.4">
      <c r="C26" s="152"/>
    </row>
    <row r="27" spans="2:10" ht="17.25" customHeight="1" x14ac:dyDescent="0.4">
      <c r="B27" s="675" t="s">
        <v>65</v>
      </c>
      <c r="C27" s="152" t="str">
        <f>IF(PedBerIVenPM!D1&gt;1,PedBerIVenPM!G4&amp;" msec","")</f>
        <v xml:space="preserve"> msec</v>
      </c>
    </row>
    <row r="28" spans="2:10" ht="17.25" customHeight="1" x14ac:dyDescent="0.4">
      <c r="C28" s="152"/>
    </row>
    <row r="29" spans="2:10" ht="17.25" customHeight="1" x14ac:dyDescent="0.4">
      <c r="B29" s="675" t="s">
        <v>66</v>
      </c>
      <c r="C29" s="152" t="str">
        <f>IF(PedBerIVenPM!D1&gt;1,PedBerIVenPM!G5/10&amp;" mV","")</f>
        <v>0 mV</v>
      </c>
    </row>
    <row r="30" spans="2:10" ht="17.25" customHeight="1" x14ac:dyDescent="0.4">
      <c r="B30" s="675" t="s">
        <v>67</v>
      </c>
      <c r="C30" s="152" t="str">
        <f>IF(PedBerIVenPM!D1&gt;1,(PedBerIVenPM!G6/10)&amp;" mV","")</f>
        <v>0 mV</v>
      </c>
    </row>
    <row r="31" spans="2:10" ht="17.25" customHeight="1" x14ac:dyDescent="0.35"/>
  </sheetData>
  <sheetProtection algorithmName="SHA-512" hashValue="MBASPXBipvnJsWYKI9xkmM+z+lIXIV2fZ3r3qkEBqXQG12w5lypKCNWYEv5MqAN6A4hSBVDWVOyM8JNS4dmVAg==" saltValue="w9vpzbVTU4IN36tAjQnfvA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9575</xdr:rowOff>
                  </from>
                  <to>
                    <xdr:col>3</xdr:col>
                    <xdr:colOff>0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1" sqref="G1:G6"/>
    </sheetView>
  </sheetViews>
  <sheetFormatPr defaultRowHeight="12.85" x14ac:dyDescent="0.35"/>
  <cols>
    <col min="1" max="2" width="15.3984375" customWidth="1"/>
  </cols>
  <sheetData>
    <row r="1" spans="1:8" ht="13.2" x14ac:dyDescent="0.4">
      <c r="A1" s="2" t="s">
        <v>1088</v>
      </c>
      <c r="B1" s="2" t="s">
        <v>1089</v>
      </c>
      <c r="D1" s="2" t="s">
        <v>286</v>
      </c>
      <c r="E1" s="2" t="s">
        <v>68</v>
      </c>
      <c r="F1" s="2" t="s">
        <v>226</v>
      </c>
      <c r="H1">
        <v>70</v>
      </c>
    </row>
    <row r="2" spans="1:8" ht="13.2" x14ac:dyDescent="0.4">
      <c r="A2" s="8">
        <v>1</v>
      </c>
      <c r="B2" s="8">
        <v>1</v>
      </c>
      <c r="F2" s="2" t="s">
        <v>282</v>
      </c>
      <c r="H2">
        <v>10</v>
      </c>
    </row>
    <row r="3" spans="1:8" ht="13.2" x14ac:dyDescent="0.4">
      <c r="A3" s="8">
        <v>2</v>
      </c>
      <c r="B3" s="8">
        <v>1</v>
      </c>
      <c r="F3" s="2" t="s">
        <v>283</v>
      </c>
      <c r="H3">
        <v>10</v>
      </c>
    </row>
    <row r="4" spans="1:8" ht="13.2" x14ac:dyDescent="0.4">
      <c r="A4" s="8">
        <v>3</v>
      </c>
      <c r="B4" s="8">
        <v>1</v>
      </c>
      <c r="F4" s="2" t="s">
        <v>284</v>
      </c>
      <c r="H4">
        <v>170</v>
      </c>
    </row>
    <row r="5" spans="1:8" ht="13.2" x14ac:dyDescent="0.4">
      <c r="A5" s="8">
        <v>4</v>
      </c>
      <c r="B5" s="8">
        <v>1</v>
      </c>
      <c r="C5" s="478"/>
      <c r="F5" s="2" t="s">
        <v>285</v>
      </c>
      <c r="H5">
        <v>20</v>
      </c>
    </row>
    <row r="6" spans="1:8" ht="13.2" x14ac:dyDescent="0.4">
      <c r="A6" s="8">
        <v>5</v>
      </c>
      <c r="B6" s="8">
        <v>1</v>
      </c>
      <c r="C6" s="478"/>
      <c r="F6" s="2" t="s">
        <v>320</v>
      </c>
      <c r="H6">
        <v>20</v>
      </c>
    </row>
    <row r="7" spans="1:8" ht="13.2" x14ac:dyDescent="0.4">
      <c r="A7" s="8">
        <v>6</v>
      </c>
      <c r="B7" s="8">
        <v>1</v>
      </c>
      <c r="C7" s="478"/>
    </row>
    <row r="8" spans="1:8" ht="13.2" x14ac:dyDescent="0.4">
      <c r="A8" s="478"/>
      <c r="B8" s="478"/>
      <c r="C8" s="478"/>
    </row>
    <row r="9" spans="1:8" ht="13.2" x14ac:dyDescent="0.4">
      <c r="A9" s="478"/>
      <c r="B9" s="478"/>
      <c r="C9" s="478"/>
    </row>
    <row r="10" spans="1:8" ht="13.2" x14ac:dyDescent="0.4">
      <c r="A10" s="478"/>
      <c r="B10" s="478"/>
      <c r="C10" s="478"/>
    </row>
    <row r="11" spans="1:8" ht="13.2" x14ac:dyDescent="0.4">
      <c r="A11" s="478"/>
      <c r="B11" s="478"/>
      <c r="C11" s="478"/>
    </row>
    <row r="12" spans="1:8" ht="13.2" x14ac:dyDescent="0.4">
      <c r="A12" s="478"/>
      <c r="B12" s="478"/>
      <c r="C12" s="478"/>
    </row>
    <row r="13" spans="1:8" ht="13.2" x14ac:dyDescent="0.4">
      <c r="A13" s="478"/>
      <c r="B13" s="478"/>
      <c r="C13" s="478"/>
    </row>
    <row r="14" spans="1:8" ht="13.2" x14ac:dyDescent="0.4">
      <c r="A14" s="478"/>
      <c r="B14" s="478"/>
      <c r="C14" s="478"/>
    </row>
    <row r="15" spans="1:8" ht="13.2" x14ac:dyDescent="0.4">
      <c r="A15" s="478"/>
      <c r="B15" s="478"/>
      <c r="C15" s="478"/>
    </row>
    <row r="16" spans="1:8" ht="13.2" x14ac:dyDescent="0.4">
      <c r="A16" s="478"/>
      <c r="B16" s="478"/>
      <c r="C16" s="478"/>
    </row>
    <row r="17" spans="1:3" ht="13.2" x14ac:dyDescent="0.4">
      <c r="A17" s="478"/>
      <c r="B17" s="478"/>
      <c r="C17" s="478"/>
    </row>
    <row r="18" spans="1:3" ht="13.2" x14ac:dyDescent="0.4">
      <c r="A18" s="478"/>
      <c r="B18" s="478"/>
      <c r="C18" s="478"/>
    </row>
    <row r="19" spans="1:3" ht="13.2" x14ac:dyDescent="0.4">
      <c r="A19" s="478"/>
      <c r="B19" s="478"/>
      <c r="C19" s="478"/>
    </row>
    <row r="20" spans="1:3" ht="13.2" x14ac:dyDescent="0.4">
      <c r="A20" s="478"/>
      <c r="B20" s="478"/>
      <c r="C20" s="478"/>
    </row>
    <row r="21" spans="1:3" ht="13.2" x14ac:dyDescent="0.4">
      <c r="A21" s="478"/>
      <c r="B21" s="478"/>
      <c r="C21" s="478"/>
    </row>
    <row r="22" spans="1:3" ht="13.2" x14ac:dyDescent="0.4">
      <c r="A22" s="478"/>
      <c r="B22" s="478"/>
      <c r="C22" s="478"/>
    </row>
    <row r="23" spans="1:3" ht="13.2" x14ac:dyDescent="0.4">
      <c r="A23" s="478"/>
      <c r="B23" s="478"/>
      <c r="C23" s="478"/>
    </row>
    <row r="24" spans="1:3" ht="13.2" x14ac:dyDescent="0.4">
      <c r="A24" s="478"/>
      <c r="B24" s="478"/>
      <c r="C24" s="478"/>
    </row>
    <row r="25" spans="1:3" ht="13.2" x14ac:dyDescent="0.4">
      <c r="A25" s="478"/>
      <c r="B25" s="478"/>
      <c r="C25" s="478"/>
    </row>
    <row r="26" spans="1:3" ht="13.2" x14ac:dyDescent="0.4">
      <c r="A26" s="478"/>
      <c r="B26" s="478"/>
      <c r="C26" s="478"/>
    </row>
    <row r="27" spans="1:3" ht="13.2" x14ac:dyDescent="0.4">
      <c r="A27" s="478"/>
      <c r="B27" s="478"/>
      <c r="C27" s="478"/>
    </row>
    <row r="28" spans="1:3" ht="13.2" x14ac:dyDescent="0.4">
      <c r="A28" s="478"/>
      <c r="B28" s="478"/>
      <c r="C28" s="478"/>
    </row>
    <row r="29" spans="1:3" ht="13.2" x14ac:dyDescent="0.4">
      <c r="A29" s="478"/>
      <c r="B29" s="478"/>
      <c r="C29" s="478"/>
    </row>
    <row r="30" spans="1:3" ht="13.2" x14ac:dyDescent="0.4">
      <c r="A30" s="478"/>
      <c r="B30" s="478"/>
      <c r="C30" s="478"/>
    </row>
    <row r="31" spans="1:3" ht="13.2" x14ac:dyDescent="0.4">
      <c r="A31" s="478"/>
      <c r="B31" s="478"/>
      <c r="C31" s="478"/>
    </row>
    <row r="32" spans="1:3" ht="13.2" x14ac:dyDescent="0.4">
      <c r="A32" s="478"/>
      <c r="B32" s="478"/>
      <c r="C32" s="478"/>
    </row>
    <row r="33" spans="1:3" ht="13.2" x14ac:dyDescent="0.4">
      <c r="A33" s="478"/>
      <c r="B33" s="478"/>
      <c r="C33" s="47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2" customFormat="1" ht="13.2" x14ac:dyDescent="0.4">
      <c r="A1" s="2" t="s">
        <v>1086</v>
      </c>
      <c r="B1" s="2" t="s">
        <v>297</v>
      </c>
      <c r="C1" s="2" t="s">
        <v>1087</v>
      </c>
      <c r="E1" s="2" t="s">
        <v>1090</v>
      </c>
      <c r="F1" s="2" t="s">
        <v>1091</v>
      </c>
    </row>
    <row r="2" spans="1:6" ht="13.2" x14ac:dyDescent="0.4">
      <c r="A2" s="448"/>
      <c r="B2" s="383"/>
      <c r="C2" s="383"/>
      <c r="E2" s="383"/>
      <c r="F2" s="383"/>
    </row>
    <row r="3" spans="1:6" x14ac:dyDescent="0.35">
      <c r="A3" s="8" t="s">
        <v>168</v>
      </c>
      <c r="B3" s="383"/>
      <c r="C3" s="383"/>
      <c r="E3" s="383" t="s">
        <v>388</v>
      </c>
      <c r="F3" s="383" t="s">
        <v>279</v>
      </c>
    </row>
    <row r="4" spans="1:6" x14ac:dyDescent="0.35">
      <c r="A4" s="476" t="s">
        <v>1128</v>
      </c>
      <c r="B4" s="477">
        <v>48</v>
      </c>
      <c r="C4" s="477">
        <v>7.44</v>
      </c>
      <c r="E4" s="383" t="s">
        <v>277</v>
      </c>
      <c r="F4" s="383" t="s">
        <v>280</v>
      </c>
    </row>
    <row r="5" spans="1:6" x14ac:dyDescent="0.35">
      <c r="A5" s="476" t="s">
        <v>1129</v>
      </c>
      <c r="B5" s="477">
        <v>72</v>
      </c>
      <c r="C5" s="477">
        <v>11.16</v>
      </c>
      <c r="E5" s="383" t="s">
        <v>278</v>
      </c>
      <c r="F5" s="383" t="s">
        <v>281</v>
      </c>
    </row>
    <row r="6" spans="1:6" ht="13.2" x14ac:dyDescent="0.4">
      <c r="A6" s="476" t="s">
        <v>1050</v>
      </c>
      <c r="B6" s="478"/>
      <c r="C6" s="478"/>
    </row>
    <row r="7" spans="1:6" x14ac:dyDescent="0.35">
      <c r="A7" s="476" t="s">
        <v>1130</v>
      </c>
      <c r="B7" s="477">
        <v>48</v>
      </c>
      <c r="C7" s="477">
        <v>7.44</v>
      </c>
    </row>
    <row r="8" spans="1:6" x14ac:dyDescent="0.35">
      <c r="A8" s="476" t="s">
        <v>1131</v>
      </c>
      <c r="B8" s="477">
        <v>72</v>
      </c>
      <c r="C8" s="477">
        <v>11.16</v>
      </c>
    </row>
    <row r="9" spans="1:6" ht="13.2" x14ac:dyDescent="0.4">
      <c r="A9" s="476" t="s">
        <v>87</v>
      </c>
      <c r="B9" s="478"/>
      <c r="C9" s="478"/>
    </row>
    <row r="10" spans="1:6" ht="13.2" x14ac:dyDescent="0.4">
      <c r="A10" s="476" t="s">
        <v>426</v>
      </c>
      <c r="B10" s="478"/>
      <c r="C10" s="478"/>
    </row>
    <row r="11" spans="1:6" ht="13.2" x14ac:dyDescent="0.4">
      <c r="A11" s="476" t="s">
        <v>427</v>
      </c>
      <c r="B11" s="478"/>
      <c r="C11" s="478"/>
    </row>
    <row r="12" spans="1:6" ht="13.2" x14ac:dyDescent="0.4">
      <c r="A12" s="476" t="s">
        <v>366</v>
      </c>
      <c r="B12" s="478"/>
      <c r="C12" s="478"/>
    </row>
    <row r="13" spans="1:6" ht="13.2" x14ac:dyDescent="0.4">
      <c r="A13" s="476" t="s">
        <v>367</v>
      </c>
      <c r="B13" s="478"/>
      <c r="C13" s="478"/>
    </row>
    <row r="14" spans="1:6" ht="13.2" x14ac:dyDescent="0.4">
      <c r="A14" s="476" t="s">
        <v>133</v>
      </c>
      <c r="B14" s="478"/>
      <c r="C14" s="478"/>
    </row>
    <row r="15" spans="1:6" x14ac:dyDescent="0.35">
      <c r="A15" s="476" t="s">
        <v>1132</v>
      </c>
      <c r="B15" s="477">
        <v>48</v>
      </c>
      <c r="C15" s="477">
        <v>7.44</v>
      </c>
    </row>
    <row r="16" spans="1:6" x14ac:dyDescent="0.35">
      <c r="A16" s="476" t="s">
        <v>1133</v>
      </c>
      <c r="B16" s="477">
        <v>72</v>
      </c>
      <c r="C16" s="477">
        <v>11.16</v>
      </c>
    </row>
    <row r="17" spans="1:1" x14ac:dyDescent="0.35">
      <c r="A17" s="476" t="s">
        <v>201</v>
      </c>
    </row>
    <row r="18" spans="1:1" x14ac:dyDescent="0.35">
      <c r="A18" s="476" t="s">
        <v>426</v>
      </c>
    </row>
    <row r="19" spans="1:1" x14ac:dyDescent="0.35">
      <c r="A19" s="476" t="s">
        <v>427</v>
      </c>
    </row>
    <row r="20" spans="1:1" x14ac:dyDescent="0.35">
      <c r="A20" s="476" t="s">
        <v>368</v>
      </c>
    </row>
    <row r="21" spans="1:1" x14ac:dyDescent="0.35">
      <c r="A21" s="476" t="s">
        <v>341</v>
      </c>
    </row>
    <row r="22" spans="1:1" x14ac:dyDescent="0.35">
      <c r="A22" s="476" t="s">
        <v>167</v>
      </c>
    </row>
    <row r="23" spans="1:1" x14ac:dyDescent="0.35">
      <c r="A23" s="476" t="s">
        <v>342</v>
      </c>
    </row>
    <row r="24" spans="1:1" x14ac:dyDescent="0.35">
      <c r="A24" s="476" t="s">
        <v>328</v>
      </c>
    </row>
    <row r="25" spans="1:1" x14ac:dyDescent="0.35">
      <c r="A25" s="476" t="s">
        <v>1134</v>
      </c>
    </row>
    <row r="26" spans="1:1" x14ac:dyDescent="0.35">
      <c r="A26" s="476" t="s">
        <v>407</v>
      </c>
    </row>
    <row r="27" spans="1:1" x14ac:dyDescent="0.35">
      <c r="A27" s="476" t="s">
        <v>405</v>
      </c>
    </row>
    <row r="28" spans="1:1" x14ac:dyDescent="0.35">
      <c r="A28" s="476" t="s">
        <v>406</v>
      </c>
    </row>
    <row r="29" spans="1:1" x14ac:dyDescent="0.35">
      <c r="A29" s="476" t="s">
        <v>1135</v>
      </c>
    </row>
    <row r="30" spans="1:1" x14ac:dyDescent="0.35">
      <c r="A30" s="476" t="s">
        <v>1136</v>
      </c>
    </row>
    <row r="31" spans="1:1" x14ac:dyDescent="0.35">
      <c r="A31" s="476" t="s">
        <v>449</v>
      </c>
    </row>
    <row r="32" spans="1:1" x14ac:dyDescent="0.35">
      <c r="A32" s="476" t="s">
        <v>450</v>
      </c>
    </row>
    <row r="33" spans="1:3" x14ac:dyDescent="0.35">
      <c r="A33" s="476" t="s">
        <v>1178</v>
      </c>
      <c r="B33" s="477"/>
      <c r="C33" s="477"/>
    </row>
    <row r="34" spans="1:3" x14ac:dyDescent="0.35">
      <c r="A34" s="476" t="s">
        <v>1170</v>
      </c>
      <c r="B34" s="477">
        <v>48</v>
      </c>
      <c r="C34" s="477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H7" sqref="H7"/>
    </sheetView>
  </sheetViews>
  <sheetFormatPr defaultColWidth="9.1328125" defaultRowHeight="12.85" x14ac:dyDescent="0.35"/>
  <cols>
    <col min="1" max="1" width="2.265625" style="21" customWidth="1"/>
    <col min="2" max="2" width="3.1328125" style="20" customWidth="1"/>
    <col min="3" max="3" width="14.265625" style="20" customWidth="1"/>
    <col min="4" max="4" width="14.3984375" style="20" customWidth="1"/>
    <col min="5" max="5" width="12.1328125" style="20" customWidth="1"/>
    <col min="6" max="6" width="26.3984375" style="20" customWidth="1"/>
    <col min="7" max="7" width="13.86328125" style="20" customWidth="1"/>
    <col min="8" max="8" width="15.265625" style="20" customWidth="1"/>
    <col min="9" max="9" width="15.1328125" style="20" customWidth="1"/>
    <col min="10" max="12" width="9.1328125" style="20"/>
    <col min="13" max="13" width="10.3984375" style="20" customWidth="1"/>
    <col min="14" max="15" width="9.1328125" style="20"/>
    <col min="16" max="16" width="10.73046875" style="20" bestFit="1" customWidth="1"/>
    <col min="17" max="18" width="9.1328125" style="20"/>
    <col min="19" max="19" width="10.73046875" style="20" bestFit="1" customWidth="1"/>
    <col min="20" max="16384" width="9.1328125" style="20"/>
  </cols>
  <sheetData>
    <row r="1" spans="1:22" s="106" customFormat="1" x14ac:dyDescent="0.35">
      <c r="A1" s="449"/>
    </row>
    <row r="2" spans="1:22" s="106" customFormat="1" ht="13.2" x14ac:dyDescent="0.4">
      <c r="A2" s="122"/>
      <c r="B2" s="107" t="s">
        <v>326</v>
      </c>
      <c r="D2" s="108">
        <f ca="1">Var_AfspraakDatum</f>
        <v>42739</v>
      </c>
      <c r="E2" s="109"/>
      <c r="F2" s="107" t="s">
        <v>327</v>
      </c>
      <c r="G2" s="110">
        <f>_Pat_OpnDatum</f>
        <v>42370</v>
      </c>
      <c r="H2" s="107" t="str">
        <f ca="1">"ICU-dag: "&amp;Var_AfspraakDatum-_Pat_OpnDatum+1</f>
        <v>ICU-dag: 370</v>
      </c>
      <c r="I2" s="112" t="str">
        <f>"Gewicht: "&amp;_Pat_Gewicht/10&amp;" kg"</f>
        <v>Gewicht: 10 kg</v>
      </c>
      <c r="J2" s="107"/>
    </row>
    <row r="3" spans="1:22" s="106" customFormat="1" ht="13.2" x14ac:dyDescent="0.4">
      <c r="A3" s="122"/>
      <c r="B3" s="107" t="s">
        <v>28</v>
      </c>
      <c r="D3" s="111" t="str">
        <f>__2_AchterNaam&amp;", "&amp;__3_VoorNaam</f>
        <v xml:space="preserve">, </v>
      </c>
      <c r="E3" s="111"/>
      <c r="F3" s="107" t="s">
        <v>334</v>
      </c>
      <c r="G3" s="110">
        <f>__4_GebDatum</f>
        <v>0</v>
      </c>
      <c r="H3" s="112"/>
      <c r="I3" s="112" t="str">
        <f>"Lengte: "&amp;_Pat_Lengte&amp;" cm"</f>
        <v>Lengte: 80 cm</v>
      </c>
      <c r="J3" s="107"/>
      <c r="L3" s="380"/>
      <c r="M3" s="379"/>
    </row>
    <row r="4" spans="1:22" s="106" customFormat="1" ht="13.2" x14ac:dyDescent="0.4">
      <c r="A4" s="122"/>
      <c r="B4" s="107" t="s">
        <v>369</v>
      </c>
      <c r="D4" s="112">
        <f>__0_PatNum</f>
        <v>0</v>
      </c>
      <c r="E4" s="109"/>
      <c r="F4" s="107" t="s">
        <v>296</v>
      </c>
      <c r="G4" s="114" t="str">
        <f ca="1">PatDetails!F2</f>
        <v/>
      </c>
      <c r="H4" s="107"/>
      <c r="I4" s="107" t="str">
        <f>"Lichamelijk oppervlak: "&amp;ROUND(POWER(_Pat_Gewicht/10,0.425)*POWER(((_Pat_Lengte/100)*100),0.725)*0.007184,2)&amp;" m2"</f>
        <v>Lichamelijk oppervlak: 0,46 m2</v>
      </c>
      <c r="J4" s="107"/>
    </row>
    <row r="5" spans="1:22" s="106" customFormat="1" ht="13.2" x14ac:dyDescent="0.4">
      <c r="A5" s="122"/>
      <c r="B5" s="218" t="s">
        <v>549</v>
      </c>
      <c r="D5" s="218">
        <f>__1_Bed</f>
        <v>0</v>
      </c>
      <c r="E5" s="109"/>
      <c r="F5" s="107"/>
      <c r="G5" s="114"/>
      <c r="H5" s="107"/>
    </row>
    <row r="6" spans="1:22" ht="13.2" x14ac:dyDescent="0.4">
      <c r="A6" s="456"/>
      <c r="C6" s="67"/>
      <c r="D6" s="118"/>
      <c r="E6" s="59"/>
      <c r="F6" s="67"/>
      <c r="G6" s="119"/>
      <c r="H6" s="67"/>
      <c r="I6" s="67"/>
      <c r="J6" s="67"/>
      <c r="K6" s="67"/>
    </row>
    <row r="7" spans="1:22" ht="17.25" customHeight="1" x14ac:dyDescent="0.4">
      <c r="C7" s="153" t="s">
        <v>170</v>
      </c>
      <c r="I7" s="21"/>
      <c r="J7" s="21"/>
      <c r="K7" s="21"/>
      <c r="L7" s="166" t="s">
        <v>180</v>
      </c>
      <c r="N7" s="148"/>
    </row>
    <row r="8" spans="1:22" ht="19.55" customHeight="1" x14ac:dyDescent="0.4">
      <c r="B8" s="21"/>
      <c r="C8" s="166" t="s">
        <v>305</v>
      </c>
      <c r="D8" s="21"/>
      <c r="E8" s="21"/>
      <c r="F8" s="21"/>
      <c r="G8" s="21"/>
      <c r="H8" s="21"/>
      <c r="I8" s="21"/>
      <c r="J8" s="21"/>
      <c r="K8" s="21"/>
      <c r="L8" s="20" t="s">
        <v>117</v>
      </c>
      <c r="O8" s="21"/>
    </row>
    <row r="9" spans="1:22" ht="19.55" customHeight="1" x14ac:dyDescent="0.35">
      <c r="B9" s="149"/>
      <c r="C9" s="155" t="str">
        <f>IF(PedBerEnt!M2&lt;&gt;0,PedBerEnt!J2&amp;" dd","")</f>
        <v/>
      </c>
      <c r="D9" s="156" t="str">
        <f>IF(PedBerEnt!M2&lt;&gt;0,PedBerEnt!L2&amp;" ml","")</f>
        <v/>
      </c>
      <c r="E9" s="149"/>
      <c r="F9" s="149"/>
      <c r="G9" s="149" t="str">
        <f>IF(C9="24 dd","continue drip","")</f>
        <v/>
      </c>
      <c r="H9" s="149" t="str">
        <f>IF(PedBerEnt!N2&gt;1,PedBerEnt!M2&amp;" ml per dag","")</f>
        <v/>
      </c>
      <c r="I9" s="149"/>
      <c r="J9" s="21"/>
      <c r="L9" s="106"/>
      <c r="M9" s="145" t="s">
        <v>181</v>
      </c>
      <c r="N9" s="177">
        <f>PedBerEnt!H2</f>
        <v>0</v>
      </c>
      <c r="O9" s="21"/>
      <c r="P9" s="23"/>
      <c r="Q9" s="23"/>
      <c r="R9" s="23"/>
      <c r="S9" s="23"/>
      <c r="T9" s="23"/>
      <c r="U9" s="23"/>
      <c r="V9" s="23"/>
    </row>
    <row r="10" spans="1:22" ht="19.55" customHeight="1" x14ac:dyDescent="0.4">
      <c r="B10" s="149"/>
      <c r="C10" s="166" t="s">
        <v>1044</v>
      </c>
      <c r="D10" s="156"/>
      <c r="E10" s="149"/>
      <c r="F10" s="149"/>
      <c r="G10" s="149"/>
      <c r="H10" s="149"/>
      <c r="I10" s="149"/>
      <c r="J10" s="21"/>
      <c r="L10" s="106"/>
      <c r="M10" s="145" t="s">
        <v>239</v>
      </c>
      <c r="N10" s="177">
        <f>PedBerEnt!H3</f>
        <v>0</v>
      </c>
      <c r="O10" s="23" t="s">
        <v>31</v>
      </c>
      <c r="P10" s="23"/>
      <c r="Q10" s="23"/>
      <c r="R10" s="23"/>
      <c r="S10" s="23"/>
      <c r="T10" s="23"/>
      <c r="U10" s="23"/>
      <c r="V10" s="23"/>
    </row>
    <row r="11" spans="1:22" ht="19.55" customHeight="1" x14ac:dyDescent="0.35">
      <c r="B11" s="149"/>
      <c r="C11" s="155" t="str">
        <f>IF(PedBerEnt!N3&gt;1,PedBerEnt!J3&amp;" dd","")</f>
        <v/>
      </c>
      <c r="D11" s="156" t="str">
        <f>IF(PedBerEnt!N3&gt;1,PedBerEnt!L3&amp;" gram","")</f>
        <v/>
      </c>
      <c r="E11" s="149"/>
      <c r="F11" s="149"/>
      <c r="G11" s="149"/>
      <c r="H11" s="149" t="str">
        <f>IF(PedBerEnt!N3&gt;1,PedBerEnt!M3&amp;" gram/dag","")</f>
        <v/>
      </c>
      <c r="I11" s="150" t="str">
        <f>IF(AND(PedBerEnt!M3&lt;&gt;0,PedBerEnt!M2&lt;&gt;0),"= "&amp;ROUND(PedBerEnt!M3*100/PedBerEnt!M2,1)&amp;"% extra","")</f>
        <v/>
      </c>
      <c r="J11" s="21"/>
      <c r="L11" s="106"/>
      <c r="M11" s="145" t="s">
        <v>182</v>
      </c>
      <c r="N11" s="177">
        <f>PedBerEnt!H4</f>
        <v>0</v>
      </c>
      <c r="O11" s="23" t="s">
        <v>31</v>
      </c>
      <c r="P11" s="23"/>
      <c r="Q11" s="23"/>
      <c r="R11" s="23"/>
      <c r="S11" s="23"/>
      <c r="T11" s="23"/>
      <c r="U11" s="23"/>
      <c r="V11" s="23"/>
    </row>
    <row r="12" spans="1:22" ht="19.55" customHeight="1" x14ac:dyDescent="0.35">
      <c r="B12" s="149"/>
      <c r="C12" s="155" t="str">
        <f>IF(PedBerEnt!N4&gt;1,PedBerEnt!J4&amp;" dd","")</f>
        <v/>
      </c>
      <c r="D12" s="156" t="str">
        <f>IF(PedBerEnt!N4&gt;1,PedBerEnt!L4&amp;" gram","")</f>
        <v/>
      </c>
      <c r="E12" s="149"/>
      <c r="F12" s="149"/>
      <c r="G12" s="149"/>
      <c r="H12" s="149" t="str">
        <f>IF(PedBerEnt!N4&gt;1,PedBerEnt!M4&amp;" gram per dag","")</f>
        <v/>
      </c>
      <c r="I12" s="150" t="str">
        <f>IF(AND(PedBerEnt!M4&lt;&gt;0,PedBerEnt!M3&lt;&gt;0),"= "&amp;ROUND(PedBerEnt!M4*100/PedBerEnt!M2,1)&amp;"% extra","")</f>
        <v/>
      </c>
      <c r="J12" s="21"/>
      <c r="L12" s="106"/>
      <c r="M12" s="170" t="s">
        <v>240</v>
      </c>
      <c r="N12" s="177">
        <f>PedBerEnt!H5</f>
        <v>0</v>
      </c>
      <c r="O12" s="23" t="s">
        <v>31</v>
      </c>
      <c r="P12" s="23"/>
      <c r="Q12" s="23"/>
      <c r="R12" s="23"/>
      <c r="S12" s="23"/>
      <c r="T12" s="23"/>
      <c r="U12" s="23"/>
      <c r="V12" s="23"/>
    </row>
    <row r="13" spans="1:22" ht="19.55" customHeight="1" x14ac:dyDescent="0.35">
      <c r="B13" s="149"/>
      <c r="C13" s="155" t="str">
        <f>IF(PedBerEnt!N5&gt;1,PedBerEnt!J5&amp;" dd","")</f>
        <v/>
      </c>
      <c r="D13" s="156" t="str">
        <f>IF(PedBerEnt!N5&gt;1,PedBerEnt!L5&amp;" gram","")</f>
        <v/>
      </c>
      <c r="E13" s="149"/>
      <c r="F13" s="149"/>
      <c r="G13" s="149"/>
      <c r="H13" s="149" t="str">
        <f>IF(PedBerEnt!N5&gt;1,PedBerEnt!M5&amp;" gram per dag","")</f>
        <v/>
      </c>
      <c r="I13" s="150" t="str">
        <f>IF(AND(PedBerEnt!M5&lt;&gt;0,PedBerEnt!M4&lt;&gt;0),"= "&amp;ROUND(PedBerEnt!M5*100/PedBerEnt!M2,1)&amp;"% extra","")</f>
        <v/>
      </c>
      <c r="J13" s="21"/>
      <c r="L13" s="106"/>
      <c r="M13" s="170" t="s">
        <v>183</v>
      </c>
      <c r="N13" s="177">
        <f>PedBerEnt!H6</f>
        <v>0</v>
      </c>
      <c r="O13" s="23" t="s">
        <v>176</v>
      </c>
      <c r="P13" s="23"/>
      <c r="Q13" s="23"/>
      <c r="R13" s="23"/>
      <c r="S13" s="23"/>
      <c r="T13" s="23"/>
      <c r="U13" s="23"/>
      <c r="V13" s="23"/>
    </row>
    <row r="14" spans="1:22" ht="19.55" customHeight="1" x14ac:dyDescent="0.35">
      <c r="B14" s="21"/>
      <c r="C14" s="117"/>
      <c r="D14" s="67"/>
      <c r="E14" s="21"/>
      <c r="F14" s="21"/>
      <c r="G14" s="21"/>
      <c r="H14" s="21"/>
      <c r="I14" s="21"/>
      <c r="J14" s="21"/>
      <c r="L14" s="171"/>
      <c r="M14" s="170" t="s">
        <v>300</v>
      </c>
      <c r="N14" s="177">
        <f>PedBerEnt!H7</f>
        <v>0</v>
      </c>
      <c r="O14" s="23" t="s">
        <v>176</v>
      </c>
      <c r="P14" s="23"/>
      <c r="Q14" s="23"/>
      <c r="R14" s="23"/>
      <c r="S14" s="23"/>
      <c r="T14" s="23"/>
      <c r="U14" s="23"/>
      <c r="V14" s="23"/>
    </row>
    <row r="15" spans="1:22" ht="19.55" customHeight="1" x14ac:dyDescent="0.35">
      <c r="B15" s="175"/>
      <c r="C15" s="146" t="s">
        <v>313</v>
      </c>
      <c r="D15" s="176">
        <f>GlobBerOpm!C6</f>
        <v>0</v>
      </c>
      <c r="E15" s="177"/>
      <c r="F15" s="177"/>
      <c r="G15" s="177"/>
      <c r="H15" s="177"/>
      <c r="I15" s="177"/>
      <c r="J15" s="177"/>
      <c r="K15" s="177"/>
      <c r="L15" s="171"/>
      <c r="M15" s="170" t="s">
        <v>241</v>
      </c>
      <c r="N15" s="177">
        <f>PedBerEnt!H8</f>
        <v>0</v>
      </c>
      <c r="O15" s="23" t="s">
        <v>176</v>
      </c>
      <c r="P15" s="23"/>
      <c r="Q15" s="23"/>
      <c r="R15" s="23"/>
      <c r="S15" s="23"/>
      <c r="T15" s="23"/>
      <c r="U15" s="23"/>
      <c r="V15" s="23"/>
    </row>
    <row r="16" spans="1:22" ht="21.8" customHeight="1" x14ac:dyDescent="0.4">
      <c r="B16" s="21"/>
      <c r="C16" s="166" t="s">
        <v>306</v>
      </c>
      <c r="H16" s="154"/>
      <c r="J16" s="23"/>
      <c r="K16" s="23"/>
      <c r="L16" s="171"/>
      <c r="M16" s="172" t="s">
        <v>184</v>
      </c>
      <c r="N16" s="177">
        <f>PedBerEnt!H9</f>
        <v>0</v>
      </c>
      <c r="O16" s="23" t="s">
        <v>176</v>
      </c>
      <c r="P16" s="23"/>
      <c r="Q16" s="23"/>
      <c r="R16" s="23"/>
      <c r="S16" s="23"/>
      <c r="T16" s="23"/>
      <c r="U16" s="23"/>
      <c r="V16" s="23"/>
    </row>
    <row r="17" spans="2:22" ht="23.3" customHeight="1" x14ac:dyDescent="0.4">
      <c r="B17" s="122"/>
      <c r="C17" s="179" t="s">
        <v>364</v>
      </c>
      <c r="D17" s="148" t="str">
        <f>IF(PedBerTPN!F3&lt;&gt;0,IF(PedBerTPN!F3/24&gt;=10,ROUND(PedBerTPN!F3/24,1),ROUND(PedBerTPN!F3/24,1))&amp;" ml/uur","")</f>
        <v/>
      </c>
      <c r="E17" s="67" t="str">
        <f>IF(D17&lt;&gt;"",PedBerTPN!F3&amp;" ml per dag","")</f>
        <v/>
      </c>
      <c r="F17" s="21"/>
      <c r="G17" s="149"/>
      <c r="H17" s="179" t="s">
        <v>365</v>
      </c>
      <c r="I17" s="148" t="str">
        <f>IF(PedBerTPN!D19&lt;&gt;0,PedBerTPN!E19&amp;" ml/uur","")</f>
        <v/>
      </c>
      <c r="J17" s="67" t="str">
        <f>IF(I17&lt;&gt;"",PedBerTPN!F19&amp;" ml per dag","")</f>
        <v/>
      </c>
      <c r="K17" s="21"/>
      <c r="L17" s="122"/>
      <c r="M17" s="170" t="s">
        <v>338</v>
      </c>
      <c r="N17" s="177">
        <f>PedBerEnt!H10</f>
        <v>0</v>
      </c>
      <c r="O17" s="23" t="s">
        <v>176</v>
      </c>
      <c r="P17" s="23"/>
      <c r="T17" s="23"/>
      <c r="U17" s="23"/>
      <c r="V17" s="23"/>
    </row>
    <row r="18" spans="2:22" ht="23.3" customHeight="1" x14ac:dyDescent="0.4">
      <c r="B18" s="122"/>
      <c r="C18" s="179"/>
      <c r="D18" s="21"/>
      <c r="E18" s="148" t="str">
        <f>IF(AND(PedBerTPN!E4&lt;&gt;0,PedBerTPN!E4&lt;&gt;"",PedBerTPN!B4&lt;&gt;1,PedBerTPN!F4&lt;&gt;0),PedBerTPN!F4&amp;" ml","")</f>
        <v/>
      </c>
      <c r="F18" s="147" t="str">
        <f>IF(AND(_Pat_Gewicht/10&gt;=16,_Ped_TPN_Keuze=2),"Peditrace","")</f>
        <v/>
      </c>
      <c r="G18" s="159" t="str">
        <f>IF(AND(_Pat_Gewicht/10&gt;=16,PedBerTPN!F5&gt;0),PedBerTPN!F5&amp;" ml","")</f>
        <v/>
      </c>
      <c r="H18" s="122"/>
      <c r="I18" s="21"/>
      <c r="J18" s="161"/>
      <c r="K18" s="162"/>
      <c r="N18" s="177"/>
      <c r="P18" s="23"/>
      <c r="T18" s="23"/>
      <c r="U18" s="23"/>
      <c r="V18" s="23"/>
    </row>
    <row r="19" spans="2:22" ht="23.3" customHeight="1" x14ac:dyDescent="0.4">
      <c r="B19" s="122"/>
      <c r="C19" s="122"/>
      <c r="D19" s="21"/>
      <c r="E19" s="148" t="str">
        <f>IF(PedBerTPN!F6&lt;&gt;0,ROUND(PedBerTPN!F6,1)&amp;" ml","")</f>
        <v/>
      </c>
      <c r="F19" s="881" t="str">
        <f>IF(AND(_Pat_Gewicht/10&gt;50,_Ped_TPN_Keuze=2),"in 100 ml glucose 10%, "&amp;ROUND((PedBerTPN!F5+PedBerTPN!F17)/24,1)&amp;" ml/uur","")</f>
        <v/>
      </c>
      <c r="G19" s="881"/>
      <c r="H19" s="122"/>
      <c r="I19" s="21"/>
      <c r="J19" s="148" t="str">
        <f>IF(PedBerTPN!F20&lt;&gt;0,ROUND(PedBerTPN!F20,1)&amp;" ml","")</f>
        <v/>
      </c>
      <c r="K19" s="160"/>
      <c r="P19" s="23"/>
      <c r="T19" s="23"/>
      <c r="U19" s="23"/>
      <c r="V19" s="23"/>
    </row>
    <row r="20" spans="2:22" ht="19.55" customHeight="1" x14ac:dyDescent="0.4">
      <c r="B20" s="122"/>
      <c r="C20" s="122" t="s">
        <v>357</v>
      </c>
      <c r="D20" s="21"/>
      <c r="E20" s="148" t="str">
        <f>IF(PedBerTPN!C7,PedBerTPN!F7&amp;" ml","")</f>
        <v/>
      </c>
      <c r="F20" s="21"/>
      <c r="G20" s="21"/>
      <c r="H20" s="169" t="s">
        <v>357</v>
      </c>
      <c r="I20" s="21"/>
      <c r="J20" s="148" t="str">
        <f>IF(PedBerTPN!C21,PedBerTPN!F21&amp;" ml","")</f>
        <v/>
      </c>
      <c r="K20" s="160"/>
      <c r="L20" s="21"/>
      <c r="P20" s="23"/>
      <c r="T20" s="23"/>
      <c r="U20" s="23"/>
      <c r="V20" s="23"/>
    </row>
    <row r="21" spans="2:22" ht="19.55" customHeight="1" x14ac:dyDescent="0.4">
      <c r="B21" s="122"/>
      <c r="C21" s="122" t="s">
        <v>243</v>
      </c>
      <c r="D21" s="21"/>
      <c r="E21" s="148" t="str">
        <f>IF(PedBerTPN!C8,PedBerTPN!F8&amp;" ml","")</f>
        <v/>
      </c>
      <c r="F21" s="21"/>
      <c r="G21" s="21"/>
      <c r="H21" s="169" t="s">
        <v>243</v>
      </c>
      <c r="I21" s="21"/>
      <c r="J21" s="148" t="str">
        <f>IF(PedBerTPN!C22,PedBerTPN!F22&amp;" ml","")</f>
        <v/>
      </c>
      <c r="K21" s="160"/>
      <c r="L21" s="21"/>
      <c r="P21" s="23"/>
      <c r="T21" s="23"/>
      <c r="U21" s="23"/>
      <c r="V21" s="23"/>
    </row>
    <row r="22" spans="2:22" ht="10" customHeight="1" x14ac:dyDescent="0.4">
      <c r="B22" s="21"/>
      <c r="C22" s="21"/>
      <c r="D22" s="21"/>
      <c r="E22" s="148"/>
      <c r="F22" s="21"/>
      <c r="G22" s="21"/>
      <c r="H22" s="117"/>
      <c r="I22" s="21"/>
      <c r="J22" s="148"/>
      <c r="K22" s="160"/>
      <c r="L22" s="21"/>
      <c r="P22" s="23"/>
      <c r="T22" s="23"/>
      <c r="U22" s="23"/>
      <c r="V22" s="23"/>
    </row>
    <row r="23" spans="2:22" ht="19.55" customHeight="1" x14ac:dyDescent="0.4">
      <c r="B23" s="122"/>
      <c r="C23" s="122" t="s">
        <v>358</v>
      </c>
      <c r="D23" s="21"/>
      <c r="E23" s="148" t="str">
        <f>IF(PedBerTPN!C9,PedBerTPN!D9&amp;" ml","")</f>
        <v/>
      </c>
      <c r="F23" s="21"/>
      <c r="G23" s="148" t="str">
        <f>IF(AND(_Pat_Gewicht/10&lt;=50,_Ped_TPN_SST1Keuze&lt;11,_Ped_TPN_Keuze=2),"in "&amp;PedBerTPN!F17&amp;" ml glucose 10% ="&amp;ROUND((PedBerTPN!F17+PedBerTPN!F10+PedBerTPN!F9)/24,1)&amp;" ml/uur","")</f>
        <v/>
      </c>
      <c r="H23" s="117"/>
      <c r="I23" s="21"/>
      <c r="J23" s="161"/>
      <c r="K23" s="162"/>
      <c r="L23" s="23"/>
      <c r="M23" s="21"/>
      <c r="N23" s="23"/>
      <c r="O23" s="23"/>
      <c r="P23" s="23"/>
      <c r="T23" s="23"/>
      <c r="U23" s="23"/>
      <c r="V23" s="23"/>
    </row>
    <row r="24" spans="2:22" s="21" customFormat="1" ht="19.55" customHeight="1" x14ac:dyDescent="0.4">
      <c r="B24" s="122"/>
      <c r="C24" s="122" t="s">
        <v>339</v>
      </c>
      <c r="E24" s="148" t="str">
        <f>IF(PedBerTPN!C10,PedBerTPN!D10&amp;" ml","")</f>
        <v/>
      </c>
      <c r="J24" s="161"/>
      <c r="K24" s="162"/>
      <c r="L24" s="161"/>
      <c r="M24" s="161"/>
      <c r="N24" s="161"/>
      <c r="O24" s="161"/>
      <c r="P24" s="161"/>
      <c r="T24" s="161"/>
      <c r="U24" s="161"/>
      <c r="V24" s="161"/>
    </row>
    <row r="25" spans="2:22" s="21" customFormat="1" ht="10" customHeight="1" x14ac:dyDescent="0.4">
      <c r="E25" s="148"/>
      <c r="J25" s="161"/>
      <c r="K25" s="161"/>
      <c r="L25" s="161"/>
      <c r="M25" s="161"/>
      <c r="N25" s="161"/>
      <c r="O25" s="161"/>
      <c r="P25" s="161"/>
      <c r="T25" s="161"/>
      <c r="U25" s="161"/>
      <c r="V25" s="161"/>
    </row>
    <row r="26" spans="2:22" ht="24.05" customHeight="1" x14ac:dyDescent="0.4">
      <c r="B26" s="167"/>
      <c r="C26" s="167" t="s">
        <v>337</v>
      </c>
      <c r="D26" s="149"/>
      <c r="E26" s="157" t="str">
        <f>IF(PedBerTPN!C11,PedBerTPN!F11&amp;" ml","")</f>
        <v/>
      </c>
      <c r="F26" s="149"/>
      <c r="G26" s="149" t="str">
        <f>IF(PedBerTPN!F11&gt;0,ROUND(PedBerTPN!F11*1.5/(_Pat_Gewicht/10),2)&amp;" mmol/kg","")</f>
        <v/>
      </c>
      <c r="H26" s="149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49"/>
      <c r="J26" s="23"/>
      <c r="K26" s="23"/>
      <c r="L26" s="23"/>
      <c r="M26" s="23"/>
      <c r="N26" s="23"/>
      <c r="O26" s="23"/>
      <c r="P26" s="23"/>
      <c r="T26" s="23"/>
      <c r="U26" s="23"/>
      <c r="V26" s="23"/>
    </row>
    <row r="27" spans="2:22" ht="23.3" customHeight="1" x14ac:dyDescent="0.4">
      <c r="B27" s="21"/>
      <c r="C27" s="148" t="s">
        <v>214</v>
      </c>
      <c r="D27" s="148" t="str">
        <f>IF(PedBerTPN!D12&lt;&gt;0,PedBerTPN!E12&amp;" ml/uur","")</f>
        <v/>
      </c>
      <c r="E27" s="148"/>
      <c r="F27" s="21"/>
      <c r="G27" s="21"/>
      <c r="H27" s="21" t="str">
        <f>IF(PedBerTPN!F12&lt;&gt;0,PedBerTPN!F12&amp;" ml per dag","")</f>
        <v/>
      </c>
      <c r="I27" s="21"/>
      <c r="J27" s="23"/>
      <c r="K27" s="23"/>
      <c r="L27" s="23"/>
      <c r="M27" s="23"/>
      <c r="N27" s="23"/>
      <c r="O27" s="23"/>
      <c r="P27" s="23"/>
      <c r="T27" s="23"/>
      <c r="U27" s="23"/>
      <c r="V27" s="23"/>
    </row>
    <row r="28" spans="2:22" ht="19.55" customHeight="1" x14ac:dyDescent="0.4">
      <c r="B28" s="168"/>
      <c r="C28" s="168" t="s">
        <v>215</v>
      </c>
      <c r="D28" s="159"/>
      <c r="E28" s="158" t="str">
        <f>IF(PedBerTPN!F13&lt;&gt;0,ROUND(PedBerTPN!F13,0)&amp;" ml","")</f>
        <v/>
      </c>
      <c r="F28" s="159"/>
      <c r="G28" s="159"/>
      <c r="H28" s="159"/>
      <c r="I28" s="163"/>
      <c r="J28" s="23"/>
      <c r="K28" s="23"/>
      <c r="L28" s="23"/>
      <c r="M28" s="23"/>
      <c r="N28" s="23"/>
      <c r="O28" s="23"/>
      <c r="P28" s="23"/>
      <c r="T28" s="23"/>
      <c r="U28" s="23"/>
      <c r="V28" s="23"/>
    </row>
    <row r="29" spans="2:22" ht="18.75" customHeight="1" x14ac:dyDescent="0.4">
      <c r="B29" s="122"/>
      <c r="C29" s="122" t="s">
        <v>216</v>
      </c>
      <c r="D29" s="21"/>
      <c r="E29" s="148" t="str">
        <f>IF(PedBerTPN!C14,PedBerTPN!F14&amp;" ml","")</f>
        <v/>
      </c>
      <c r="F29" s="21"/>
      <c r="G29" s="21"/>
      <c r="H29" s="21"/>
      <c r="I29" s="164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ht="19.55" customHeight="1" x14ac:dyDescent="0.4">
      <c r="B30" s="167"/>
      <c r="C30" s="167" t="s">
        <v>217</v>
      </c>
      <c r="D30" s="149"/>
      <c r="E30" s="157" t="str">
        <f>IF(PedBerTPN!C15,PedBerTPN!F15&amp;" ml","")</f>
        <v/>
      </c>
      <c r="F30" s="149"/>
      <c r="G30" s="149"/>
      <c r="H30" s="149"/>
      <c r="I30" s="16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ht="10" customHeight="1" x14ac:dyDescent="0.4">
      <c r="B31" s="21"/>
      <c r="C31" s="21"/>
      <c r="D31" s="21"/>
      <c r="E31" s="148"/>
      <c r="F31" s="21"/>
      <c r="G31" s="21"/>
      <c r="H31" s="21"/>
      <c r="I31" s="21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ht="19.55" customHeight="1" x14ac:dyDescent="0.35">
      <c r="B32" s="175"/>
      <c r="C32" s="146" t="s">
        <v>313</v>
      </c>
      <c r="D32" s="176">
        <f>GlobBerOpm!C4</f>
        <v>0</v>
      </c>
      <c r="E32" s="177"/>
      <c r="F32" s="177"/>
      <c r="G32" s="177"/>
      <c r="H32" s="177"/>
      <c r="I32" s="177"/>
      <c r="J32" s="178"/>
      <c r="K32" s="178"/>
      <c r="L32" s="178"/>
      <c r="M32" s="178"/>
      <c r="N32" s="178"/>
      <c r="O32" s="178"/>
      <c r="P32" s="178"/>
      <c r="Q32" s="23"/>
      <c r="R32" s="23"/>
      <c r="S32" s="23"/>
      <c r="T32" s="23"/>
      <c r="U32" s="23"/>
      <c r="V32" s="23"/>
    </row>
    <row r="33" spans="2:22" ht="10.5" customHeight="1" x14ac:dyDescent="0.4">
      <c r="B33" s="21"/>
      <c r="C33" s="148"/>
      <c r="D33" s="21"/>
      <c r="E33" s="148"/>
      <c r="F33" s="21"/>
      <c r="G33" s="21"/>
      <c r="H33" s="21"/>
      <c r="I33" s="21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ht="13.2" x14ac:dyDescent="0.4">
      <c r="B34" s="173" t="s">
        <v>297</v>
      </c>
      <c r="C34" s="173"/>
      <c r="D34" s="174" t="str">
        <f>ROUND(PedBerTot!C2,0)&amp;" ml/kg"</f>
        <v>0 ml/kg</v>
      </c>
      <c r="E34" s="173" t="str">
        <f ca="1">ROUND(GlobBerNorm!$A$18,0)&amp;" ml/kg"</f>
        <v>100 ml/kg</v>
      </c>
      <c r="F34" s="173" t="str">
        <f>"= "&amp;ROUND(PedBerTot!C2*_Pat_Gewicht/10,0)&amp;" ml/dag"</f>
        <v>= 0 ml/dag</v>
      </c>
      <c r="G34" s="173"/>
      <c r="H34" s="173" t="s">
        <v>239</v>
      </c>
      <c r="I34" s="174" t="str">
        <f>ROUND(PedBerTot!$C$9,1)&amp;"  gram/kg"</f>
        <v>0  gram/kg</v>
      </c>
      <c r="J34" s="173" t="str">
        <f>IF(_Pat_Gewicht/10&lt;30,"2-2,5 g/kg","1,5 g/kg")</f>
        <v>2-2,5 g/kg</v>
      </c>
      <c r="K34" s="173"/>
      <c r="L34" s="180"/>
      <c r="M34" s="181"/>
      <c r="N34" s="181"/>
      <c r="O34" s="181"/>
      <c r="P34" s="181"/>
    </row>
    <row r="35" spans="2:22" ht="13.2" x14ac:dyDescent="0.4">
      <c r="B35" s="173" t="s">
        <v>298</v>
      </c>
      <c r="C35" s="173"/>
      <c r="D35" s="174" t="str">
        <f>ROUND(PedBerTot!E44,0)&amp;" kCal/kg"</f>
        <v>0 kCal/kg</v>
      </c>
      <c r="E35" s="173" t="str">
        <f ca="1">GlobBerNorm!$A$21&amp;" kCal/kg"</f>
        <v>-315 kCal/kg</v>
      </c>
      <c r="F35" s="173"/>
      <c r="G35" s="173"/>
      <c r="H35" s="173" t="s">
        <v>240</v>
      </c>
      <c r="I35" s="174" t="str">
        <f>ROUND(PedBerTot!$C$13,1)&amp;" gram/kg"</f>
        <v>0 gram/kg</v>
      </c>
      <c r="J35" s="173" t="str">
        <f>IF(_Pat_Gewicht/10&lt;30,"4 g/kg","2 g/kg")</f>
        <v>4 g/kg</v>
      </c>
      <c r="K35" s="173"/>
      <c r="L35" s="180"/>
      <c r="M35" s="181"/>
      <c r="N35" s="181"/>
      <c r="O35" s="181"/>
      <c r="P35" s="181"/>
    </row>
    <row r="36" spans="2:22" ht="13.2" x14ac:dyDescent="0.4">
      <c r="B36" s="173" t="s">
        <v>258</v>
      </c>
      <c r="C36" s="173"/>
      <c r="D36" s="174" t="str">
        <f>ROUND(PedBerTot!C5,1)&amp;" g/kg"</f>
        <v>0 g/kg</v>
      </c>
      <c r="E36" s="173" t="s">
        <v>377</v>
      </c>
      <c r="F36" s="173" t="str">
        <f>"= "&amp;ROUND(PedBerTot!C5/1.4,1)&amp;" mg/kg/min"</f>
        <v>= 0 mg/kg/min</v>
      </c>
      <c r="G36" s="173"/>
      <c r="H36" s="173" t="s">
        <v>241</v>
      </c>
      <c r="I36" s="174" t="str">
        <f>ROUND(PedBerTot!$C$27,1)&amp;" mmol/kg"</f>
        <v>0 mmol/kg</v>
      </c>
      <c r="J36" s="173" t="s">
        <v>453</v>
      </c>
      <c r="K36" s="173"/>
      <c r="L36" s="180"/>
      <c r="M36" s="181"/>
      <c r="N36" s="181"/>
      <c r="O36" s="181"/>
      <c r="P36" s="181"/>
    </row>
    <row r="37" spans="2:22" ht="13.2" x14ac:dyDescent="0.4">
      <c r="B37" s="173" t="s">
        <v>299</v>
      </c>
      <c r="C37" s="173"/>
      <c r="D37" s="174" t="str">
        <f>ROUND(PedBerTot!C17,1)&amp;" mmol/kg"</f>
        <v>0 mmol/kg</v>
      </c>
      <c r="E37" s="173" t="s">
        <v>371</v>
      </c>
      <c r="F37" s="173"/>
      <c r="G37" s="173"/>
      <c r="H37" s="173" t="s">
        <v>338</v>
      </c>
      <c r="I37" s="174" t="str">
        <f>ROUND(PedBerTot!$C$33,1)&amp;" mmol/kg"</f>
        <v>0 mmol/kg</v>
      </c>
      <c r="J37" s="173" t="s">
        <v>376</v>
      </c>
      <c r="K37" s="173"/>
      <c r="L37" s="180"/>
      <c r="M37" s="181"/>
      <c r="N37" s="181"/>
      <c r="O37" s="181"/>
      <c r="P37" s="181"/>
    </row>
    <row r="38" spans="2:22" ht="13.2" x14ac:dyDescent="0.4">
      <c r="B38" s="173" t="s">
        <v>300</v>
      </c>
      <c r="C38" s="173"/>
      <c r="D38" s="174" t="str">
        <f>ROUND(PedBerTot!C23,1)&amp;" mmol/kg"</f>
        <v>0 mmol/kg</v>
      </c>
      <c r="E38" s="173" t="s">
        <v>370</v>
      </c>
      <c r="F38" s="173"/>
      <c r="G38" s="173"/>
      <c r="H38" s="173" t="s">
        <v>242</v>
      </c>
      <c r="I38" s="174" t="str">
        <f>ROUND(PedBerTot!$C$30,1)&amp;" mmol/kg"</f>
        <v>0 mmol/kg</v>
      </c>
      <c r="J38" s="173" t="s">
        <v>375</v>
      </c>
      <c r="K38" s="173"/>
      <c r="L38" s="180"/>
      <c r="M38" s="181"/>
      <c r="N38" s="181"/>
      <c r="O38" s="181"/>
      <c r="P38" s="181"/>
    </row>
  </sheetData>
  <sheetProtection algorithmName="SHA-512" hashValue="KA/8lZirUdkbVZEIiLuXOqVvCzKHPEzGcEnj61xA7wfw8zCnqPNfCzUhDTM/QOW5A0lPvTgpOLbsJLXHSJRbbA==" saltValue="0b3ZbTUETu8/qmXlDdv+VA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C6" sqref="C6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435"/>
      <c r="C1" s="197" t="s">
        <v>305</v>
      </c>
      <c r="D1" s="197" t="s">
        <v>536</v>
      </c>
      <c r="E1" s="197" t="s">
        <v>537</v>
      </c>
      <c r="F1" s="197" t="s">
        <v>538</v>
      </c>
      <c r="G1" s="197" t="s">
        <v>539</v>
      </c>
      <c r="H1" s="197" t="s">
        <v>540</v>
      </c>
      <c r="I1" s="197"/>
      <c r="J1" t="s">
        <v>125</v>
      </c>
      <c r="K1" t="s">
        <v>94</v>
      </c>
      <c r="M1" t="s">
        <v>304</v>
      </c>
      <c r="N1" t="s">
        <v>260</v>
      </c>
      <c r="O1" s="197" t="s">
        <v>545</v>
      </c>
    </row>
    <row r="2" spans="1:15" x14ac:dyDescent="0.35">
      <c r="A2" s="23">
        <v>1</v>
      </c>
      <c r="B2" s="23" t="s">
        <v>253</v>
      </c>
      <c r="C2" s="23">
        <f>IF(PedBerEnt!$M$2&lt;&gt;0,INDEX(tblPerOs,_Ped_Ent_Keuze_1,A2+1)*PedBerEnt!$M$2,0)</f>
        <v>0</v>
      </c>
      <c r="D2" s="23">
        <f>IF(PedBerEnt!$M$3&lt;&gt;0,INDEX(tblPoeder,PedBerEnt!$N$3,$A2+1)*PedBerEnt!$M$3,0)</f>
        <v>0</v>
      </c>
      <c r="E2" s="23">
        <f>IF(PedBerEnt!$M$4&lt;&gt;0,INDEX(tblPoeder,PedBerEnt!$N$4,$A2+1)*PedBerEnt!$M$4,0)</f>
        <v>0</v>
      </c>
      <c r="F2" s="23">
        <f>IF(PedBerEnt!$M$5&lt;&gt;0,INDEX(tblPoeder,PedBerEnt!$N$5,$A2+1)*PedBerEnt!$M$5,0)</f>
        <v>0</v>
      </c>
      <c r="G2" s="23">
        <f t="shared" ref="G2:G13" si="0">SUM(C2:F2)</f>
        <v>0</v>
      </c>
      <c r="I2" s="215"/>
      <c r="J2" s="23">
        <v>1</v>
      </c>
      <c r="K2" s="23">
        <v>0</v>
      </c>
      <c r="L2">
        <f>IF(K2&lt;51,K2/10,IF(K2&lt;66,(K2-49)+4,IF(K2&lt;82,(K2-61)*5,IF(K2&lt;122,(K2-71)*10,(K2-111)*50))))</f>
        <v>0</v>
      </c>
      <c r="M2" s="23">
        <f>IF(N2&gt;1,J2*L2,0)</f>
        <v>0</v>
      </c>
      <c r="N2">
        <v>1</v>
      </c>
      <c r="O2">
        <v>1</v>
      </c>
    </row>
    <row r="3" spans="1:15" x14ac:dyDescent="0.35">
      <c r="A3" s="23">
        <v>2</v>
      </c>
      <c r="B3" s="23" t="s">
        <v>212</v>
      </c>
      <c r="C3" s="23">
        <f>IF(PedBerEnt!$M$2&lt;&gt;0,INDEX(tblPerOs,_Ped_Ent_Keuze_1,A3+1)*PedBerEnt!$M$2,0)</f>
        <v>0</v>
      </c>
      <c r="D3" s="23">
        <f>IF(PedBerEnt!$M$3&lt;&gt;0,INDEX(tblPoeder,PedBerEnt!$N$3,$A3+1)*PedBerEnt!$M$3,0)</f>
        <v>0</v>
      </c>
      <c r="E3" s="23">
        <f>IF(PedBerEnt!$M$4&lt;&gt;0,INDEX(tblPoeder,PedBerEnt!$N$4,$A3+1)*PedBerEnt!$M$4,0)</f>
        <v>0</v>
      </c>
      <c r="F3" s="23">
        <f>IF(PedBerEnt!$M$5&lt;&gt;0,INDEX(tblPoeder,PedBerEnt!$N$5,$A3+1)*PedBerEnt!$M$5,0)</f>
        <v>0</v>
      </c>
      <c r="G3" s="23">
        <f t="shared" si="0"/>
        <v>0</v>
      </c>
      <c r="I3" s="215"/>
      <c r="L3">
        <f>IF(K3&lt;51,K3/10,IF(K3&lt;66,(K3-49)+4,IF(K3&lt;82,(K3-61)*5,IF(K3&lt;122,(K3-71)*10,(K3-111)*50))))</f>
        <v>0</v>
      </c>
      <c r="M3" s="23">
        <f>IF(N3&gt;1,J3*L3,0)</f>
        <v>0</v>
      </c>
    </row>
    <row r="4" spans="1:15" x14ac:dyDescent="0.35">
      <c r="A4" s="23">
        <v>3</v>
      </c>
      <c r="B4" s="23" t="s">
        <v>254</v>
      </c>
      <c r="C4" s="23">
        <f>IF(PedBerEnt!$M$2&lt;&gt;0,INDEX(tblPerOs,_Ped_Ent_Keuze_1,A4+1)*PedBerEnt!$M$2,0)</f>
        <v>0</v>
      </c>
      <c r="D4" s="23">
        <f>IF(PedBerEnt!$M$3&lt;&gt;0,INDEX(tblPoeder,PedBerEnt!$N$3,$A4+1)*PedBerEnt!$M$3,0)</f>
        <v>0</v>
      </c>
      <c r="E4" s="23">
        <f>IF(PedBerEnt!$M$4&lt;&gt;0,INDEX(tblPoeder,PedBerEnt!$N$4,$A4+1)*PedBerEnt!$M$4,0)</f>
        <v>0</v>
      </c>
      <c r="F4" s="23">
        <f>IF(PedBerEnt!$M$5&lt;&gt;0,INDEX(tblPoeder,PedBerEnt!$N$5,$A4+1)*PedBerEnt!$M$5,0)</f>
        <v>0</v>
      </c>
      <c r="G4" s="23">
        <f t="shared" si="0"/>
        <v>0</v>
      </c>
      <c r="I4" s="215"/>
      <c r="L4">
        <f>IF(K4&lt;51,K4/10,IF(K4&lt;66,(K4-49)+4,IF(K4&lt;82,(K4-61)*5,IF(K4&lt;122,(K4-71)*10,(K4-111)*50))))</f>
        <v>0</v>
      </c>
      <c r="M4" s="23">
        <f>IF(N4&gt;1,J4*L4,0)</f>
        <v>0</v>
      </c>
    </row>
    <row r="5" spans="1:15" x14ac:dyDescent="0.35">
      <c r="A5" s="23">
        <v>4</v>
      </c>
      <c r="B5" s="23" t="s">
        <v>213</v>
      </c>
      <c r="C5" s="23">
        <f>IF(PedBerEnt!$M$2&lt;&gt;0,INDEX(tblPerOs,_Ped_Ent_Keuze_1,A5+1)*PedBerEnt!$M$2,0)</f>
        <v>0</v>
      </c>
      <c r="D5" s="23">
        <f>IF(PedBerEnt!$M$3&lt;&gt;0,INDEX(tblPoeder,PedBerEnt!$N$3,$A5+1)*PedBerEnt!$M$3,0)</f>
        <v>0</v>
      </c>
      <c r="E5" s="23">
        <f>IF(PedBerEnt!$M$4&lt;&gt;0,INDEX(tblPoeder,PedBerEnt!$N$4,$A5+1)*PedBerEnt!$M$4,0)</f>
        <v>0</v>
      </c>
      <c r="F5" s="23">
        <f>IF(PedBerEnt!$M$5&lt;&gt;0,INDEX(tblPoeder,PedBerEnt!$N$5,$A5+1)*PedBerEnt!$M$5,0)</f>
        <v>0</v>
      </c>
      <c r="G5" s="23">
        <f t="shared" si="0"/>
        <v>0</v>
      </c>
      <c r="I5" s="215"/>
      <c r="L5">
        <f>IF(K5&lt;51,K5/10,IF(K5&lt;66,(K5-49)+4,IF(K5&lt;82,(K5-61)*5,IF(K5&lt;122,(K5-71)*10,(K5-111)*50))))</f>
        <v>0</v>
      </c>
      <c r="M5" s="23">
        <f>IF(N5&gt;1,J5*L5,0)</f>
        <v>0</v>
      </c>
    </row>
    <row r="6" spans="1:15" x14ac:dyDescent="0.35">
      <c r="A6" s="23">
        <v>5</v>
      </c>
      <c r="B6" s="23" t="s">
        <v>246</v>
      </c>
      <c r="C6" s="23">
        <f>IF(PedBerEnt!$M$2&lt;&gt;0,INDEX(tblPerOs,_Ped_Ent_Keuze_1,A6+1)*PedBerEnt!$M$2,0)</f>
        <v>0</v>
      </c>
      <c r="D6" s="23">
        <f>IF(PedBerEnt!$M$3&lt;&gt;0,INDEX(tblPoeder,PedBerEnt!$N$3,$A6+1)*PedBerEnt!$M$3,0)</f>
        <v>0</v>
      </c>
      <c r="E6" s="23">
        <f>IF(PedBerEnt!$M$4&lt;&gt;0,INDEX(tblPoeder,PedBerEnt!$N$4,$A6+1)*PedBerEnt!$M$4,0)</f>
        <v>0</v>
      </c>
      <c r="F6" s="23">
        <f>IF(PedBerEnt!$M$5&lt;&gt;0,INDEX(tblPoeder,PedBerEnt!$N$5,$A6+1)*PedBerEnt!$M$5,0)</f>
        <v>0</v>
      </c>
      <c r="G6" s="23">
        <f t="shared" si="0"/>
        <v>0</v>
      </c>
      <c r="I6" s="215"/>
    </row>
    <row r="7" spans="1:15" x14ac:dyDescent="0.35">
      <c r="A7" s="23">
        <v>6</v>
      </c>
      <c r="B7" s="23" t="s">
        <v>247</v>
      </c>
      <c r="C7" s="23">
        <f>IF(PedBerEnt!$M$2&lt;&gt;0,INDEX(tblPerOs,_Ped_Ent_Keuze_1,A7+1)*PedBerEnt!$M$2,0)</f>
        <v>0</v>
      </c>
      <c r="D7" s="23">
        <f>IF(PedBerEnt!$M$3&lt;&gt;0,INDEX(tblPoeder,PedBerEnt!$N$3,$A7+1)*PedBerEnt!$M$3,0)</f>
        <v>0</v>
      </c>
      <c r="E7" s="23">
        <f>IF(PedBerEnt!$M$4&lt;&gt;0,INDEX(tblPoeder,PedBerEnt!$N$4,$A7+1)*PedBerEnt!$M$4,0)</f>
        <v>0</v>
      </c>
      <c r="F7" s="23">
        <f>IF(PedBerEnt!$M$5&lt;&gt;0,INDEX(tblPoeder,PedBerEnt!$N$5,$A7+1)*PedBerEnt!$M$5,0)</f>
        <v>0</v>
      </c>
      <c r="G7" s="23">
        <f t="shared" si="0"/>
        <v>0</v>
      </c>
      <c r="I7" s="215"/>
    </row>
    <row r="8" spans="1:15" x14ac:dyDescent="0.35">
      <c r="A8" s="23">
        <v>7</v>
      </c>
      <c r="B8" s="23" t="s">
        <v>248</v>
      </c>
      <c r="C8" s="23">
        <f>IF(PedBerEnt!$M$2&lt;&gt;0,INDEX(tblPerOs,_Ped_Ent_Keuze_1,A8+1)*PedBerEnt!$M$2,0)</f>
        <v>0</v>
      </c>
      <c r="D8" s="23">
        <f>IF(PedBerEnt!$M$3&lt;&gt;0,INDEX(tblPoeder,PedBerEnt!$N$3,$A8+1)*PedBerEnt!$M$3,0)</f>
        <v>0</v>
      </c>
      <c r="E8" s="23">
        <f>IF(PedBerEnt!$M$4&lt;&gt;0,INDEX(tblPoeder,PedBerEnt!$N$4,$A8+1)*PedBerEnt!$M$4,0)</f>
        <v>0</v>
      </c>
      <c r="F8" s="23">
        <f>IF(PedBerEnt!$M$5&lt;&gt;0,INDEX(tblPoeder,PedBerEnt!$N$5,$A8+1)*PedBerEnt!$M$5,0)</f>
        <v>0</v>
      </c>
      <c r="G8" s="23">
        <f t="shared" si="0"/>
        <v>0</v>
      </c>
      <c r="I8" s="23"/>
    </row>
    <row r="9" spans="1:15" x14ac:dyDescent="0.35">
      <c r="A9" s="23">
        <v>8</v>
      </c>
      <c r="B9" s="23" t="s">
        <v>255</v>
      </c>
      <c r="C9" s="23">
        <f>IF(PedBerEnt!$M$2&lt;&gt;0,INDEX(tblPerOs,_Ped_Ent_Keuze_1,A9+1)*PedBerEnt!$M$2,0)</f>
        <v>0</v>
      </c>
      <c r="D9" s="23">
        <f>IF(PedBerEnt!$M$3&lt;&gt;0,INDEX(tblPoeder,PedBerEnt!$N$3,$A9+1)*PedBerEnt!$M$3,0)</f>
        <v>0</v>
      </c>
      <c r="E9" s="23">
        <f>IF(PedBerEnt!$M$4&lt;&gt;0,INDEX(tblPoeder,PedBerEnt!$N$4,$A9+1)*PedBerEnt!$M$4,0)</f>
        <v>0</v>
      </c>
      <c r="F9" s="23">
        <f>IF(PedBerEnt!$M$5&lt;&gt;0,INDEX(tblPoeder,PedBerEnt!$N$5,$A9+1)*PedBerEnt!$M$5,0)</f>
        <v>0</v>
      </c>
      <c r="G9" s="23">
        <f t="shared" si="0"/>
        <v>0</v>
      </c>
      <c r="I9" s="23"/>
    </row>
    <row r="10" spans="1:15" x14ac:dyDescent="0.35">
      <c r="A10" s="23">
        <v>9</v>
      </c>
      <c r="B10" s="23" t="s">
        <v>249</v>
      </c>
      <c r="C10" s="23">
        <f>IF(PedBerEnt!$M$2&lt;&gt;0,INDEX(tblPerOs,_Ped_Ent_Keuze_1,A10+1)*PedBerEnt!$M$2,0)</f>
        <v>0</v>
      </c>
      <c r="D10" s="23">
        <f>IF(PedBerEnt!$M$3&lt;&gt;0,INDEX(tblPoeder,PedBerEnt!$N$3,$A10+1)*PedBerEnt!$M$3,0)</f>
        <v>0</v>
      </c>
      <c r="E10" s="23">
        <f>IF(PedBerEnt!$M$4&lt;&gt;0,INDEX(tblPoeder,PedBerEnt!$N$4,$A10+1)*PedBerEnt!$M$4,0)</f>
        <v>0</v>
      </c>
      <c r="F10" s="23">
        <f>IF(PedBerEnt!$M$5&lt;&gt;0,INDEX(tblPoeder,PedBerEnt!$N$5,$A10+1)*PedBerEnt!$M$5,0)</f>
        <v>0</v>
      </c>
      <c r="G10" s="23">
        <f t="shared" si="0"/>
        <v>0</v>
      </c>
      <c r="I10" s="23"/>
    </row>
    <row r="11" spans="1:15" x14ac:dyDescent="0.35">
      <c r="A11" s="215">
        <v>10</v>
      </c>
      <c r="B11" s="215" t="s">
        <v>981</v>
      </c>
      <c r="C11" s="23">
        <f>IF(PedBerEnt!$M$2&lt;&gt;0,INDEX(tblPerOs,_Ped_Ent_Keuze_1,A11+1)*PedBerEnt!$M$2,0)</f>
        <v>0</v>
      </c>
      <c r="D11" s="23">
        <f>IF(PedBerEnt!$M$3&lt;&gt;0,INDEX(tblPoeder,PedBerEnt!$N$3,$A11+1)*PedBerEnt!$M$3,0)</f>
        <v>0</v>
      </c>
      <c r="E11" s="23">
        <f>IF(PedBerEnt!$M$4&lt;&gt;0,INDEX(tblPoeder,PedBerEnt!$N$4,$A11+1)*PedBerEnt!$M$4,0)</f>
        <v>0</v>
      </c>
      <c r="F11" s="23">
        <f>IF(PedBerEnt!$M$5&lt;&gt;0,INDEX(tblPoeder,PedBerEnt!$N$5,$A11+1)*PedBerEnt!$M$5,0)</f>
        <v>0</v>
      </c>
      <c r="G11" s="23">
        <f t="shared" si="0"/>
        <v>0</v>
      </c>
    </row>
    <row r="12" spans="1:15" x14ac:dyDescent="0.35">
      <c r="A12" s="215">
        <v>11</v>
      </c>
      <c r="B12" s="215" t="s">
        <v>982</v>
      </c>
      <c r="C12" s="23">
        <f>IF(PedBerEnt!$M$2&lt;&gt;0,INDEX(tblPerOs,_Ped_Ent_Keuze_1,A12+1)*PedBerEnt!$M$2,0)</f>
        <v>0</v>
      </c>
      <c r="D12" s="23">
        <f>IF(PedBerEnt!$M$3&lt;&gt;0,INDEX(tblPoeder,PedBerEnt!$N$3,$A12+1)*PedBerEnt!$M$3,0)</f>
        <v>0</v>
      </c>
      <c r="E12" s="23">
        <f>IF(PedBerEnt!$M$4&lt;&gt;0,INDEX(tblPoeder,PedBerEnt!$N$4,$A12+1)*PedBerEnt!$M$4,0)</f>
        <v>0</v>
      </c>
      <c r="F12" s="23">
        <f>IF(PedBerEnt!$M$5&lt;&gt;0,INDEX(tblPoeder,PedBerEnt!$N$5,$A12+1)*PedBerEnt!$M$5,0)</f>
        <v>0</v>
      </c>
      <c r="G12" s="23">
        <f t="shared" si="0"/>
        <v>0</v>
      </c>
    </row>
    <row r="13" spans="1:15" x14ac:dyDescent="0.35">
      <c r="A13" s="215">
        <v>12</v>
      </c>
      <c r="B13" s="215" t="s">
        <v>635</v>
      </c>
      <c r="C13" s="23">
        <f>IF(PedBerEnt!$M$2&lt;&gt;0,INDEX(tblPerOs,_Ped_Ent_Keuze_1,A13+1)*PedBerEnt!$M$2,0)</f>
        <v>0</v>
      </c>
      <c r="D13" s="23">
        <f>IF(PedBerEnt!$M$3&lt;&gt;0,INDEX(tblPoeder,PedBerEnt!$N$3,$A13+1)*PedBerEnt!$M$3,0)</f>
        <v>0</v>
      </c>
      <c r="E13" s="23">
        <f>IF(PedBerEnt!$M$4&lt;&gt;0,INDEX(tblPoeder,PedBerEnt!$N$4,$A13+1)*PedBerEnt!$M$4,0)</f>
        <v>0</v>
      </c>
      <c r="F13" s="23">
        <f>IF(PedBerEnt!$M$5&lt;&gt;0,INDEX(tblPoeder,PedBerEnt!$N$5,$A13+1)*PedBerEnt!$M$5,0)</f>
        <v>0</v>
      </c>
      <c r="G13" s="23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435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260</v>
      </c>
      <c r="C2" t="s">
        <v>126</v>
      </c>
      <c r="D2" s="22" t="s">
        <v>315</v>
      </c>
      <c r="E2" s="22" t="s">
        <v>120</v>
      </c>
      <c r="F2" t="s">
        <v>333</v>
      </c>
      <c r="G2" t="s">
        <v>207</v>
      </c>
      <c r="H2" t="s">
        <v>122</v>
      </c>
      <c r="I2" t="s">
        <v>246</v>
      </c>
      <c r="J2" t="s">
        <v>247</v>
      </c>
      <c r="K2" t="s">
        <v>248</v>
      </c>
      <c r="L2" t="s">
        <v>249</v>
      </c>
      <c r="M2" t="s">
        <v>210</v>
      </c>
      <c r="N2" t="s">
        <v>123</v>
      </c>
      <c r="O2" t="s">
        <v>213</v>
      </c>
    </row>
    <row r="3" spans="1:15" x14ac:dyDescent="0.35">
      <c r="A3" t="s">
        <v>362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252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332</v>
      </c>
      <c r="F5">
        <f>IF(AND(_Pat_Gewicht/10&gt;=16,_Ped_TPN_Keuze&gt;1,OR(_Ped_TPN_SST1Keuze&lt;11,_Pat_Gewicht/10&gt;50)),E5,0)</f>
        <v>0</v>
      </c>
    </row>
    <row r="6" spans="1:15" x14ac:dyDescent="0.35">
      <c r="A6" s="435" t="s">
        <v>316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357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243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358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339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337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83" customFormat="1" x14ac:dyDescent="0.35">
      <c r="A16" s="384" t="s">
        <v>1171</v>
      </c>
      <c r="D16" s="383">
        <f>IF(E16&lt;50,E16/10,E16-45)</f>
        <v>4.9000000000000004</v>
      </c>
      <c r="E16" s="383">
        <v>49</v>
      </c>
      <c r="F16" s="383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363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357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243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57"/>
      <c r="B26" s="57" t="s">
        <v>244</v>
      </c>
      <c r="C26" s="57" t="s">
        <v>245</v>
      </c>
      <c r="D26" s="57" t="s">
        <v>246</v>
      </c>
      <c r="E26" s="57" t="s">
        <v>247</v>
      </c>
      <c r="F26" s="57" t="s">
        <v>248</v>
      </c>
      <c r="G26" s="57" t="s">
        <v>249</v>
      </c>
      <c r="H26" s="57" t="s">
        <v>250</v>
      </c>
      <c r="I26" s="57" t="s">
        <v>251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324</v>
      </c>
      <c r="L27">
        <v>0.05</v>
      </c>
      <c r="M27">
        <v>0</v>
      </c>
    </row>
    <row r="28" spans="1:15" x14ac:dyDescent="0.35">
      <c r="A28" s="57" t="s">
        <v>356</v>
      </c>
      <c r="B28" s="57">
        <v>0.08</v>
      </c>
      <c r="C28" s="57">
        <v>0</v>
      </c>
      <c r="D28" s="57">
        <v>8.0000000000000002E-3</v>
      </c>
      <c r="E28" s="57">
        <v>0.02</v>
      </c>
      <c r="F28" s="57">
        <v>2.8000000000000001E-2</v>
      </c>
      <c r="G28" s="57">
        <v>8.0000000000000002E-3</v>
      </c>
      <c r="H28" s="57">
        <v>2.4E-2</v>
      </c>
      <c r="I28" s="57">
        <v>0.32</v>
      </c>
      <c r="J28">
        <v>2</v>
      </c>
      <c r="K28" t="s">
        <v>325</v>
      </c>
      <c r="L28">
        <v>0.1</v>
      </c>
      <c r="M28">
        <v>0</v>
      </c>
    </row>
    <row r="29" spans="1:15" x14ac:dyDescent="0.35">
      <c r="A29" s="57" t="s">
        <v>355</v>
      </c>
      <c r="B29" s="57">
        <v>7.3999999999999996E-2</v>
      </c>
      <c r="C29" s="57">
        <v>0</v>
      </c>
      <c r="D29" s="57">
        <f>(0.5*0.5)/35</f>
        <v>7.1428571428571426E-3</v>
      </c>
      <c r="E29" s="57">
        <f>1.7/100</f>
        <v>1.7000000000000001E-2</v>
      </c>
      <c r="F29" s="57">
        <v>2.5000000000000001E-2</v>
      </c>
      <c r="G29" s="57">
        <f>0.6/100</f>
        <v>6.0000000000000001E-3</v>
      </c>
      <c r="H29" s="57">
        <v>2.1000000000000001E-2</v>
      </c>
      <c r="I29" s="57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57" t="s">
        <v>356</v>
      </c>
      <c r="B30" s="57">
        <v>0.08</v>
      </c>
      <c r="C30" s="57">
        <v>0</v>
      </c>
      <c r="D30" s="57">
        <f>0.4*0.5/25</f>
        <v>8.0000000000000002E-3</v>
      </c>
      <c r="E30" s="57">
        <f>0.5/25</f>
        <v>0.02</v>
      </c>
      <c r="F30" s="57">
        <v>2.8000000000000001E-2</v>
      </c>
      <c r="G30" s="57">
        <v>8.0000000000000002E-3</v>
      </c>
      <c r="H30" s="57">
        <v>2.4E-2</v>
      </c>
      <c r="I30" s="57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57" t="s">
        <v>42</v>
      </c>
      <c r="B31" s="57">
        <v>8.7999999999999995E-2</v>
      </c>
      <c r="C31" s="57">
        <v>0</v>
      </c>
      <c r="D31" s="57">
        <f>0.5*0.4/20</f>
        <v>0.01</v>
      </c>
      <c r="E31" s="57">
        <v>2.5000000000000001E-2</v>
      </c>
      <c r="F31" s="57">
        <v>1.7999999999999999E-2</v>
      </c>
      <c r="G31" s="57">
        <v>0.01</v>
      </c>
      <c r="H31" s="57">
        <v>0.03</v>
      </c>
      <c r="I31" s="57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57" t="s">
        <v>43</v>
      </c>
      <c r="B32" s="57">
        <v>8.3000000000000004E-2</v>
      </c>
      <c r="C32" s="57">
        <v>0</v>
      </c>
      <c r="D32" s="57">
        <f>0.3*0.5/12</f>
        <v>1.2499999999999999E-2</v>
      </c>
      <c r="E32" s="57">
        <v>3.1E-2</v>
      </c>
      <c r="F32" s="57">
        <v>2.5999999999999999E-2</v>
      </c>
      <c r="G32" s="57">
        <v>1.2500000000000001E-2</v>
      </c>
      <c r="H32" s="57">
        <v>3.7999999999999999E-2</v>
      </c>
      <c r="I32" s="57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57" t="s">
        <v>84</v>
      </c>
      <c r="B33" s="57">
        <v>7.0000000000000007E-2</v>
      </c>
      <c r="C33" s="57">
        <v>0.24</v>
      </c>
      <c r="D33" s="57">
        <v>4.0500000000000001E-2</v>
      </c>
      <c r="E33" s="57">
        <v>2.5700000000000001E-2</v>
      </c>
      <c r="F33" s="57">
        <v>4.1000000000000003E-3</v>
      </c>
      <c r="G33" s="57">
        <v>5.0000000000000001E-3</v>
      </c>
      <c r="H33" s="57">
        <v>1.47E-2</v>
      </c>
      <c r="I33" s="57">
        <v>0.96</v>
      </c>
      <c r="J33">
        <v>7</v>
      </c>
      <c r="K33" t="s">
        <v>234</v>
      </c>
      <c r="L33">
        <v>0.25</v>
      </c>
      <c r="M33">
        <v>0</v>
      </c>
    </row>
    <row r="34" spans="1:15" x14ac:dyDescent="0.35">
      <c r="J34">
        <v>8</v>
      </c>
      <c r="K34" t="s">
        <v>233</v>
      </c>
      <c r="L34">
        <v>0.3</v>
      </c>
      <c r="M34">
        <v>0</v>
      </c>
    </row>
    <row r="35" spans="1:15" x14ac:dyDescent="0.35">
      <c r="J35">
        <v>9</v>
      </c>
      <c r="K35" t="s">
        <v>288</v>
      </c>
      <c r="L35">
        <v>0.4</v>
      </c>
      <c r="M35">
        <v>0</v>
      </c>
      <c r="N35">
        <v>0</v>
      </c>
    </row>
    <row r="36" spans="1:15" x14ac:dyDescent="0.35">
      <c r="A36" s="57" t="s">
        <v>355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57" t="s">
        <v>356</v>
      </c>
      <c r="J37">
        <v>11</v>
      </c>
      <c r="K37" t="s">
        <v>481</v>
      </c>
      <c r="L37">
        <v>0.05</v>
      </c>
      <c r="M37">
        <v>7.6999999999999999E-2</v>
      </c>
      <c r="O37">
        <v>0</v>
      </c>
    </row>
    <row r="38" spans="1:15" x14ac:dyDescent="0.35">
      <c r="A38" s="57" t="s">
        <v>42</v>
      </c>
      <c r="J38">
        <v>12</v>
      </c>
      <c r="K38" t="s">
        <v>482</v>
      </c>
      <c r="L38">
        <v>0.05</v>
      </c>
      <c r="M38">
        <v>0.155</v>
      </c>
      <c r="O38">
        <v>0</v>
      </c>
    </row>
    <row r="39" spans="1:15" x14ac:dyDescent="0.35">
      <c r="A39" s="57" t="s">
        <v>43</v>
      </c>
      <c r="J39">
        <v>13</v>
      </c>
      <c r="K39" t="s">
        <v>331</v>
      </c>
      <c r="L39">
        <v>0</v>
      </c>
      <c r="M39">
        <v>0.155</v>
      </c>
      <c r="O39">
        <v>0</v>
      </c>
    </row>
    <row r="40" spans="1:15" x14ac:dyDescent="0.35">
      <c r="A40" s="57" t="s">
        <v>84</v>
      </c>
      <c r="J40">
        <v>14</v>
      </c>
      <c r="K40" s="8" t="s">
        <v>483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435"/>
      <c r="B1" t="s">
        <v>171</v>
      </c>
      <c r="C1" t="s">
        <v>208</v>
      </c>
      <c r="D1" t="s">
        <v>298</v>
      </c>
      <c r="E1" t="s">
        <v>208</v>
      </c>
    </row>
    <row r="2" spans="1:5" ht="13.2" x14ac:dyDescent="0.4">
      <c r="A2" s="9" t="s">
        <v>359</v>
      </c>
      <c r="B2" s="10">
        <f>SUM(B3:B4)</f>
        <v>0</v>
      </c>
      <c r="C2" s="10">
        <f>10*B2/_Pat_Gewicht</f>
        <v>0</v>
      </c>
      <c r="D2" s="10"/>
      <c r="E2" s="11"/>
    </row>
    <row r="3" spans="1:5" x14ac:dyDescent="0.35">
      <c r="A3" s="4" t="s">
        <v>220</v>
      </c>
      <c r="B3">
        <f>PedBerEnt!M2</f>
        <v>0</v>
      </c>
    </row>
    <row r="4" spans="1:5" x14ac:dyDescent="0.35">
      <c r="A4" s="4" t="s">
        <v>218</v>
      </c>
      <c r="B4">
        <f>(PedBerMedIV!K18+PedBerTPN!F24+PedGuiLijnPM!J15+GlobBerMedDisc!P33)</f>
        <v>0</v>
      </c>
    </row>
    <row r="5" spans="1:5" ht="13.2" x14ac:dyDescent="0.4">
      <c r="A5" s="9" t="s">
        <v>207</v>
      </c>
      <c r="B5" s="10">
        <f>SUM(B6:B8)</f>
        <v>0</v>
      </c>
      <c r="C5" s="10">
        <f>B5/(_Pat_Gewicht/10)</f>
        <v>0</v>
      </c>
      <c r="D5" s="10">
        <f>SUM(D7:D7)</f>
        <v>0</v>
      </c>
      <c r="E5" s="11">
        <f>D5/(_Pat_Gewicht/10)</f>
        <v>0</v>
      </c>
    </row>
    <row r="6" spans="1:5" ht="13.2" x14ac:dyDescent="0.4">
      <c r="A6" s="458" t="s">
        <v>220</v>
      </c>
      <c r="B6">
        <f>PedBerEnt!G4</f>
        <v>0</v>
      </c>
      <c r="C6" s="7" t="s">
        <v>225</v>
      </c>
      <c r="D6" s="7" t="s">
        <v>225</v>
      </c>
    </row>
    <row r="7" spans="1:5" x14ac:dyDescent="0.35">
      <c r="A7" s="4" t="s">
        <v>224</v>
      </c>
      <c r="B7">
        <f>GlobBerMedDisc!S33+PedBerMedIV!L18+PedBerMedIV!M18</f>
        <v>0</v>
      </c>
      <c r="D7">
        <f>B7*4</f>
        <v>0</v>
      </c>
    </row>
    <row r="8" spans="1:5" ht="13.2" x14ac:dyDescent="0.4">
      <c r="A8" s="4" t="s">
        <v>252</v>
      </c>
      <c r="B8">
        <f>PedBerTPN!G24</f>
        <v>0</v>
      </c>
      <c r="C8" s="7" t="s">
        <v>225</v>
      </c>
      <c r="D8" s="7" t="s">
        <v>225</v>
      </c>
    </row>
    <row r="9" spans="1:5" ht="13.2" x14ac:dyDescent="0.4">
      <c r="A9" s="9" t="s">
        <v>212</v>
      </c>
      <c r="B9" s="10">
        <f>SUM(B10:B12)</f>
        <v>0</v>
      </c>
      <c r="C9" s="10">
        <f>B9/(_Pat_Gewicht/10)</f>
        <v>0</v>
      </c>
      <c r="D9" s="10">
        <f>SUM(D10:D11)</f>
        <v>0</v>
      </c>
      <c r="E9" s="11">
        <f>D9/(_Pat_Gewicht/10)</f>
        <v>0</v>
      </c>
    </row>
    <row r="10" spans="1:5" ht="13.2" x14ac:dyDescent="0.4">
      <c r="A10" s="4" t="s">
        <v>220</v>
      </c>
      <c r="B10">
        <f>PedBerEnt!G3</f>
        <v>0</v>
      </c>
      <c r="C10" s="7" t="s">
        <v>225</v>
      </c>
      <c r="D10" s="7" t="s">
        <v>225</v>
      </c>
    </row>
    <row r="11" spans="1:5" ht="13.2" x14ac:dyDescent="0.4">
      <c r="A11" s="4" t="s">
        <v>218</v>
      </c>
      <c r="B11">
        <f>PedBerTPN!H24</f>
        <v>0</v>
      </c>
      <c r="C11" s="7" t="s">
        <v>225</v>
      </c>
      <c r="D11" s="7" t="s">
        <v>225</v>
      </c>
    </row>
    <row r="12" spans="1:5" ht="13.2" x14ac:dyDescent="0.4">
      <c r="A12" s="4" t="s">
        <v>60</v>
      </c>
      <c r="B12">
        <f>PedBerMedIV!Q18</f>
        <v>0</v>
      </c>
      <c r="C12" s="7"/>
      <c r="D12" s="7"/>
    </row>
    <row r="13" spans="1:5" ht="13.2" x14ac:dyDescent="0.4">
      <c r="A13" s="9" t="s">
        <v>213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D13/(_Pat_Gewicht/10)</f>
        <v>0</v>
      </c>
    </row>
    <row r="14" spans="1:5" ht="13.2" x14ac:dyDescent="0.4">
      <c r="A14" s="4" t="s">
        <v>220</v>
      </c>
      <c r="B14">
        <f>PedBerEnt!G5</f>
        <v>0</v>
      </c>
      <c r="C14">
        <f>B14/(_Pat_Gewicht/10)</f>
        <v>0</v>
      </c>
      <c r="D14" s="7" t="s">
        <v>225</v>
      </c>
    </row>
    <row r="15" spans="1:5" ht="13.2" x14ac:dyDescent="0.4">
      <c r="A15" s="4" t="s">
        <v>218</v>
      </c>
      <c r="B15">
        <f>PedBerTPN!O24</f>
        <v>0</v>
      </c>
      <c r="C15">
        <f>B15/(_Pat_Gewicht/10)</f>
        <v>0</v>
      </c>
      <c r="D15" s="7" t="s">
        <v>225</v>
      </c>
    </row>
    <row r="16" spans="1:5" x14ac:dyDescent="0.35">
      <c r="A16" s="4" t="s">
        <v>219</v>
      </c>
      <c r="B16">
        <f>PedBerMedIV!R18</f>
        <v>0</v>
      </c>
      <c r="D16">
        <f>B16*9</f>
        <v>0</v>
      </c>
    </row>
    <row r="17" spans="1:5" ht="13.2" x14ac:dyDescent="0.4">
      <c r="A17" s="9" t="s">
        <v>360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35">
      <c r="A18" s="4" t="s">
        <v>220</v>
      </c>
      <c r="B18">
        <f>PedBerEnt!G6</f>
        <v>0</v>
      </c>
      <c r="C18">
        <f>B18/(_Pat_Gewicht/10)</f>
        <v>0</v>
      </c>
    </row>
    <row r="19" spans="1:5" x14ac:dyDescent="0.35">
      <c r="A19" s="4" t="s">
        <v>261</v>
      </c>
      <c r="B19">
        <f>PedGuiLijnPM!I15</f>
        <v>0</v>
      </c>
      <c r="C19">
        <f>B19/(_Pat_Gewicht/10)</f>
        <v>0</v>
      </c>
    </row>
    <row r="20" spans="1:5" x14ac:dyDescent="0.35">
      <c r="A20" s="4" t="s">
        <v>224</v>
      </c>
      <c r="B20">
        <f>GlobBerMedDisc!R33</f>
        <v>0</v>
      </c>
      <c r="C20">
        <f>B20/(_Pat_Gewicht/10)</f>
        <v>0</v>
      </c>
    </row>
    <row r="21" spans="1:5" x14ac:dyDescent="0.35">
      <c r="A21" s="3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3" t="s">
        <v>252</v>
      </c>
      <c r="B22">
        <f>PedBerTPN!I24</f>
        <v>0</v>
      </c>
      <c r="C22">
        <f>B22/(_Pat_Gewicht/10)</f>
        <v>0</v>
      </c>
    </row>
    <row r="23" spans="1:5" ht="13.2" x14ac:dyDescent="0.4">
      <c r="A23" s="9" t="s">
        <v>361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35">
      <c r="A24" s="4" t="s">
        <v>220</v>
      </c>
      <c r="B24">
        <f>PedBerEnt!G7</f>
        <v>0</v>
      </c>
      <c r="C24">
        <f>B24/(_Pat_Gewicht/10)</f>
        <v>0</v>
      </c>
    </row>
    <row r="25" spans="1:5" x14ac:dyDescent="0.35">
      <c r="A25" s="4" t="s">
        <v>252</v>
      </c>
      <c r="B25">
        <f>PedBerTPN!J24</f>
        <v>0</v>
      </c>
      <c r="C25">
        <f>B25/(_Pat_Gewicht/10)</f>
        <v>0</v>
      </c>
    </row>
    <row r="26" spans="1:5" x14ac:dyDescent="0.35">
      <c r="A26" s="4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9" t="s">
        <v>209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35">
      <c r="A28" s="4" t="s">
        <v>220</v>
      </c>
      <c r="B28">
        <f>PedBerEnt!G8</f>
        <v>0</v>
      </c>
      <c r="C28">
        <f>B28/(_Pat_Gewicht/10)</f>
        <v>0</v>
      </c>
    </row>
    <row r="29" spans="1:5" x14ac:dyDescent="0.35">
      <c r="A29" s="4" t="s">
        <v>252</v>
      </c>
      <c r="B29">
        <f>PedBerTPN!K24</f>
        <v>0</v>
      </c>
      <c r="C29">
        <f>B29/(_Pat_Gewicht/10)</f>
        <v>0</v>
      </c>
    </row>
    <row r="30" spans="1:5" ht="13.2" x14ac:dyDescent="0.4">
      <c r="A30" s="9" t="s">
        <v>210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35">
      <c r="A31" s="4" t="s">
        <v>220</v>
      </c>
      <c r="B31">
        <f>PedBerEnt!G9</f>
        <v>0</v>
      </c>
      <c r="C31">
        <f>B31/(_Pat_Gewicht/10)</f>
        <v>0</v>
      </c>
    </row>
    <row r="32" spans="1:5" x14ac:dyDescent="0.35">
      <c r="A32" s="4" t="s">
        <v>252</v>
      </c>
      <c r="B32">
        <f>PedBerTPN!M24</f>
        <v>0</v>
      </c>
      <c r="C32">
        <f>B32/(_Pat_Gewicht/10)</f>
        <v>0</v>
      </c>
    </row>
    <row r="33" spans="1:5" ht="13.2" x14ac:dyDescent="0.4">
      <c r="A33" s="9" t="s">
        <v>211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35">
      <c r="A34" s="4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4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9" t="s">
        <v>1076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35">
      <c r="A37" s="4" t="s">
        <v>220</v>
      </c>
      <c r="B37" s="383">
        <f>PedBerEnt!G11</f>
        <v>0</v>
      </c>
      <c r="C37" s="383">
        <f>B37/(_Pat_Gewicht/10)</f>
        <v>0</v>
      </c>
      <c r="D37" s="383"/>
      <c r="E37" s="383"/>
    </row>
    <row r="38" spans="1:5" ht="13.2" x14ac:dyDescent="0.4">
      <c r="A38" s="9" t="s">
        <v>1075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35">
      <c r="A39" s="4" t="s">
        <v>220</v>
      </c>
      <c r="B39" s="383">
        <f>PedBerEnt!G12</f>
        <v>0</v>
      </c>
      <c r="C39" s="383">
        <f>B39/(_Pat_Gewicht/10)</f>
        <v>0</v>
      </c>
      <c r="D39" s="383"/>
      <c r="E39" s="383"/>
    </row>
    <row r="40" spans="1:5" ht="13.2" x14ac:dyDescent="0.4">
      <c r="A40" s="9" t="s">
        <v>1074</v>
      </c>
      <c r="B40" s="10">
        <f>SUM(B41)</f>
        <v>0</v>
      </c>
      <c r="C40" s="10">
        <f>SUM(C41)</f>
        <v>0</v>
      </c>
      <c r="D40" s="10"/>
      <c r="E40" s="11"/>
    </row>
    <row r="41" spans="1:5" x14ac:dyDescent="0.35">
      <c r="A41" s="4" t="s">
        <v>220</v>
      </c>
      <c r="B41" s="383">
        <f>PedBerEnt!G13</f>
        <v>0</v>
      </c>
      <c r="C41" s="383">
        <f>B41/(_Pat_Gewicht/10)</f>
        <v>0</v>
      </c>
      <c r="D41" s="383"/>
      <c r="E41" s="383"/>
    </row>
    <row r="42" spans="1:5" ht="13.2" x14ac:dyDescent="0.4">
      <c r="A42" s="12" t="s">
        <v>252</v>
      </c>
      <c r="B42" s="10"/>
      <c r="C42" s="10"/>
      <c r="D42" s="10">
        <f>PedBerTPN!N24+PedBerEnt!G2</f>
        <v>0</v>
      </c>
      <c r="E42" s="11">
        <f>D42/(_Pat_Gewicht/10)</f>
        <v>0</v>
      </c>
    </row>
    <row r="44" spans="1:5" x14ac:dyDescent="0.35">
      <c r="A44" s="4" t="s">
        <v>238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384" bestFit="1" customWidth="1"/>
    <col min="2" max="2" width="32.265625" style="384" bestFit="1" customWidth="1"/>
    <col min="3" max="3" width="37" style="384" bestFit="1" customWidth="1"/>
    <col min="4" max="4" width="17.73046875" style="384" bestFit="1" customWidth="1"/>
    <col min="5" max="7" width="6.1328125" style="384" bestFit="1" customWidth="1"/>
    <col min="8" max="9" width="12.1328125" style="384" bestFit="1" customWidth="1"/>
    <col min="10" max="10" width="9.1328125" style="384" bestFit="1" customWidth="1"/>
    <col min="11" max="12" width="12.1328125" style="384" bestFit="1" customWidth="1"/>
    <col min="13" max="13" width="11.1328125" style="384" bestFit="1" customWidth="1"/>
    <col min="14" max="14" width="8.59765625" style="384" customWidth="1"/>
    <col min="15" max="15" width="12" style="384" bestFit="1" customWidth="1"/>
    <col min="16" max="16" width="9.1328125" style="384"/>
    <col min="17" max="17" width="22.1328125" style="384" bestFit="1" customWidth="1"/>
    <col min="18" max="16384" width="9.1328125" style="384"/>
  </cols>
  <sheetData>
    <row r="1" spans="1:17" ht="13.2" x14ac:dyDescent="0.4">
      <c r="A1" s="441"/>
      <c r="D1" s="384" t="s">
        <v>525</v>
      </c>
      <c r="E1" s="384" t="s">
        <v>31</v>
      </c>
      <c r="F1" s="384" t="s">
        <v>31</v>
      </c>
      <c r="G1" s="384" t="s">
        <v>31</v>
      </c>
      <c r="H1" s="384" t="s">
        <v>176</v>
      </c>
      <c r="I1" s="384" t="s">
        <v>176</v>
      </c>
      <c r="J1" s="384" t="s">
        <v>176</v>
      </c>
      <c r="K1" s="384" t="s">
        <v>176</v>
      </c>
      <c r="L1" s="384" t="s">
        <v>176</v>
      </c>
      <c r="M1" s="384" t="s">
        <v>176</v>
      </c>
      <c r="N1" s="384" t="s">
        <v>499</v>
      </c>
      <c r="O1" s="384" t="s">
        <v>176</v>
      </c>
      <c r="Q1" s="2" t="s">
        <v>227</v>
      </c>
    </row>
    <row r="2" spans="1:17" x14ac:dyDescent="0.35">
      <c r="D2" s="384" t="s">
        <v>253</v>
      </c>
      <c r="E2" s="384" t="s">
        <v>212</v>
      </c>
      <c r="F2" s="384" t="s">
        <v>254</v>
      </c>
      <c r="G2" s="384" t="s">
        <v>213</v>
      </c>
      <c r="H2" s="384" t="s">
        <v>246</v>
      </c>
      <c r="I2" s="384" t="s">
        <v>247</v>
      </c>
      <c r="J2" s="384" t="s">
        <v>248</v>
      </c>
      <c r="K2" s="384" t="s">
        <v>255</v>
      </c>
      <c r="L2" s="384" t="s">
        <v>249</v>
      </c>
      <c r="M2" s="384" t="s">
        <v>981</v>
      </c>
      <c r="N2" s="384" t="s">
        <v>982</v>
      </c>
      <c r="O2" s="384" t="s">
        <v>635</v>
      </c>
      <c r="Q2" s="215" t="s">
        <v>541</v>
      </c>
    </row>
    <row r="3" spans="1:17" x14ac:dyDescent="0.35">
      <c r="Q3" s="215" t="s">
        <v>542</v>
      </c>
    </row>
    <row r="4" spans="1:17" x14ac:dyDescent="0.35">
      <c r="A4" s="384" t="s">
        <v>984</v>
      </c>
      <c r="B4" s="384" t="s">
        <v>179</v>
      </c>
      <c r="C4" s="384" t="s">
        <v>1092</v>
      </c>
      <c r="D4" s="384">
        <f t="shared" ref="D4:D26" si="0">VLOOKUP(B4,tblVoedingBasislijst,2,FALSE)/100</f>
        <v>0.68</v>
      </c>
      <c r="E4" s="384">
        <f t="shared" ref="E4:E26" si="1">VLOOKUP(B4,tblVoedingBasislijst,3,FALSE)/100</f>
        <v>0.01</v>
      </c>
      <c r="F4" s="384">
        <f t="shared" ref="F4:F26" si="2">VLOOKUP(B4,tblVoedingBasislijst,4,FALSE)/100</f>
        <v>7.0000000000000007E-2</v>
      </c>
      <c r="G4" s="384">
        <f t="shared" ref="G4:G26" si="3">VLOOKUP(B4,tblVoedingBasislijst,5,FALSE)/100</f>
        <v>0.04</v>
      </c>
      <c r="H4" s="384">
        <f t="shared" ref="H4:H26" si="4">VLOOKUP(B4,tblVoedingBasislijst,6,FALSE)*tblOmrekenNA/100</f>
        <v>8.6956000000000012E-3</v>
      </c>
      <c r="I4" s="384">
        <f t="shared" ref="I4:I26" si="5">VLOOKUP(B4,tblVoedingBasislijst,7,FALSE)*tblOmrekenK/100</f>
        <v>1.2820500000000002E-2</v>
      </c>
      <c r="J4" s="384">
        <f t="shared" ref="J4:J26" si="6">VLOOKUP(B4,tblVoedingBasislijst,8,FALSE)*tblOmrekenCa/100</f>
        <v>7.4700000000000001E-3</v>
      </c>
      <c r="K4" s="384">
        <f t="shared" ref="K4:K26" si="7">VLOOKUP(B4,tblVoedingBasislijst,9,FALSE)*tblOmrekenP/100</f>
        <v>4.8433499999999997E-3</v>
      </c>
      <c r="L4" s="384">
        <f t="shared" ref="L4:L26" si="8">VLOOKUP(B4,tblVoedingBasislijst,10,FALSE)*tblOmrekenMg/100</f>
        <v>1.23423E-3</v>
      </c>
      <c r="M4" s="384">
        <f t="shared" ref="M4:M26" si="9">VLOOKUP(B4,tblVoedingBasislijst,11,FALSE)*tblOmrekenFe/100</f>
        <v>1.7899999999999998E-5</v>
      </c>
      <c r="N4" s="384">
        <f t="shared" ref="N4:N26" si="10">VLOOKUP(B4,tblVoedingBasislijst,12,FALSE)*tblOmrekenVitD/100</f>
        <v>0</v>
      </c>
      <c r="O4" s="384">
        <f t="shared" ref="O4:O26" si="11">VLOOKUP(B4,tblVoedingBasislijst,13,FALSE)*tblOmrekenCl/100</f>
        <v>1.212858E-2</v>
      </c>
      <c r="Q4" s="215" t="s">
        <v>543</v>
      </c>
    </row>
    <row r="5" spans="1:17" x14ac:dyDescent="0.35">
      <c r="A5" s="384" t="s">
        <v>985</v>
      </c>
      <c r="B5" s="384" t="s">
        <v>986</v>
      </c>
      <c r="C5" s="384" t="s">
        <v>1093</v>
      </c>
      <c r="D5" s="384">
        <f t="shared" si="0"/>
        <v>0.8</v>
      </c>
      <c r="E5" s="384">
        <f t="shared" si="1"/>
        <v>2.6000000000000002E-2</v>
      </c>
      <c r="F5" s="384">
        <f t="shared" si="2"/>
        <v>8.4000000000000005E-2</v>
      </c>
      <c r="G5" s="384">
        <f t="shared" si="3"/>
        <v>3.9E-2</v>
      </c>
      <c r="H5" s="384">
        <f t="shared" si="4"/>
        <v>3.0434599999999999E-2</v>
      </c>
      <c r="I5" s="384">
        <f t="shared" si="5"/>
        <v>2.0512800000000001E-2</v>
      </c>
      <c r="J5" s="384">
        <f t="shared" si="6"/>
        <v>2.4899999999999999E-2</v>
      </c>
      <c r="K5" s="384">
        <f t="shared" si="7"/>
        <v>1.8081839999999998E-2</v>
      </c>
      <c r="L5" s="384">
        <f t="shared" si="8"/>
        <v>3.2912799999999997E-3</v>
      </c>
      <c r="M5" s="384">
        <f t="shared" si="9"/>
        <v>2.8639999999999997E-4</v>
      </c>
      <c r="N5" s="384">
        <f t="shared" si="10"/>
        <v>1.2</v>
      </c>
      <c r="O5" s="384">
        <f t="shared" si="11"/>
        <v>2.3975099999999999E-2</v>
      </c>
      <c r="Q5" s="215" t="s">
        <v>544</v>
      </c>
    </row>
    <row r="6" spans="1:17" x14ac:dyDescent="0.35">
      <c r="A6" s="384" t="s">
        <v>985</v>
      </c>
      <c r="B6" s="493" t="s">
        <v>987</v>
      </c>
      <c r="C6" s="384" t="s">
        <v>1094</v>
      </c>
      <c r="D6" s="384">
        <f t="shared" si="0"/>
        <v>0.75</v>
      </c>
      <c r="E6" s="384">
        <f t="shared" si="1"/>
        <v>0.02</v>
      </c>
      <c r="F6" s="384">
        <f t="shared" si="2"/>
        <v>7.4999999999999997E-2</v>
      </c>
      <c r="G6" s="384">
        <f t="shared" si="3"/>
        <v>0.04</v>
      </c>
      <c r="H6" s="384">
        <f t="shared" si="4"/>
        <v>1.217384E-2</v>
      </c>
      <c r="I6" s="384">
        <f t="shared" si="5"/>
        <v>1.9743570000000002E-2</v>
      </c>
      <c r="J6" s="384">
        <f t="shared" si="6"/>
        <v>2.1662999999999998E-2</v>
      </c>
      <c r="K6" s="384">
        <f t="shared" si="7"/>
        <v>1.517583E-2</v>
      </c>
      <c r="L6" s="384">
        <f t="shared" si="8"/>
        <v>2.8798700000000001E-3</v>
      </c>
      <c r="M6" s="384">
        <f t="shared" si="9"/>
        <v>2.1479999999999999E-4</v>
      </c>
      <c r="N6" s="384">
        <f t="shared" si="10"/>
        <v>0.68</v>
      </c>
      <c r="O6" s="384">
        <f t="shared" si="11"/>
        <v>1.5513299999999999E-2</v>
      </c>
      <c r="Q6" s="215" t="s">
        <v>1169</v>
      </c>
    </row>
    <row r="7" spans="1:17" x14ac:dyDescent="0.35">
      <c r="A7" s="384" t="s">
        <v>690</v>
      </c>
      <c r="B7" s="465" t="s">
        <v>988</v>
      </c>
      <c r="C7" s="384" t="s">
        <v>1095</v>
      </c>
      <c r="D7" s="384">
        <f t="shared" si="0"/>
        <v>0.66</v>
      </c>
      <c r="E7" s="384">
        <f t="shared" si="1"/>
        <v>1.4999999999999999E-2</v>
      </c>
      <c r="F7" s="384">
        <f t="shared" si="2"/>
        <v>7.2000000000000008E-2</v>
      </c>
      <c r="G7" s="384">
        <f t="shared" si="3"/>
        <v>3.4000000000000002E-2</v>
      </c>
      <c r="H7" s="384">
        <f t="shared" si="4"/>
        <v>1.0869500000000001E-2</v>
      </c>
      <c r="I7" s="384">
        <f t="shared" si="5"/>
        <v>1.8717930000000001E-2</v>
      </c>
      <c r="J7" s="384">
        <f t="shared" si="6"/>
        <v>1.1453999999999999E-2</v>
      </c>
      <c r="K7" s="384">
        <f t="shared" si="7"/>
        <v>8.3951400000000006E-3</v>
      </c>
      <c r="L7" s="384">
        <f t="shared" si="8"/>
        <v>2.0981909999999997E-3</v>
      </c>
      <c r="M7" s="384">
        <f t="shared" si="9"/>
        <v>9.4870000000000005E-5</v>
      </c>
      <c r="N7" s="384">
        <f t="shared" si="10"/>
        <v>0.48</v>
      </c>
      <c r="O7" s="384">
        <f t="shared" si="11"/>
        <v>1.1564459999999999E-2</v>
      </c>
    </row>
    <row r="8" spans="1:17" x14ac:dyDescent="0.35">
      <c r="A8" s="384" t="s">
        <v>524</v>
      </c>
      <c r="B8" s="384" t="s">
        <v>640</v>
      </c>
      <c r="C8" s="384" t="s">
        <v>1096</v>
      </c>
      <c r="D8" s="384">
        <f t="shared" si="0"/>
        <v>0.66</v>
      </c>
      <c r="E8" s="384">
        <f t="shared" si="1"/>
        <v>1.3000000000000001E-2</v>
      </c>
      <c r="F8" s="384">
        <f t="shared" si="2"/>
        <v>7.2999999999999995E-2</v>
      </c>
      <c r="G8" s="384">
        <f t="shared" si="3"/>
        <v>3.4000000000000002E-2</v>
      </c>
      <c r="H8" s="384">
        <f t="shared" si="4"/>
        <v>7.3912600000000002E-3</v>
      </c>
      <c r="I8" s="384">
        <f t="shared" si="5"/>
        <v>1.7435880000000001E-2</v>
      </c>
      <c r="J8" s="384">
        <f t="shared" si="6"/>
        <v>1.4193000000000001E-2</v>
      </c>
      <c r="K8" s="384">
        <f t="shared" si="7"/>
        <v>1.033248E-2</v>
      </c>
      <c r="L8" s="384">
        <f t="shared" si="8"/>
        <v>2.0981909999999997E-3</v>
      </c>
      <c r="M8" s="384">
        <f t="shared" si="9"/>
        <v>6.981E-4</v>
      </c>
      <c r="N8" s="384">
        <f t="shared" si="10"/>
        <v>3.48</v>
      </c>
      <c r="O8" s="384">
        <f t="shared" si="11"/>
        <v>1.1846520000000001E-2</v>
      </c>
    </row>
    <row r="9" spans="1:17" x14ac:dyDescent="0.35">
      <c r="A9" s="441" t="s">
        <v>524</v>
      </c>
      <c r="B9" s="384" t="s">
        <v>1051</v>
      </c>
      <c r="C9" s="384" t="s">
        <v>1097</v>
      </c>
      <c r="D9" s="384">
        <f t="shared" si="0"/>
        <v>0.68</v>
      </c>
      <c r="E9" s="384">
        <f t="shared" si="1"/>
        <v>1.3999999999999999E-2</v>
      </c>
      <c r="F9" s="384">
        <f t="shared" si="2"/>
        <v>8.5999999999999993E-2</v>
      </c>
      <c r="G9" s="384">
        <f t="shared" si="3"/>
        <v>0.03</v>
      </c>
      <c r="H9" s="384">
        <f t="shared" si="4"/>
        <v>9.9999400000000006E-3</v>
      </c>
      <c r="I9" s="384">
        <f t="shared" si="5"/>
        <v>1.8974339999999999E-2</v>
      </c>
      <c r="J9" s="384">
        <f t="shared" si="6"/>
        <v>1.6184999999999998E-2</v>
      </c>
      <c r="K9" s="384">
        <f t="shared" si="7"/>
        <v>1.162404E-2</v>
      </c>
      <c r="L9" s="384">
        <f t="shared" si="8"/>
        <v>1.974768E-3</v>
      </c>
      <c r="M9" s="384">
        <f t="shared" si="9"/>
        <v>1.253E-3</v>
      </c>
      <c r="N9" s="384">
        <f t="shared" si="10"/>
        <v>0.56000000000000005</v>
      </c>
      <c r="O9" s="384">
        <f t="shared" si="11"/>
        <v>1.3256820000000001E-2</v>
      </c>
    </row>
    <row r="10" spans="1:17" x14ac:dyDescent="0.35">
      <c r="A10" s="384" t="s">
        <v>984</v>
      </c>
      <c r="B10" s="384" t="s">
        <v>17</v>
      </c>
      <c r="C10" s="384" t="s">
        <v>1098</v>
      </c>
      <c r="D10" s="384">
        <f t="shared" si="0"/>
        <v>1</v>
      </c>
      <c r="E10" s="384">
        <f t="shared" si="1"/>
        <v>2.6000000000000002E-2</v>
      </c>
      <c r="F10" s="384">
        <f t="shared" si="2"/>
        <v>0.10300000000000001</v>
      </c>
      <c r="G10" s="384">
        <f t="shared" si="3"/>
        <v>5.4000000000000006E-2</v>
      </c>
      <c r="H10" s="384">
        <f t="shared" si="4"/>
        <v>1.6086860000000001E-2</v>
      </c>
      <c r="I10" s="384">
        <f t="shared" si="5"/>
        <v>2.4358950000000001E-2</v>
      </c>
      <c r="J10" s="384">
        <f t="shared" si="6"/>
        <v>2.4899999999999999E-2</v>
      </c>
      <c r="K10" s="384">
        <f t="shared" si="7"/>
        <v>1.6144499999999999E-2</v>
      </c>
      <c r="L10" s="384">
        <f t="shared" si="8"/>
        <v>3.7026899999999998E-3</v>
      </c>
      <c r="M10" s="384">
        <f t="shared" si="9"/>
        <v>2.1479999999999999E-4</v>
      </c>
      <c r="N10" s="384">
        <f t="shared" si="10"/>
        <v>0.76</v>
      </c>
      <c r="O10" s="384">
        <f t="shared" si="11"/>
        <v>1.7487719999999998E-2</v>
      </c>
    </row>
    <row r="11" spans="1:17" x14ac:dyDescent="0.35">
      <c r="A11" s="384" t="s">
        <v>984</v>
      </c>
      <c r="B11" s="384" t="s">
        <v>1077</v>
      </c>
      <c r="C11" s="384" t="s">
        <v>1099</v>
      </c>
      <c r="D11" s="384">
        <f t="shared" si="0"/>
        <v>1</v>
      </c>
      <c r="E11" s="384">
        <f t="shared" si="1"/>
        <v>2.6000000000000002E-2</v>
      </c>
      <c r="F11" s="384">
        <f t="shared" si="2"/>
        <v>0.10300000000000001</v>
      </c>
      <c r="G11" s="384">
        <f t="shared" si="3"/>
        <v>5.4000000000000006E-2</v>
      </c>
      <c r="H11" s="384">
        <f t="shared" si="4"/>
        <v>1.391296E-2</v>
      </c>
      <c r="I11" s="384">
        <f t="shared" si="5"/>
        <v>2.769228E-2</v>
      </c>
      <c r="J11" s="384">
        <f t="shared" si="6"/>
        <v>1.992E-2</v>
      </c>
      <c r="K11" s="384">
        <f t="shared" si="7"/>
        <v>1.2915600000000001E-2</v>
      </c>
      <c r="L11" s="384">
        <f t="shared" si="8"/>
        <v>3.2912799999999997E-3</v>
      </c>
      <c r="M11" s="384">
        <f t="shared" si="9"/>
        <v>1.7899999999999999E-4</v>
      </c>
      <c r="N11" s="384">
        <f t="shared" si="10"/>
        <v>0.68</v>
      </c>
      <c r="O11" s="384">
        <f t="shared" si="11"/>
        <v>1.805184E-2</v>
      </c>
    </row>
    <row r="12" spans="1:17" x14ac:dyDescent="0.35">
      <c r="A12" s="384" t="s">
        <v>984</v>
      </c>
      <c r="B12" s="384" t="s">
        <v>1068</v>
      </c>
      <c r="C12" s="384" t="s">
        <v>1100</v>
      </c>
      <c r="D12" s="384">
        <f t="shared" si="0"/>
        <v>0.67</v>
      </c>
      <c r="E12" s="384">
        <f t="shared" si="1"/>
        <v>1.6E-2</v>
      </c>
      <c r="F12" s="384">
        <f t="shared" si="2"/>
        <v>7.0000000000000007E-2</v>
      </c>
      <c r="G12" s="384">
        <f t="shared" si="3"/>
        <v>3.5000000000000003E-2</v>
      </c>
      <c r="H12" s="384">
        <f t="shared" si="4"/>
        <v>8.6956000000000012E-3</v>
      </c>
      <c r="I12" s="384">
        <f t="shared" si="5"/>
        <v>2.076921E-2</v>
      </c>
      <c r="J12" s="384">
        <f t="shared" si="6"/>
        <v>1.1702999999999998E-2</v>
      </c>
      <c r="K12" s="384">
        <f t="shared" si="7"/>
        <v>8.3951400000000006E-3</v>
      </c>
      <c r="L12" s="384">
        <f t="shared" si="8"/>
        <v>2.1804729999999996E-3</v>
      </c>
      <c r="M12" s="384">
        <f t="shared" si="9"/>
        <v>9.4870000000000005E-5</v>
      </c>
      <c r="N12" s="384">
        <f t="shared" si="10"/>
        <v>0.52</v>
      </c>
      <c r="O12" s="384">
        <f t="shared" si="11"/>
        <v>1.12824E-2</v>
      </c>
    </row>
    <row r="13" spans="1:17" x14ac:dyDescent="0.35">
      <c r="A13" s="384" t="s">
        <v>527</v>
      </c>
      <c r="B13" s="384" t="s">
        <v>528</v>
      </c>
      <c r="C13" s="384" t="s">
        <v>1101</v>
      </c>
      <c r="D13" s="384">
        <f t="shared" si="0"/>
        <v>1.01</v>
      </c>
      <c r="E13" s="384">
        <f t="shared" si="1"/>
        <v>2.7000000000000003E-2</v>
      </c>
      <c r="F13" s="384">
        <f t="shared" si="2"/>
        <v>0.12300000000000001</v>
      </c>
      <c r="G13" s="384">
        <f t="shared" si="3"/>
        <v>4.4000000000000004E-2</v>
      </c>
      <c r="H13" s="384">
        <f t="shared" si="4"/>
        <v>2.60868E-2</v>
      </c>
      <c r="I13" s="384">
        <f t="shared" si="5"/>
        <v>2.82051E-2</v>
      </c>
      <c r="J13" s="384">
        <f t="shared" si="6"/>
        <v>1.494E-2</v>
      </c>
      <c r="K13" s="384">
        <f t="shared" si="7"/>
        <v>1.6144499999999999E-2</v>
      </c>
      <c r="L13" s="384">
        <f t="shared" si="8"/>
        <v>4.5255099999999999E-3</v>
      </c>
      <c r="M13" s="384">
        <f t="shared" si="9"/>
        <v>1.7899999999999999E-4</v>
      </c>
      <c r="N13" s="384">
        <f t="shared" si="10"/>
        <v>0.4</v>
      </c>
      <c r="O13" s="384">
        <f t="shared" si="11"/>
        <v>2.6795699999999999E-2</v>
      </c>
    </row>
    <row r="14" spans="1:17" x14ac:dyDescent="0.35">
      <c r="A14" s="384" t="s">
        <v>527</v>
      </c>
      <c r="B14" s="384" t="s">
        <v>529</v>
      </c>
      <c r="C14" s="384" t="s">
        <v>1102</v>
      </c>
      <c r="D14" s="384">
        <f t="shared" si="0"/>
        <v>1.51</v>
      </c>
      <c r="E14" s="384">
        <f t="shared" si="1"/>
        <v>0.04</v>
      </c>
      <c r="F14" s="384">
        <f t="shared" si="2"/>
        <v>0.185</v>
      </c>
      <c r="G14" s="384">
        <f t="shared" si="3"/>
        <v>6.7000000000000004E-2</v>
      </c>
      <c r="H14" s="384">
        <f t="shared" si="4"/>
        <v>3.9130200000000004E-2</v>
      </c>
      <c r="I14" s="384">
        <f t="shared" si="5"/>
        <v>4.2307650000000002E-2</v>
      </c>
      <c r="J14" s="384">
        <f t="shared" si="6"/>
        <v>2.2409999999999996E-2</v>
      </c>
      <c r="K14" s="384">
        <f t="shared" si="7"/>
        <v>2.4216749999999999E-2</v>
      </c>
      <c r="L14" s="384">
        <f t="shared" si="8"/>
        <v>6.9939699999999995E-3</v>
      </c>
      <c r="M14" s="384">
        <f t="shared" si="9"/>
        <v>2.6849999999999997E-4</v>
      </c>
      <c r="N14" s="384">
        <f t="shared" si="10"/>
        <v>0.6</v>
      </c>
      <c r="O14" s="384">
        <f t="shared" si="11"/>
        <v>4.0334579999999995E-2</v>
      </c>
    </row>
    <row r="15" spans="1:17" x14ac:dyDescent="0.35">
      <c r="A15" s="384" t="s">
        <v>527</v>
      </c>
      <c r="B15" s="384" t="s">
        <v>1078</v>
      </c>
      <c r="C15" s="384" t="s">
        <v>1103</v>
      </c>
      <c r="D15" s="384">
        <f t="shared" si="0"/>
        <v>1</v>
      </c>
      <c r="E15" s="384">
        <f t="shared" si="1"/>
        <v>2.7999999999999997E-2</v>
      </c>
      <c r="F15" s="384">
        <f t="shared" si="2"/>
        <v>0.13699999999999998</v>
      </c>
      <c r="G15" s="384">
        <f t="shared" si="3"/>
        <v>3.9E-2</v>
      </c>
      <c r="H15" s="384">
        <f t="shared" si="4"/>
        <v>2.60868E-2</v>
      </c>
      <c r="I15" s="384">
        <f t="shared" si="5"/>
        <v>2.82051E-2</v>
      </c>
      <c r="J15" s="384">
        <f t="shared" si="6"/>
        <v>1.494E-2</v>
      </c>
      <c r="K15" s="384">
        <f t="shared" si="7"/>
        <v>1.6144499999999999E-2</v>
      </c>
      <c r="L15" s="384">
        <f t="shared" si="8"/>
        <v>4.5255099999999999E-3</v>
      </c>
      <c r="M15" s="384">
        <f t="shared" si="9"/>
        <v>1.7899999999999999E-4</v>
      </c>
      <c r="N15" s="384">
        <f t="shared" si="10"/>
        <v>0.4</v>
      </c>
      <c r="O15" s="384">
        <f t="shared" si="11"/>
        <v>2.6795699999999999E-2</v>
      </c>
    </row>
    <row r="16" spans="1:17" x14ac:dyDescent="0.35">
      <c r="A16" s="384" t="s">
        <v>527</v>
      </c>
      <c r="B16" s="384" t="s">
        <v>1115</v>
      </c>
      <c r="C16" s="384" t="s">
        <v>1104</v>
      </c>
      <c r="D16" s="384">
        <f t="shared" si="0"/>
        <v>0.68</v>
      </c>
      <c r="E16" s="384">
        <f t="shared" si="1"/>
        <v>1.6E-2</v>
      </c>
      <c r="F16" s="384">
        <f t="shared" si="2"/>
        <v>8.1000000000000003E-2</v>
      </c>
      <c r="G16" s="384">
        <f t="shared" si="3"/>
        <v>3.1E-2</v>
      </c>
      <c r="H16" s="384">
        <f t="shared" si="4"/>
        <v>1.0869500000000001E-2</v>
      </c>
      <c r="I16" s="384">
        <f t="shared" si="5"/>
        <v>1.9999980000000001E-2</v>
      </c>
      <c r="J16" s="384">
        <f t="shared" si="6"/>
        <v>1.5687E-2</v>
      </c>
      <c r="K16" s="384">
        <f t="shared" si="7"/>
        <v>1.194693E-2</v>
      </c>
      <c r="L16" s="384">
        <f t="shared" si="8"/>
        <v>2.262755E-3</v>
      </c>
      <c r="M16" s="384">
        <f t="shared" si="9"/>
        <v>1.7899999999999999E-4</v>
      </c>
      <c r="N16" s="384">
        <f t="shared" si="10"/>
        <v>0.56000000000000005</v>
      </c>
      <c r="O16" s="384">
        <f t="shared" si="11"/>
        <v>1.1846520000000001E-2</v>
      </c>
    </row>
    <row r="17" spans="1:15" x14ac:dyDescent="0.35">
      <c r="A17" s="384" t="s">
        <v>530</v>
      </c>
      <c r="B17" s="384" t="s">
        <v>531</v>
      </c>
      <c r="C17" s="384" t="s">
        <v>1105</v>
      </c>
      <c r="D17" s="384">
        <f t="shared" si="0"/>
        <v>1.02</v>
      </c>
      <c r="E17" s="384">
        <f t="shared" si="1"/>
        <v>3.3000000000000002E-2</v>
      </c>
      <c r="F17" s="384">
        <f t="shared" si="2"/>
        <v>0.12300000000000001</v>
      </c>
      <c r="G17" s="384">
        <f t="shared" si="3"/>
        <v>4.2000000000000003E-2</v>
      </c>
      <c r="H17" s="384">
        <f t="shared" si="4"/>
        <v>3.4782400000000005E-2</v>
      </c>
      <c r="I17" s="384">
        <f t="shared" si="5"/>
        <v>3.5384579999999999E-2</v>
      </c>
      <c r="J17" s="384">
        <f t="shared" si="6"/>
        <v>1.7429999999999998E-2</v>
      </c>
      <c r="K17" s="384">
        <f t="shared" si="7"/>
        <v>1.9373399999999999E-2</v>
      </c>
      <c r="L17" s="384">
        <f t="shared" si="8"/>
        <v>6.9939699999999995E-3</v>
      </c>
      <c r="M17" s="384">
        <f t="shared" si="9"/>
        <v>2.3269999999999999E-4</v>
      </c>
      <c r="N17" s="384">
        <f t="shared" si="10"/>
        <v>0.28000000000000003</v>
      </c>
      <c r="O17" s="384">
        <f t="shared" si="11"/>
        <v>3.5257499999999997E-2</v>
      </c>
    </row>
    <row r="18" spans="1:15" x14ac:dyDescent="0.35">
      <c r="A18" s="384" t="s">
        <v>530</v>
      </c>
      <c r="B18" s="384" t="s">
        <v>532</v>
      </c>
      <c r="C18" s="384" t="s">
        <v>1106</v>
      </c>
      <c r="D18" s="384">
        <f t="shared" si="0"/>
        <v>1.52</v>
      </c>
      <c r="E18" s="384">
        <f t="shared" si="1"/>
        <v>4.8000000000000001E-2</v>
      </c>
      <c r="F18" s="384">
        <f t="shared" si="2"/>
        <v>0.185</v>
      </c>
      <c r="G18" s="384">
        <f t="shared" si="3"/>
        <v>6.3E-2</v>
      </c>
      <c r="H18" s="384">
        <f t="shared" si="4"/>
        <v>4.6521460000000001E-2</v>
      </c>
      <c r="I18" s="384">
        <f t="shared" si="5"/>
        <v>4.769226E-2</v>
      </c>
      <c r="J18" s="384">
        <f t="shared" si="6"/>
        <v>2.3654999999999999E-2</v>
      </c>
      <c r="K18" s="384">
        <f t="shared" si="7"/>
        <v>2.9060099999999998E-2</v>
      </c>
      <c r="L18" s="384">
        <f t="shared" si="8"/>
        <v>1.069666E-2</v>
      </c>
      <c r="M18" s="384">
        <f t="shared" si="9"/>
        <v>3.5799999999999997E-4</v>
      </c>
      <c r="N18" s="384">
        <f t="shared" si="10"/>
        <v>0.44</v>
      </c>
      <c r="O18" s="384">
        <f t="shared" si="11"/>
        <v>4.1462819999999991E-2</v>
      </c>
    </row>
    <row r="19" spans="1:15" x14ac:dyDescent="0.35">
      <c r="A19" s="384" t="s">
        <v>530</v>
      </c>
      <c r="B19" s="384" t="s">
        <v>1078</v>
      </c>
      <c r="C19" s="384" t="s">
        <v>1107</v>
      </c>
      <c r="D19" s="384">
        <f t="shared" si="0"/>
        <v>1</v>
      </c>
      <c r="E19" s="384">
        <f t="shared" si="1"/>
        <v>2.7999999999999997E-2</v>
      </c>
      <c r="F19" s="384">
        <f t="shared" si="2"/>
        <v>0.13699999999999998</v>
      </c>
      <c r="G19" s="384">
        <f t="shared" si="3"/>
        <v>3.9E-2</v>
      </c>
      <c r="H19" s="384">
        <f t="shared" si="4"/>
        <v>2.60868E-2</v>
      </c>
      <c r="I19" s="384">
        <f t="shared" si="5"/>
        <v>2.82051E-2</v>
      </c>
      <c r="J19" s="384">
        <f t="shared" si="6"/>
        <v>1.494E-2</v>
      </c>
      <c r="K19" s="384">
        <f t="shared" si="7"/>
        <v>1.6144499999999999E-2</v>
      </c>
      <c r="L19" s="384">
        <f t="shared" si="8"/>
        <v>4.5255099999999999E-3</v>
      </c>
      <c r="M19" s="384">
        <f t="shared" si="9"/>
        <v>1.7899999999999999E-4</v>
      </c>
      <c r="N19" s="384">
        <f t="shared" si="10"/>
        <v>0.4</v>
      </c>
      <c r="O19" s="384">
        <f t="shared" si="11"/>
        <v>2.6795699999999999E-2</v>
      </c>
    </row>
    <row r="20" spans="1:15" x14ac:dyDescent="0.35">
      <c r="A20" s="384" t="s">
        <v>530</v>
      </c>
      <c r="B20" s="384" t="s">
        <v>1115</v>
      </c>
      <c r="C20" s="384" t="s">
        <v>1108</v>
      </c>
      <c r="D20" s="384">
        <f t="shared" si="0"/>
        <v>0.68</v>
      </c>
      <c r="E20" s="384">
        <f t="shared" si="1"/>
        <v>1.6E-2</v>
      </c>
      <c r="F20" s="384">
        <f t="shared" si="2"/>
        <v>8.1000000000000003E-2</v>
      </c>
      <c r="G20" s="384">
        <f t="shared" si="3"/>
        <v>3.1E-2</v>
      </c>
      <c r="H20" s="384">
        <f t="shared" si="4"/>
        <v>1.0869500000000001E-2</v>
      </c>
      <c r="I20" s="384">
        <f t="shared" si="5"/>
        <v>1.9999980000000001E-2</v>
      </c>
      <c r="J20" s="384">
        <f t="shared" si="6"/>
        <v>1.5687E-2</v>
      </c>
      <c r="K20" s="384">
        <f t="shared" si="7"/>
        <v>1.194693E-2</v>
      </c>
      <c r="L20" s="384">
        <f t="shared" si="8"/>
        <v>2.262755E-3</v>
      </c>
      <c r="M20" s="384">
        <f t="shared" si="9"/>
        <v>1.7899999999999999E-4</v>
      </c>
      <c r="N20" s="384">
        <f t="shared" si="10"/>
        <v>0.56000000000000005</v>
      </c>
      <c r="O20" s="384">
        <f t="shared" si="11"/>
        <v>1.1846520000000001E-2</v>
      </c>
    </row>
    <row r="21" spans="1:15" x14ac:dyDescent="0.35">
      <c r="A21" s="384" t="s">
        <v>533</v>
      </c>
      <c r="B21" s="384" t="s">
        <v>534</v>
      </c>
      <c r="C21" s="384" t="s">
        <v>1109</v>
      </c>
      <c r="D21" s="384">
        <f t="shared" si="0"/>
        <v>1.03</v>
      </c>
      <c r="E21" s="384">
        <f t="shared" si="1"/>
        <v>0.04</v>
      </c>
      <c r="F21" s="384">
        <f t="shared" si="2"/>
        <v>0.12300000000000001</v>
      </c>
      <c r="G21" s="384">
        <f t="shared" si="3"/>
        <v>3.9E-2</v>
      </c>
      <c r="H21" s="384">
        <f t="shared" si="4"/>
        <v>4.3478000000000003E-2</v>
      </c>
      <c r="I21" s="384">
        <f t="shared" si="5"/>
        <v>3.8461500000000003E-2</v>
      </c>
      <c r="J21" s="384">
        <f t="shared" si="6"/>
        <v>1.992E-2</v>
      </c>
      <c r="K21" s="384">
        <f t="shared" si="7"/>
        <v>2.3248080000000001E-2</v>
      </c>
      <c r="L21" s="384">
        <f t="shared" si="8"/>
        <v>9.4624299999999991E-3</v>
      </c>
      <c r="M21" s="384">
        <f t="shared" si="9"/>
        <v>2.8639999999999997E-4</v>
      </c>
      <c r="N21" s="384">
        <f t="shared" si="10"/>
        <v>0.4</v>
      </c>
      <c r="O21" s="384">
        <f t="shared" si="11"/>
        <v>3.5257499999999997E-2</v>
      </c>
    </row>
    <row r="22" spans="1:15" x14ac:dyDescent="0.35">
      <c r="A22" s="384" t="s">
        <v>533</v>
      </c>
      <c r="B22" s="384" t="s">
        <v>535</v>
      </c>
      <c r="C22" s="384" t="s">
        <v>1110</v>
      </c>
      <c r="D22" s="384">
        <f t="shared" si="0"/>
        <v>1.53</v>
      </c>
      <c r="E22" s="384">
        <f t="shared" si="1"/>
        <v>0.06</v>
      </c>
      <c r="F22" s="384">
        <f t="shared" si="2"/>
        <v>0.184</v>
      </c>
      <c r="G22" s="384">
        <f t="shared" si="3"/>
        <v>5.7999999999999996E-2</v>
      </c>
      <c r="H22" s="384">
        <f t="shared" si="4"/>
        <v>5.826052000000001E-2</v>
      </c>
      <c r="I22" s="384">
        <f t="shared" si="5"/>
        <v>5.153841E-2</v>
      </c>
      <c r="J22" s="384">
        <f t="shared" si="6"/>
        <v>2.0915999999999997E-2</v>
      </c>
      <c r="K22" s="384">
        <f t="shared" si="7"/>
        <v>2.7122759999999996E-2</v>
      </c>
      <c r="L22" s="384">
        <f t="shared" si="8"/>
        <v>1.2342299999999999E-2</v>
      </c>
      <c r="M22" s="384">
        <f t="shared" si="9"/>
        <v>4.2959999999999998E-4</v>
      </c>
      <c r="N22" s="384">
        <f t="shared" si="10"/>
        <v>0.6</v>
      </c>
      <c r="O22" s="384">
        <f t="shared" si="11"/>
        <v>2.8205999999999998E-2</v>
      </c>
    </row>
    <row r="23" spans="1:15" x14ac:dyDescent="0.35">
      <c r="A23" s="384" t="s">
        <v>533</v>
      </c>
      <c r="B23" s="384" t="s">
        <v>1079</v>
      </c>
      <c r="C23" s="384" t="s">
        <v>1111</v>
      </c>
      <c r="D23" s="384">
        <f t="shared" si="0"/>
        <v>1</v>
      </c>
      <c r="E23" s="384">
        <f t="shared" si="1"/>
        <v>0.04</v>
      </c>
      <c r="F23" s="384">
        <f t="shared" si="2"/>
        <v>0.17600000000000002</v>
      </c>
      <c r="G23" s="384">
        <f t="shared" si="3"/>
        <v>1.7000000000000001E-2</v>
      </c>
      <c r="H23" s="384">
        <f t="shared" si="4"/>
        <v>4.3478000000000003E-2</v>
      </c>
      <c r="I23" s="384">
        <f t="shared" si="5"/>
        <v>3.8461500000000003E-2</v>
      </c>
      <c r="J23" s="384">
        <f t="shared" si="6"/>
        <v>1.992E-2</v>
      </c>
      <c r="K23" s="384">
        <f t="shared" si="7"/>
        <v>2.3248080000000001E-2</v>
      </c>
      <c r="L23" s="384">
        <f t="shared" si="8"/>
        <v>9.4624299999999991E-3</v>
      </c>
      <c r="M23" s="384">
        <f t="shared" si="9"/>
        <v>2.8639999999999997E-4</v>
      </c>
      <c r="N23" s="384">
        <f t="shared" si="10"/>
        <v>0.28000000000000003</v>
      </c>
      <c r="O23" s="384">
        <f t="shared" si="11"/>
        <v>3.5257499999999997E-2</v>
      </c>
    </row>
    <row r="24" spans="1:15" x14ac:dyDescent="0.35">
      <c r="A24" s="384" t="s">
        <v>533</v>
      </c>
      <c r="B24" s="384" t="s">
        <v>1115</v>
      </c>
      <c r="C24" s="384" t="s">
        <v>1112</v>
      </c>
      <c r="D24" s="384">
        <f t="shared" si="0"/>
        <v>0.68</v>
      </c>
      <c r="E24" s="384">
        <f t="shared" si="1"/>
        <v>1.6E-2</v>
      </c>
      <c r="F24" s="384">
        <f t="shared" si="2"/>
        <v>8.1000000000000003E-2</v>
      </c>
      <c r="G24" s="384">
        <f t="shared" si="3"/>
        <v>3.1E-2</v>
      </c>
      <c r="H24" s="384">
        <f t="shared" si="4"/>
        <v>1.0869500000000001E-2</v>
      </c>
      <c r="I24" s="384">
        <f t="shared" si="5"/>
        <v>1.9999980000000001E-2</v>
      </c>
      <c r="J24" s="384">
        <f t="shared" si="6"/>
        <v>1.5687E-2</v>
      </c>
      <c r="K24" s="384">
        <f t="shared" si="7"/>
        <v>1.194693E-2</v>
      </c>
      <c r="L24" s="384">
        <f t="shared" si="8"/>
        <v>2.262755E-3</v>
      </c>
      <c r="M24" s="384">
        <f t="shared" si="9"/>
        <v>1.7899999999999999E-4</v>
      </c>
      <c r="N24" s="384">
        <f t="shared" si="10"/>
        <v>0.56000000000000005</v>
      </c>
      <c r="O24" s="384">
        <f t="shared" si="11"/>
        <v>1.1846520000000001E-2</v>
      </c>
    </row>
    <row r="25" spans="1:15" x14ac:dyDescent="0.35">
      <c r="A25" s="384" t="s">
        <v>690</v>
      </c>
      <c r="B25" s="384" t="s">
        <v>989</v>
      </c>
      <c r="C25" s="384" t="s">
        <v>1113</v>
      </c>
      <c r="D25" s="384">
        <f t="shared" si="0"/>
        <v>0.67</v>
      </c>
      <c r="E25" s="384">
        <f t="shared" si="1"/>
        <v>1.8000000000000002E-2</v>
      </c>
      <c r="F25" s="384">
        <f t="shared" si="2"/>
        <v>7.2000000000000008E-2</v>
      </c>
      <c r="G25" s="384">
        <f t="shared" si="3"/>
        <v>3.4000000000000002E-2</v>
      </c>
      <c r="H25" s="384">
        <f t="shared" si="4"/>
        <v>1.1347758000000001E-2</v>
      </c>
      <c r="I25" s="384">
        <f t="shared" si="5"/>
        <v>1.8589725000000001E-2</v>
      </c>
      <c r="J25" s="384">
        <f t="shared" si="6"/>
        <v>1.6334399999999999E-2</v>
      </c>
      <c r="K25" s="384">
        <f t="shared" si="7"/>
        <v>1.5208118999999999E-2</v>
      </c>
      <c r="L25" s="384">
        <f t="shared" si="8"/>
        <v>2.8798700000000001E-3</v>
      </c>
      <c r="M25" s="384">
        <f t="shared" si="9"/>
        <v>1.7899999999999999E-4</v>
      </c>
      <c r="N25" s="384">
        <f t="shared" si="10"/>
        <v>0.48</v>
      </c>
      <c r="O25" s="384">
        <f t="shared" si="11"/>
        <v>1.5033797999999998E-2</v>
      </c>
    </row>
    <row r="26" spans="1:15" x14ac:dyDescent="0.35">
      <c r="A26" s="384" t="s">
        <v>690</v>
      </c>
      <c r="B26" s="493" t="s">
        <v>990</v>
      </c>
      <c r="C26" s="384" t="s">
        <v>1114</v>
      </c>
      <c r="D26" s="384">
        <f t="shared" si="0"/>
        <v>0.66</v>
      </c>
      <c r="E26" s="384">
        <f t="shared" si="1"/>
        <v>1.8000000000000002E-2</v>
      </c>
      <c r="F26" s="384">
        <f t="shared" si="2"/>
        <v>6.8000000000000005E-2</v>
      </c>
      <c r="G26" s="384">
        <f t="shared" si="3"/>
        <v>3.5000000000000003E-2</v>
      </c>
      <c r="H26" s="384">
        <f t="shared" si="4"/>
        <v>7.8260400000000011E-3</v>
      </c>
      <c r="I26" s="384">
        <f t="shared" si="5"/>
        <v>1.6666650000000002E-2</v>
      </c>
      <c r="J26" s="384">
        <f t="shared" si="6"/>
        <v>1.2449999999999999E-2</v>
      </c>
      <c r="K26" s="384">
        <f t="shared" si="7"/>
        <v>9.0409199999999992E-3</v>
      </c>
      <c r="L26" s="384">
        <f t="shared" si="8"/>
        <v>2.0981909999999997E-3</v>
      </c>
      <c r="M26" s="384">
        <f t="shared" si="9"/>
        <v>1.3783E-4</v>
      </c>
      <c r="N26" s="384">
        <f t="shared" si="10"/>
        <v>0.52</v>
      </c>
      <c r="O26" s="384">
        <f t="shared" si="11"/>
        <v>1.12824E-2</v>
      </c>
    </row>
    <row r="27" spans="1:15" s="407" customFormat="1" x14ac:dyDescent="0.35">
      <c r="B27" s="407" t="s">
        <v>180</v>
      </c>
      <c r="C27" s="407" t="s">
        <v>180</v>
      </c>
      <c r="D27" s="407">
        <f>_Ped_Ent_Speciale_01/100</f>
        <v>0</v>
      </c>
      <c r="E27" s="407">
        <f>_Ped_Ent_Speciale_02/100</f>
        <v>0</v>
      </c>
      <c r="F27" s="407">
        <f>_Ped_Ent_Speciale_03/100</f>
        <v>0</v>
      </c>
      <c r="G27" s="407">
        <f>_Ped_Ent_Speciale_04/100</f>
        <v>0</v>
      </c>
      <c r="H27" s="407">
        <f>_Ped_Ent_Speciale_05/100</f>
        <v>0</v>
      </c>
      <c r="I27" s="407">
        <f>_Ped_Ent_Speciale_06/100</f>
        <v>0</v>
      </c>
      <c r="J27" s="407">
        <f>_Ped_Ent_Speciale_07/100</f>
        <v>0</v>
      </c>
      <c r="K27" s="407">
        <f>_Ped_Ent_Speciale_08/100</f>
        <v>0</v>
      </c>
      <c r="L27" s="407">
        <f>_Ped_Ent_Speciale_09/100</f>
        <v>0</v>
      </c>
      <c r="M27" s="407">
        <f>_Ped_Ent_Speciale_10/100</f>
        <v>0</v>
      </c>
      <c r="N27" s="407">
        <f>_Ped_Ent_Speciale_11/100</f>
        <v>0</v>
      </c>
      <c r="O27" s="407">
        <f>_Ped_Ent_Speciale_12/100</f>
        <v>0</v>
      </c>
    </row>
    <row r="28" spans="1:15" x14ac:dyDescent="0.35">
      <c r="A28" s="384" t="s">
        <v>550</v>
      </c>
    </row>
    <row r="30" spans="1:15" x14ac:dyDescent="0.35">
      <c r="D30" s="384" t="s">
        <v>1059</v>
      </c>
    </row>
    <row r="31" spans="1:15" x14ac:dyDescent="0.35">
      <c r="A31" s="384" t="s">
        <v>551</v>
      </c>
    </row>
    <row r="32" spans="1:15" x14ac:dyDescent="0.35">
      <c r="B32" s="384" t="s">
        <v>647</v>
      </c>
      <c r="C32" s="384" t="str">
        <f>IF(A32&lt;&gt;"",A32&amp;": "&amp;B32,B32)</f>
        <v>Nutrilon Nenatal BMF</v>
      </c>
      <c r="D32" s="384">
        <f t="shared" ref="D32:D54" si="12">VLOOKUP(B32,tblVoedingPoeder,2,FALSE)/100</f>
        <v>3.47</v>
      </c>
      <c r="E32" s="384">
        <f t="shared" ref="E32:E54" si="13">VLOOKUP(B32,tblVoedingPoeder,3,FALSE)/100</f>
        <v>0.252</v>
      </c>
      <c r="F32" s="384">
        <f t="shared" ref="F32:F54" si="14">VLOOKUP(B32,tblVoedingPoeder,4,FALSE)/100</f>
        <v>0.622</v>
      </c>
      <c r="G32" s="384">
        <f t="shared" ref="G32:G54" si="15">VLOOKUP(B32,tblVoedingPoeder,5,FALSE)/100</f>
        <v>0</v>
      </c>
      <c r="H32" s="384">
        <f t="shared" ref="H32:H54" si="16">VLOOKUP(B32,tblVoedingPoeder,6,FALSE)*tblOmrekenNA/100</f>
        <v>0.34912834000000004</v>
      </c>
      <c r="I32" s="384">
        <f t="shared" ref="I32:I54" si="17">VLOOKUP(B32,tblVoedingPoeder,7,FALSE)*tblOmrekenK/100</f>
        <v>0.13538448</v>
      </c>
      <c r="J32" s="384">
        <f t="shared" ref="J32:J54" si="18">VLOOKUP(B32,tblVoedingPoeder,8,FALSE)*tblOmrekenCa/100</f>
        <v>0.37125899999999995</v>
      </c>
      <c r="K32" s="384">
        <f t="shared" ref="K32:K54" si="19">VLOOKUP(B32,tblVoedingPoeder,9,FALSE)*tblOmrekenP/100</f>
        <v>0.28156007999999999</v>
      </c>
      <c r="L32" s="384">
        <f t="shared" ref="L32:L54" si="20">VLOOKUP(B32,tblVoedingPoeder,10,FALSE)*tblOmrekenMg/100</f>
        <v>4.7312149999999997E-2</v>
      </c>
      <c r="M32" s="384">
        <f t="shared" ref="M32:M54" si="21">VLOOKUP(B32,tblVoedingPoeder,11,FALSE)*tblOmrekenFe/100</f>
        <v>0</v>
      </c>
      <c r="N32" s="384">
        <f t="shared" ref="N32:N54" si="22">VLOOKUP(B32,tblVoedingPoeder,12,FALSE)*tblOmrekenVitD/100</f>
        <v>46</v>
      </c>
      <c r="O32" s="384">
        <f t="shared" ref="O32:O54" si="23">VLOOKUP(B32,tblVoedingPoeder,13,FALSE)*tblOmrekenCl/100</f>
        <v>0.16162037999999998</v>
      </c>
    </row>
    <row r="33" spans="2:15" x14ac:dyDescent="0.35">
      <c r="B33" s="494" t="s">
        <v>991</v>
      </c>
      <c r="C33" s="384" t="str">
        <f t="shared" ref="C33:C52" si="24">IF(A33&lt;&gt;"",A33&amp;": "&amp;B33,B33)</f>
        <v>Hero Baby 1 NS Standaard</v>
      </c>
      <c r="D33" s="384">
        <f t="shared" si="12"/>
        <v>5.09</v>
      </c>
      <c r="E33" s="384">
        <f t="shared" si="13"/>
        <v>0.1</v>
      </c>
      <c r="F33" s="384">
        <f t="shared" si="14"/>
        <v>0.56000000000000005</v>
      </c>
      <c r="G33" s="384">
        <f t="shared" si="15"/>
        <v>0.27</v>
      </c>
      <c r="H33" s="384">
        <f t="shared" si="16"/>
        <v>5.2173600000000001E-2</v>
      </c>
      <c r="I33" s="384">
        <f t="shared" si="17"/>
        <v>0.11846142</v>
      </c>
      <c r="J33" s="384">
        <f t="shared" si="18"/>
        <v>8.4162000000000001E-2</v>
      </c>
      <c r="K33" s="384">
        <f t="shared" si="19"/>
        <v>6.4577999999999997E-2</v>
      </c>
      <c r="L33" s="384">
        <f t="shared" si="20"/>
        <v>1.2671428E-2</v>
      </c>
      <c r="M33" s="384">
        <f t="shared" si="21"/>
        <v>5.5489999999999999E-4</v>
      </c>
      <c r="N33" s="384">
        <f t="shared" si="22"/>
        <v>3.68</v>
      </c>
      <c r="O33" s="384">
        <f t="shared" si="23"/>
        <v>8.6874480000000004E-2</v>
      </c>
    </row>
    <row r="34" spans="2:15" x14ac:dyDescent="0.35">
      <c r="B34" s="494" t="s">
        <v>992</v>
      </c>
      <c r="C34" s="384" t="str">
        <f t="shared" si="24"/>
        <v>Hero Baby 2 NS Standaard</v>
      </c>
      <c r="D34" s="384">
        <f t="shared" si="12"/>
        <v>4.7</v>
      </c>
      <c r="E34" s="384">
        <f t="shared" si="13"/>
        <v>9.5000000000000001E-2</v>
      </c>
      <c r="F34" s="384">
        <f t="shared" si="14"/>
        <v>0.64</v>
      </c>
      <c r="G34" s="384">
        <f t="shared" si="15"/>
        <v>0.19</v>
      </c>
      <c r="H34" s="384">
        <f t="shared" si="16"/>
        <v>6.956480000000001E-2</v>
      </c>
      <c r="I34" s="384">
        <f t="shared" si="17"/>
        <v>0.14205113999999999</v>
      </c>
      <c r="J34" s="384">
        <f t="shared" si="18"/>
        <v>0.100845</v>
      </c>
      <c r="K34" s="384">
        <f t="shared" si="19"/>
        <v>7.8462270000000001E-2</v>
      </c>
      <c r="L34" s="384">
        <f t="shared" si="20"/>
        <v>2.139332E-2</v>
      </c>
      <c r="M34" s="384">
        <f t="shared" si="21"/>
        <v>1.4678E-3</v>
      </c>
      <c r="N34" s="384">
        <f t="shared" si="22"/>
        <v>3.44</v>
      </c>
      <c r="O34" s="384">
        <f t="shared" si="23"/>
        <v>8.3771819999999997E-2</v>
      </c>
    </row>
    <row r="35" spans="2:15" x14ac:dyDescent="0.35">
      <c r="B35" s="494" t="s">
        <v>993</v>
      </c>
      <c r="C35" s="384" t="str">
        <f t="shared" si="24"/>
        <v>Hero Baby 1 NS Comfort</v>
      </c>
      <c r="D35" s="384">
        <f t="shared" si="12"/>
        <v>5.03</v>
      </c>
      <c r="E35" s="384">
        <f t="shared" si="13"/>
        <v>0.11</v>
      </c>
      <c r="F35" s="384">
        <f t="shared" si="14"/>
        <v>0.52</v>
      </c>
      <c r="G35" s="384">
        <f t="shared" si="15"/>
        <v>0.27</v>
      </c>
      <c r="H35" s="384">
        <f t="shared" si="16"/>
        <v>5.2173600000000001E-2</v>
      </c>
      <c r="I35" s="384">
        <f t="shared" si="17"/>
        <v>0.11846142</v>
      </c>
      <c r="J35" s="384">
        <f t="shared" si="18"/>
        <v>8.4162000000000001E-2</v>
      </c>
      <c r="K35" s="384">
        <f t="shared" si="19"/>
        <v>6.4577999999999997E-2</v>
      </c>
      <c r="L35" s="384">
        <f t="shared" si="20"/>
        <v>1.2671428E-2</v>
      </c>
      <c r="M35" s="384">
        <f t="shared" si="21"/>
        <v>5.5489999999999999E-4</v>
      </c>
      <c r="N35" s="384">
        <f t="shared" si="22"/>
        <v>3.68</v>
      </c>
      <c r="O35" s="384">
        <f t="shared" si="23"/>
        <v>8.6874480000000004E-2</v>
      </c>
    </row>
    <row r="36" spans="2:15" x14ac:dyDescent="0.35">
      <c r="B36" s="494" t="s">
        <v>994</v>
      </c>
      <c r="C36" s="384" t="str">
        <f t="shared" si="24"/>
        <v>Hero Baby 2 NS Comfort</v>
      </c>
      <c r="D36" s="384">
        <f t="shared" si="12"/>
        <v>5.03</v>
      </c>
      <c r="E36" s="384">
        <f t="shared" si="13"/>
        <v>0.11</v>
      </c>
      <c r="F36" s="384">
        <f t="shared" si="14"/>
        <v>0.52</v>
      </c>
      <c r="G36" s="384">
        <f t="shared" si="15"/>
        <v>0.27</v>
      </c>
      <c r="H36" s="384">
        <f t="shared" si="16"/>
        <v>5.2173600000000001E-2</v>
      </c>
      <c r="I36" s="384">
        <f t="shared" si="17"/>
        <v>0.11846142</v>
      </c>
      <c r="J36" s="384">
        <f t="shared" si="18"/>
        <v>8.4162000000000001E-2</v>
      </c>
      <c r="K36" s="384">
        <f t="shared" si="19"/>
        <v>6.4577999999999997E-2</v>
      </c>
      <c r="L36" s="384">
        <f t="shared" si="20"/>
        <v>1.2671428E-2</v>
      </c>
      <c r="M36" s="384">
        <f t="shared" si="21"/>
        <v>1.5215000000000001E-3</v>
      </c>
      <c r="N36" s="384">
        <f t="shared" si="22"/>
        <v>3.68</v>
      </c>
      <c r="O36" s="384">
        <f t="shared" si="23"/>
        <v>8.6874480000000004E-2</v>
      </c>
    </row>
    <row r="37" spans="2:15" x14ac:dyDescent="0.35">
      <c r="B37" s="494" t="s">
        <v>995</v>
      </c>
      <c r="C37" s="384" t="str">
        <f t="shared" si="24"/>
        <v>Hero Baby 1 NS Pep</v>
      </c>
      <c r="D37" s="384">
        <f t="shared" si="12"/>
        <v>4.93</v>
      </c>
      <c r="E37" s="384">
        <f t="shared" si="13"/>
        <v>0.13</v>
      </c>
      <c r="F37" s="384">
        <f t="shared" si="14"/>
        <v>0.53</v>
      </c>
      <c r="G37" s="384">
        <f t="shared" si="15"/>
        <v>0.26</v>
      </c>
      <c r="H37" s="384">
        <f t="shared" si="16"/>
        <v>8.8695120000000002E-2</v>
      </c>
      <c r="I37" s="384">
        <f t="shared" si="17"/>
        <v>0.1410255</v>
      </c>
      <c r="J37" s="384">
        <f t="shared" si="18"/>
        <v>9.9599999999999994E-2</v>
      </c>
      <c r="K37" s="384">
        <f t="shared" si="19"/>
        <v>7.4264699999999989E-2</v>
      </c>
      <c r="L37" s="384">
        <f t="shared" si="20"/>
        <v>2.0570499999999999E-2</v>
      </c>
      <c r="M37" s="384">
        <f t="shared" si="21"/>
        <v>6.265E-4</v>
      </c>
      <c r="N37" s="384">
        <f t="shared" si="22"/>
        <v>3.12</v>
      </c>
      <c r="O37" s="384">
        <f t="shared" si="23"/>
        <v>8.8848899999999981E-2</v>
      </c>
    </row>
    <row r="38" spans="2:15" x14ac:dyDescent="0.35">
      <c r="B38" s="494" t="s">
        <v>996</v>
      </c>
      <c r="C38" s="384" t="str">
        <f t="shared" si="24"/>
        <v>Hero Baby 2 NS Pep</v>
      </c>
      <c r="D38" s="384">
        <f t="shared" si="12"/>
        <v>4.93</v>
      </c>
      <c r="E38" s="384">
        <f t="shared" si="13"/>
        <v>0.13</v>
      </c>
      <c r="F38" s="384">
        <f t="shared" si="14"/>
        <v>0.53</v>
      </c>
      <c r="G38" s="384">
        <f t="shared" si="15"/>
        <v>0.26</v>
      </c>
      <c r="H38" s="384">
        <f t="shared" si="16"/>
        <v>8.8695120000000002E-2</v>
      </c>
      <c r="I38" s="384">
        <f t="shared" si="17"/>
        <v>0.1410255</v>
      </c>
      <c r="J38" s="384">
        <f t="shared" si="18"/>
        <v>9.9599999999999994E-2</v>
      </c>
      <c r="K38" s="384">
        <f t="shared" si="19"/>
        <v>7.4264699999999989E-2</v>
      </c>
      <c r="L38" s="384">
        <f t="shared" si="20"/>
        <v>2.0570499999999999E-2</v>
      </c>
      <c r="M38" s="384">
        <f t="shared" si="21"/>
        <v>1.2708999999999997E-3</v>
      </c>
      <c r="N38" s="384">
        <f t="shared" si="22"/>
        <v>3.12</v>
      </c>
      <c r="O38" s="384">
        <f t="shared" si="23"/>
        <v>8.8848899999999981E-2</v>
      </c>
    </row>
    <row r="39" spans="2:15" x14ac:dyDescent="0.35">
      <c r="B39" s="494" t="s">
        <v>997</v>
      </c>
      <c r="C39" s="384" t="str">
        <f t="shared" si="24"/>
        <v>Nutramigen 1 LGG pdr</v>
      </c>
      <c r="D39" s="384">
        <f t="shared" si="12"/>
        <v>5</v>
      </c>
      <c r="E39" s="384">
        <f t="shared" si="13"/>
        <v>0.14000000000000001</v>
      </c>
      <c r="F39" s="384">
        <f t="shared" si="14"/>
        <v>0.55000000000000004</v>
      </c>
      <c r="G39" s="384">
        <f t="shared" si="15"/>
        <v>0.25</v>
      </c>
      <c r="H39" s="384">
        <f t="shared" si="16"/>
        <v>0.1043472</v>
      </c>
      <c r="I39" s="384">
        <f t="shared" si="17"/>
        <v>0.1564101</v>
      </c>
      <c r="J39" s="384">
        <f t="shared" si="18"/>
        <v>0.14068499999999998</v>
      </c>
      <c r="K39" s="384">
        <f t="shared" si="19"/>
        <v>0.12592709999999999</v>
      </c>
      <c r="L39" s="384">
        <f t="shared" si="20"/>
        <v>2.0570499999999999E-2</v>
      </c>
      <c r="M39" s="384">
        <f t="shared" si="21"/>
        <v>1.611E-3</v>
      </c>
      <c r="N39" s="384">
        <f t="shared" si="22"/>
        <v>3</v>
      </c>
      <c r="O39" s="384">
        <f t="shared" si="23"/>
        <v>0.13538879999999998</v>
      </c>
    </row>
    <row r="40" spans="2:15" x14ac:dyDescent="0.35">
      <c r="B40" s="494" t="s">
        <v>38</v>
      </c>
      <c r="C40" s="384" t="str">
        <f t="shared" si="24"/>
        <v>Nutramigen 2 LGG pdr</v>
      </c>
      <c r="D40" s="384">
        <f t="shared" si="12"/>
        <v>4.66</v>
      </c>
      <c r="E40" s="384">
        <f t="shared" si="13"/>
        <v>0.11599999999999999</v>
      </c>
      <c r="F40" s="384">
        <f t="shared" si="14"/>
        <v>0.59</v>
      </c>
      <c r="G40" s="384">
        <f t="shared" si="15"/>
        <v>0.2</v>
      </c>
      <c r="H40" s="384">
        <f t="shared" si="16"/>
        <v>7.478216E-2</v>
      </c>
      <c r="I40" s="384">
        <f t="shared" si="17"/>
        <v>0.14564088</v>
      </c>
      <c r="J40" s="384">
        <f t="shared" si="18"/>
        <v>0.15886199999999998</v>
      </c>
      <c r="K40" s="384">
        <f t="shared" si="19"/>
        <v>0.10849103999999998</v>
      </c>
      <c r="L40" s="384">
        <f t="shared" si="20"/>
        <v>1.9336269999999999E-2</v>
      </c>
      <c r="M40" s="384">
        <f t="shared" si="21"/>
        <v>1.4678E-3</v>
      </c>
      <c r="N40" s="384">
        <f t="shared" si="22"/>
        <v>2.92</v>
      </c>
      <c r="O40" s="384">
        <f t="shared" si="23"/>
        <v>0.10520837999999999</v>
      </c>
    </row>
    <row r="41" spans="2:15" x14ac:dyDescent="0.35">
      <c r="B41" s="494" t="s">
        <v>998</v>
      </c>
      <c r="C41" s="384" t="str">
        <f t="shared" si="24"/>
        <v>Nutrison Advanced Peptisorb Powder</v>
      </c>
      <c r="D41" s="384">
        <f t="shared" si="12"/>
        <v>4.0199999999999996</v>
      </c>
      <c r="E41" s="384">
        <f t="shared" si="13"/>
        <v>0.14699999999999999</v>
      </c>
      <c r="F41" s="384">
        <f t="shared" si="14"/>
        <v>0.71</v>
      </c>
      <c r="G41" s="384">
        <f t="shared" si="15"/>
        <v>6.7000000000000004E-2</v>
      </c>
      <c r="H41" s="384">
        <f t="shared" si="16"/>
        <v>0.17478156000000003</v>
      </c>
      <c r="I41" s="384">
        <f t="shared" si="17"/>
        <v>0.15461522999999999</v>
      </c>
      <c r="J41" s="384">
        <f t="shared" si="18"/>
        <v>8.0177999999999999E-2</v>
      </c>
      <c r="K41" s="384">
        <f t="shared" si="19"/>
        <v>8.6211629999999997E-2</v>
      </c>
      <c r="L41" s="384">
        <f t="shared" si="20"/>
        <v>3.4558439999999996E-2</v>
      </c>
      <c r="M41" s="384">
        <f t="shared" si="21"/>
        <v>1.1455999999999999E-3</v>
      </c>
      <c r="N41" s="384">
        <f t="shared" si="22"/>
        <v>1.1200000000000001</v>
      </c>
      <c r="O41" s="384">
        <f t="shared" si="23"/>
        <v>0.14187617999999999</v>
      </c>
    </row>
    <row r="42" spans="2:15" x14ac:dyDescent="0.35">
      <c r="B42" s="494" t="s">
        <v>999</v>
      </c>
      <c r="C42" s="384" t="str">
        <f t="shared" si="24"/>
        <v>Nutrilon Pepti Junior pdr</v>
      </c>
      <c r="D42" s="384">
        <f t="shared" si="12"/>
        <v>5.15</v>
      </c>
      <c r="E42" s="384">
        <f t="shared" si="13"/>
        <v>0.14000000000000001</v>
      </c>
      <c r="F42" s="384">
        <f t="shared" si="14"/>
        <v>0.53400000000000003</v>
      </c>
      <c r="G42" s="384">
        <f t="shared" si="15"/>
        <v>0.27300000000000002</v>
      </c>
      <c r="H42" s="384">
        <f t="shared" si="16"/>
        <v>6.0869199999999998E-2</v>
      </c>
      <c r="I42" s="384">
        <f t="shared" si="17"/>
        <v>0.12999987000000002</v>
      </c>
      <c r="J42" s="384">
        <f t="shared" si="18"/>
        <v>9.7110000000000002E-2</v>
      </c>
      <c r="K42" s="384">
        <f t="shared" si="19"/>
        <v>7.0390019999999998E-2</v>
      </c>
      <c r="L42" s="384">
        <f t="shared" si="20"/>
        <v>1.6456399999999996E-2</v>
      </c>
      <c r="M42" s="384">
        <f t="shared" si="21"/>
        <v>1.0739999999999999E-3</v>
      </c>
      <c r="N42" s="384">
        <f t="shared" si="22"/>
        <v>3.92</v>
      </c>
      <c r="O42" s="384">
        <f t="shared" si="23"/>
        <v>8.7438599999999991E-2</v>
      </c>
    </row>
    <row r="43" spans="2:15" x14ac:dyDescent="0.35">
      <c r="B43" s="494" t="s">
        <v>1000</v>
      </c>
      <c r="C43" s="384" t="str">
        <f t="shared" si="24"/>
        <v>Nutrilon Nenatal Start pdr</v>
      </c>
      <c r="D43" s="384">
        <f t="shared" si="12"/>
        <v>4.74</v>
      </c>
      <c r="E43" s="384">
        <f t="shared" si="13"/>
        <v>0.156</v>
      </c>
      <c r="F43" s="384">
        <f t="shared" si="14"/>
        <v>0.22899999999999998</v>
      </c>
      <c r="G43" s="384">
        <f t="shared" si="15"/>
        <v>0.498</v>
      </c>
      <c r="H43" s="384">
        <f t="shared" si="16"/>
        <v>0.1804337</v>
      </c>
      <c r="I43" s="384">
        <f t="shared" si="17"/>
        <v>0.12153833999999999</v>
      </c>
      <c r="J43" s="384">
        <f t="shared" si="18"/>
        <v>0.14765699999999998</v>
      </c>
      <c r="K43" s="384">
        <f t="shared" si="19"/>
        <v>0.10719947999999999</v>
      </c>
      <c r="L43" s="384">
        <f t="shared" si="20"/>
        <v>1.9336269999999999E-2</v>
      </c>
      <c r="M43" s="384">
        <f t="shared" si="21"/>
        <v>1.7004999999999998E-3</v>
      </c>
      <c r="N43" s="384">
        <f t="shared" si="22"/>
        <v>7.2</v>
      </c>
      <c r="O43" s="384">
        <f t="shared" si="23"/>
        <v>0.14215823999999999</v>
      </c>
    </row>
    <row r="44" spans="2:15" x14ac:dyDescent="0.35">
      <c r="B44" s="494" t="s">
        <v>987</v>
      </c>
      <c r="C44" s="384" t="str">
        <f t="shared" si="24"/>
        <v>Nutrilon Nenatal 1</v>
      </c>
      <c r="D44" s="384">
        <f t="shared" si="12"/>
        <v>4.91</v>
      </c>
      <c r="E44" s="384">
        <f t="shared" si="13"/>
        <v>0.13400000000000001</v>
      </c>
      <c r="F44" s="384">
        <f t="shared" si="14"/>
        <v>0.49099999999999999</v>
      </c>
      <c r="G44" s="384">
        <f t="shared" si="15"/>
        <v>0.26</v>
      </c>
      <c r="H44" s="384">
        <f t="shared" si="16"/>
        <v>7.9564740000000009E-2</v>
      </c>
      <c r="I44" s="384">
        <f t="shared" si="17"/>
        <v>0.12923064000000001</v>
      </c>
      <c r="J44" s="384">
        <f t="shared" si="18"/>
        <v>0.141681</v>
      </c>
      <c r="K44" s="384">
        <f t="shared" si="19"/>
        <v>9.9450120000000003E-2</v>
      </c>
      <c r="L44" s="384">
        <f t="shared" si="20"/>
        <v>1.8924859999999998E-2</v>
      </c>
      <c r="M44" s="384">
        <f t="shared" si="21"/>
        <v>1.4141000000000002E-3</v>
      </c>
      <c r="N44" s="384">
        <f t="shared" si="22"/>
        <v>4.4000000000000004</v>
      </c>
      <c r="O44" s="384">
        <f t="shared" si="23"/>
        <v>0.1015416</v>
      </c>
    </row>
    <row r="45" spans="2:15" x14ac:dyDescent="0.35">
      <c r="B45" s="464" t="s">
        <v>1001</v>
      </c>
      <c r="C45" s="384" t="str">
        <f t="shared" si="24"/>
        <v>Nutrilon Nenatal Protein Fortifier</v>
      </c>
      <c r="D45" s="384">
        <f t="shared" si="12"/>
        <v>3.38</v>
      </c>
      <c r="E45" s="384">
        <f t="shared" si="13"/>
        <v>0.82099999999999995</v>
      </c>
      <c r="F45" s="384">
        <f t="shared" si="14"/>
        <v>2.2000000000000002E-2</v>
      </c>
      <c r="G45" s="384">
        <f t="shared" si="15"/>
        <v>1E-3</v>
      </c>
      <c r="H45" s="384">
        <f t="shared" si="16"/>
        <v>0.33738928000000001</v>
      </c>
      <c r="I45" s="384">
        <f t="shared" si="17"/>
        <v>0.31435866000000001</v>
      </c>
      <c r="J45" s="384">
        <f t="shared" si="18"/>
        <v>0.13047599999999998</v>
      </c>
      <c r="K45" s="384">
        <f t="shared" si="19"/>
        <v>0.16661123999999997</v>
      </c>
      <c r="L45" s="384">
        <f t="shared" si="20"/>
        <v>1.8924859999999998E-2</v>
      </c>
      <c r="M45" s="384">
        <f t="shared" si="21"/>
        <v>0</v>
      </c>
      <c r="N45" s="384">
        <f t="shared" si="22"/>
        <v>0</v>
      </c>
      <c r="O45" s="384">
        <f t="shared" si="23"/>
        <v>1.8615959999999997E-2</v>
      </c>
    </row>
    <row r="46" spans="2:15" x14ac:dyDescent="0.35">
      <c r="B46" s="464" t="s">
        <v>1002</v>
      </c>
      <c r="C46" s="384" t="str">
        <f t="shared" si="24"/>
        <v>Calogen neutraal</v>
      </c>
      <c r="D46" s="384">
        <f t="shared" si="12"/>
        <v>4.5</v>
      </c>
      <c r="E46" s="384">
        <f t="shared" si="13"/>
        <v>0</v>
      </c>
      <c r="F46" s="384">
        <f t="shared" si="14"/>
        <v>0</v>
      </c>
      <c r="G46" s="384">
        <f t="shared" si="15"/>
        <v>0.5</v>
      </c>
      <c r="H46" s="384">
        <f t="shared" si="16"/>
        <v>3.04346E-3</v>
      </c>
      <c r="I46" s="384">
        <f t="shared" si="17"/>
        <v>0</v>
      </c>
      <c r="J46" s="384">
        <f t="shared" si="18"/>
        <v>0</v>
      </c>
      <c r="K46" s="384">
        <f t="shared" si="19"/>
        <v>0</v>
      </c>
      <c r="L46" s="384">
        <f t="shared" si="20"/>
        <v>0</v>
      </c>
      <c r="M46" s="384">
        <f t="shared" si="21"/>
        <v>0</v>
      </c>
      <c r="N46" s="384">
        <f t="shared" si="22"/>
        <v>0</v>
      </c>
      <c r="O46" s="384">
        <f t="shared" si="23"/>
        <v>2.8206000000000001E-5</v>
      </c>
    </row>
    <row r="47" spans="2:15" x14ac:dyDescent="0.35">
      <c r="B47" s="464" t="s">
        <v>1003</v>
      </c>
      <c r="C47" s="384" t="str">
        <f t="shared" si="24"/>
        <v>Liquigen</v>
      </c>
      <c r="D47" s="384">
        <f t="shared" si="12"/>
        <v>4.5</v>
      </c>
      <c r="E47" s="384">
        <f t="shared" si="13"/>
        <v>0</v>
      </c>
      <c r="F47" s="384">
        <f t="shared" si="14"/>
        <v>0</v>
      </c>
      <c r="G47" s="384">
        <f t="shared" si="15"/>
        <v>0.5</v>
      </c>
      <c r="H47" s="384">
        <f t="shared" si="16"/>
        <v>2.1739000000000003E-3</v>
      </c>
      <c r="I47" s="384">
        <f t="shared" si="17"/>
        <v>2.5641000000000001E-5</v>
      </c>
      <c r="J47" s="384">
        <f t="shared" si="18"/>
        <v>7.4699999999999986E-5</v>
      </c>
      <c r="K47" s="384">
        <f t="shared" si="19"/>
        <v>0</v>
      </c>
      <c r="L47" s="384">
        <f t="shared" si="20"/>
        <v>0</v>
      </c>
      <c r="M47" s="384">
        <f t="shared" si="21"/>
        <v>0</v>
      </c>
      <c r="N47" s="384">
        <f t="shared" si="22"/>
        <v>0</v>
      </c>
      <c r="O47" s="384">
        <f t="shared" si="23"/>
        <v>2.8205999999999997E-6</v>
      </c>
    </row>
    <row r="48" spans="2:15" x14ac:dyDescent="0.35">
      <c r="B48" s="464" t="s">
        <v>585</v>
      </c>
      <c r="C48" s="384" t="str">
        <f t="shared" si="24"/>
        <v>Fantomalt</v>
      </c>
      <c r="D48" s="384">
        <f t="shared" si="12"/>
        <v>3.84</v>
      </c>
      <c r="E48" s="384">
        <f t="shared" si="13"/>
        <v>0</v>
      </c>
      <c r="F48" s="384">
        <f t="shared" si="14"/>
        <v>0.96</v>
      </c>
      <c r="G48" s="384">
        <f t="shared" si="15"/>
        <v>0</v>
      </c>
      <c r="H48" s="384">
        <f t="shared" si="16"/>
        <v>8.6956000000000002E-4</v>
      </c>
      <c r="I48" s="384">
        <f t="shared" si="17"/>
        <v>0</v>
      </c>
      <c r="J48" s="384">
        <f t="shared" si="18"/>
        <v>0</v>
      </c>
      <c r="K48" s="384">
        <f t="shared" si="19"/>
        <v>0</v>
      </c>
      <c r="L48" s="384">
        <f t="shared" si="20"/>
        <v>0</v>
      </c>
      <c r="M48" s="384">
        <f t="shared" si="21"/>
        <v>0</v>
      </c>
      <c r="N48" s="384">
        <f t="shared" si="22"/>
        <v>0</v>
      </c>
      <c r="O48" s="384">
        <f t="shared" si="23"/>
        <v>0</v>
      </c>
    </row>
    <row r="49" spans="2:15" x14ac:dyDescent="0.35">
      <c r="B49" s="464" t="s">
        <v>1004</v>
      </c>
      <c r="C49" s="384" t="str">
        <f t="shared" si="24"/>
        <v>Nutrilon Pepti 1 pdr</v>
      </c>
      <c r="D49" s="384">
        <f t="shared" si="12"/>
        <v>4.93</v>
      </c>
      <c r="E49" s="384">
        <f t="shared" si="13"/>
        <v>0.11599999999999999</v>
      </c>
      <c r="F49" s="384">
        <f t="shared" si="14"/>
        <v>0.51800000000000002</v>
      </c>
      <c r="G49" s="384">
        <f t="shared" si="15"/>
        <v>0.25700000000000001</v>
      </c>
      <c r="H49" s="384">
        <f t="shared" si="16"/>
        <v>6.5216999999999997E-2</v>
      </c>
      <c r="I49" s="384">
        <f t="shared" si="17"/>
        <v>0.15333318000000001</v>
      </c>
      <c r="J49" s="384">
        <f t="shared" si="18"/>
        <v>8.6153999999999994E-2</v>
      </c>
      <c r="K49" s="384">
        <f t="shared" si="19"/>
        <v>6.1671990000000003E-2</v>
      </c>
      <c r="L49" s="384">
        <f t="shared" si="20"/>
        <v>1.6044989999999999E-2</v>
      </c>
      <c r="M49" s="384">
        <f t="shared" si="21"/>
        <v>6.981E-4</v>
      </c>
      <c r="N49" s="384">
        <f t="shared" si="22"/>
        <v>3.76</v>
      </c>
      <c r="O49" s="384">
        <f t="shared" si="23"/>
        <v>8.1797399999999992E-2</v>
      </c>
    </row>
    <row r="50" spans="2:15" x14ac:dyDescent="0.35">
      <c r="B50" s="464" t="s">
        <v>1005</v>
      </c>
      <c r="C50" s="384" t="str">
        <f t="shared" si="24"/>
        <v>Nutrilon Hypoallergeen 1 pdr</v>
      </c>
      <c r="D50" s="384">
        <f t="shared" si="12"/>
        <v>4.83</v>
      </c>
      <c r="E50" s="384">
        <f t="shared" si="13"/>
        <v>0.11</v>
      </c>
      <c r="F50" s="384">
        <f t="shared" si="14"/>
        <v>0.52500000000000002</v>
      </c>
      <c r="G50" s="384">
        <f t="shared" si="15"/>
        <v>0.24600000000000002</v>
      </c>
      <c r="H50" s="384">
        <f t="shared" si="16"/>
        <v>7.8695180000000003E-2</v>
      </c>
      <c r="I50" s="384">
        <f t="shared" si="17"/>
        <v>0.1358973</v>
      </c>
      <c r="J50" s="384">
        <f t="shared" si="18"/>
        <v>8.4410999999999986E-2</v>
      </c>
      <c r="K50" s="384">
        <f t="shared" si="19"/>
        <v>6.1349099999999997E-2</v>
      </c>
      <c r="L50" s="384">
        <f t="shared" si="20"/>
        <v>1.522217E-2</v>
      </c>
      <c r="M50" s="384">
        <f t="shared" si="21"/>
        <v>6.981E-4</v>
      </c>
      <c r="N50" s="384">
        <f t="shared" si="22"/>
        <v>3.52</v>
      </c>
      <c r="O50" s="384">
        <f t="shared" si="23"/>
        <v>8.518212E-2</v>
      </c>
    </row>
    <row r="51" spans="2:15" x14ac:dyDescent="0.35">
      <c r="B51" s="464" t="s">
        <v>1006</v>
      </c>
      <c r="C51" s="384" t="str">
        <f t="shared" si="24"/>
        <v>Neocate LCP</v>
      </c>
      <c r="D51" s="384">
        <f t="shared" si="12"/>
        <v>4.83</v>
      </c>
      <c r="E51" s="384">
        <f t="shared" si="13"/>
        <v>0.13</v>
      </c>
      <c r="F51" s="384">
        <f t="shared" si="14"/>
        <v>0.52500000000000002</v>
      </c>
      <c r="G51" s="384">
        <f t="shared" si="15"/>
        <v>0.245</v>
      </c>
      <c r="H51" s="384">
        <f t="shared" si="16"/>
        <v>8.2173419999999997E-2</v>
      </c>
      <c r="I51" s="384">
        <f t="shared" si="17"/>
        <v>0.13461524999999999</v>
      </c>
      <c r="J51" s="384">
        <f t="shared" si="18"/>
        <v>0.11827499999999999</v>
      </c>
      <c r="K51" s="384">
        <f t="shared" si="19"/>
        <v>0.11010548999999999</v>
      </c>
      <c r="L51" s="384">
        <f t="shared" si="20"/>
        <v>2.0981909999999999E-2</v>
      </c>
      <c r="M51" s="384">
        <f t="shared" si="21"/>
        <v>1.2977500000000001E-3</v>
      </c>
      <c r="N51" s="384">
        <f t="shared" si="22"/>
        <v>3.52</v>
      </c>
      <c r="O51" s="384">
        <f t="shared" si="23"/>
        <v>0.10887516</v>
      </c>
    </row>
    <row r="52" spans="2:15" x14ac:dyDescent="0.35">
      <c r="B52" s="464" t="s">
        <v>1007</v>
      </c>
      <c r="C52" s="384" t="str">
        <f t="shared" si="24"/>
        <v>Neocate Junior</v>
      </c>
      <c r="D52" s="384">
        <f t="shared" si="12"/>
        <v>4.75</v>
      </c>
      <c r="E52" s="384">
        <f t="shared" si="13"/>
        <v>0.13300000000000001</v>
      </c>
      <c r="F52" s="384">
        <f t="shared" si="14"/>
        <v>0.56000000000000005</v>
      </c>
      <c r="G52" s="384">
        <f t="shared" si="15"/>
        <v>0.22</v>
      </c>
      <c r="H52" s="384">
        <f t="shared" si="16"/>
        <v>0.1239123</v>
      </c>
      <c r="I52" s="384">
        <f t="shared" si="17"/>
        <v>0.13999986</v>
      </c>
      <c r="J52" s="384">
        <f t="shared" si="18"/>
        <v>0.106572</v>
      </c>
      <c r="K52" s="384">
        <f t="shared" si="19"/>
        <v>9.9773009999999995E-2</v>
      </c>
      <c r="L52" s="384">
        <f t="shared" si="20"/>
        <v>2.7358764999999997E-2</v>
      </c>
      <c r="M52" s="384">
        <f t="shared" si="21"/>
        <v>1.0203E-3</v>
      </c>
      <c r="N52" s="384">
        <f t="shared" si="22"/>
        <v>2.48</v>
      </c>
      <c r="O52" s="384">
        <f t="shared" si="23"/>
        <v>0.12326022</v>
      </c>
    </row>
    <row r="53" spans="2:15" x14ac:dyDescent="0.35">
      <c r="B53" s="481" t="s">
        <v>1116</v>
      </c>
      <c r="C53" s="481" t="s">
        <v>1060</v>
      </c>
      <c r="D53" s="384">
        <f t="shared" si="12"/>
        <v>4.84</v>
      </c>
      <c r="E53" s="384">
        <f t="shared" si="13"/>
        <v>9.6999999999999989E-2</v>
      </c>
      <c r="F53" s="384">
        <f t="shared" si="14"/>
        <v>0.53799999999999992</v>
      </c>
      <c r="G53" s="384">
        <f t="shared" si="15"/>
        <v>0.247</v>
      </c>
      <c r="H53" s="384">
        <f t="shared" si="16"/>
        <v>5.43475E-2</v>
      </c>
      <c r="I53" s="384">
        <f t="shared" si="17"/>
        <v>0.12846141</v>
      </c>
      <c r="J53" s="384">
        <f t="shared" si="18"/>
        <v>0.10408199999999999</v>
      </c>
      <c r="K53" s="384">
        <f t="shared" si="19"/>
        <v>7.6524929999999991E-2</v>
      </c>
      <c r="L53" s="384">
        <f t="shared" si="20"/>
        <v>1.522217E-2</v>
      </c>
      <c r="M53" s="384">
        <f t="shared" si="21"/>
        <v>6.981E-4</v>
      </c>
      <c r="N53" s="384">
        <f t="shared" si="22"/>
        <v>3.48</v>
      </c>
      <c r="O53" s="384">
        <f t="shared" si="23"/>
        <v>8.5746240000000001E-2</v>
      </c>
    </row>
    <row r="54" spans="2:15" x14ac:dyDescent="0.35">
      <c r="B54" s="481" t="s">
        <v>1061</v>
      </c>
      <c r="C54" s="481" t="s">
        <v>1061</v>
      </c>
      <c r="D54" s="384">
        <f t="shared" si="12"/>
        <v>3.18</v>
      </c>
      <c r="E54" s="384">
        <f t="shared" si="13"/>
        <v>0</v>
      </c>
      <c r="F54" s="384">
        <f t="shared" si="14"/>
        <v>0.66200000000000003</v>
      </c>
      <c r="G54" s="384">
        <f t="shared" si="15"/>
        <v>3.0000000000000001E-3</v>
      </c>
      <c r="H54" s="384">
        <f t="shared" si="16"/>
        <v>2.6086799999999999E-3</v>
      </c>
      <c r="I54" s="384">
        <f t="shared" si="17"/>
        <v>2.3333310000000003E-2</v>
      </c>
      <c r="J54" s="384">
        <f t="shared" si="18"/>
        <v>8.3415000000000003E-2</v>
      </c>
      <c r="K54" s="384">
        <f t="shared" si="19"/>
        <v>3.8746799999999997E-3</v>
      </c>
      <c r="L54" s="384">
        <f t="shared" si="20"/>
        <v>3.7438309999999995E-3</v>
      </c>
      <c r="M54" s="384">
        <f t="shared" si="21"/>
        <v>1.5751999999999999E-3</v>
      </c>
      <c r="N54" s="384">
        <f t="shared" si="22"/>
        <v>0</v>
      </c>
      <c r="O54" s="384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397" customWidth="1"/>
    <col min="2" max="9" width="10.73046875" style="397" customWidth="1"/>
    <col min="10" max="11" width="2.1328125" style="397" customWidth="1"/>
    <col min="12" max="13" width="10.73046875" style="397" customWidth="1"/>
    <col min="14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326</v>
      </c>
      <c r="D2" s="202">
        <f ca="1">Var_AfspraakDatum</f>
        <v>42739</v>
      </c>
      <c r="E2" s="203"/>
      <c r="F2" s="201" t="s">
        <v>327</v>
      </c>
      <c r="G2" s="199"/>
      <c r="H2" s="204">
        <f>_Pat_OpnDatum</f>
        <v>42370</v>
      </c>
      <c r="I2" s="201" t="str">
        <f ca="1">"ICU-dag: "&amp;Var_AfspraakDatum-_Pat_OpnDatum+1</f>
        <v>ICU-dag: 370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 xml:space="preserve">, </v>
      </c>
      <c r="E3" s="206"/>
      <c r="F3" s="201" t="s">
        <v>334</v>
      </c>
      <c r="G3" s="199"/>
      <c r="H3" s="204">
        <f>__4_GebDatum</f>
        <v>0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369</v>
      </c>
      <c r="D4" s="207">
        <f>__0_PatNum</f>
        <v>0</v>
      </c>
      <c r="E4" s="203"/>
      <c r="F4" s="201" t="s">
        <v>296</v>
      </c>
      <c r="G4" s="208"/>
      <c r="H4" s="209" t="str">
        <f ca="1">PatDetails!F2</f>
        <v/>
      </c>
      <c r="I4" s="201"/>
      <c r="J4" s="201" t="str">
        <f>"Lichamelijk oppervlak: "&amp;ROUND(POWER(_Pat_Gewicht/10,0.425)*POWER(((_Pat_Lengte/100)*100),0.725)*0.007184,2)&amp;" m2"</f>
        <v>Lichamelijk oppervlak: 0,46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549</v>
      </c>
      <c r="D5" s="217">
        <f>__1_Bed</f>
        <v>0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1" customFormat="1" x14ac:dyDescent="0.35"/>
    <row r="7" spans="1:82" s="631" customFormat="1" x14ac:dyDescent="0.35"/>
    <row r="8" spans="1:82" ht="11.25" customHeight="1" x14ac:dyDescent="0.4">
      <c r="A8" s="450"/>
      <c r="B8" s="393" t="s">
        <v>159</v>
      </c>
      <c r="C8" s="394"/>
      <c r="D8" s="395" t="s">
        <v>767</v>
      </c>
      <c r="E8" s="394"/>
      <c r="F8" s="394"/>
      <c r="G8" s="392"/>
      <c r="H8" s="396"/>
      <c r="I8" s="392"/>
      <c r="J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765</v>
      </c>
      <c r="C10" s="399"/>
      <c r="D10" s="330" t="s">
        <v>475</v>
      </c>
      <c r="E10" s="399"/>
      <c r="F10" s="330" t="s">
        <v>476</v>
      </c>
      <c r="G10" s="399"/>
      <c r="H10" s="330" t="s">
        <v>160</v>
      </c>
      <c r="I10" s="399"/>
      <c r="J10" s="330"/>
      <c r="K10" s="399"/>
      <c r="L10" s="330" t="s">
        <v>18</v>
      </c>
      <c r="M10" s="399"/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</row>
    <row r="17" spans="2:13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</row>
    <row r="18" spans="2:13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</row>
    <row r="19" spans="2:13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</row>
    <row r="20" spans="2:13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</row>
    <row r="21" spans="2:13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</row>
    <row r="22" spans="2:13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</row>
    <row r="23" spans="2:13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</row>
    <row r="24" spans="2:13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</row>
    <row r="25" spans="2:13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</row>
    <row r="26" spans="2:13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</row>
    <row r="27" spans="2:13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</row>
    <row r="28" spans="2:13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</row>
    <row r="29" spans="2:13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</row>
    <row r="30" spans="2:13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</row>
    <row r="31" spans="2:13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</row>
    <row r="32" spans="2:13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</row>
    <row r="33" spans="2:13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</row>
    <row r="34" spans="2:13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</row>
    <row r="35" spans="2:13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</row>
    <row r="36" spans="2:13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</row>
    <row r="37" spans="2:13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</row>
    <row r="38" spans="2:13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</row>
    <row r="39" spans="2:13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</row>
    <row r="40" spans="2:13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</row>
    <row r="41" spans="2:13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</row>
    <row r="42" spans="2:13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</row>
    <row r="43" spans="2:13" ht="24.8" customHeight="1" x14ac:dyDescent="0.35">
      <c r="B43" s="402" t="s">
        <v>313</v>
      </c>
      <c r="C43" s="397" t="str">
        <f>IF(_Ped_Lab_Opm=0,"",_Ped_Lab_Opm)</f>
        <v/>
      </c>
    </row>
  </sheetData>
  <sheetProtection algorithmName="SHA-512" hashValue="l+yxmOGM5NOarDxyqnblGDeyEd8ZJU+X3wr3v9BoPAVi+/cXpa7ZvyLlie6/1b6u6PGRt8Q1qDTlYilExhZszg==" saltValue="gU/stUEF7Cc9BQo9fd0wVw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19"/>
  </cols>
  <sheetData>
    <row r="1" spans="1:16" x14ac:dyDescent="0.35">
      <c r="A1" s="434"/>
    </row>
    <row r="3" spans="1:16" x14ac:dyDescent="0.35">
      <c r="A3" s="235" t="s">
        <v>764</v>
      </c>
      <c r="B3" s="219" t="s">
        <v>765</v>
      </c>
      <c r="D3" s="235" t="s">
        <v>475</v>
      </c>
      <c r="E3" s="219" t="b">
        <v>1</v>
      </c>
      <c r="F3" s="235" t="s">
        <v>476</v>
      </c>
      <c r="G3" s="219" t="b">
        <v>1</v>
      </c>
      <c r="H3" s="235" t="s">
        <v>160</v>
      </c>
      <c r="I3" s="219" t="b">
        <v>1</v>
      </c>
      <c r="K3" s="235" t="s">
        <v>766</v>
      </c>
      <c r="M3" s="235"/>
      <c r="O3" s="235"/>
    </row>
    <row r="4" spans="1:16" x14ac:dyDescent="0.35">
      <c r="B4" s="219" t="str">
        <f>IF(C4,"A","")</f>
        <v/>
      </c>
      <c r="C4" s="652"/>
      <c r="D4" s="219" t="str">
        <f>IF(E4,"A","")</f>
        <v/>
      </c>
      <c r="E4" s="652"/>
      <c r="F4" s="219" t="str">
        <f>IF(G4,"A","")</f>
        <v/>
      </c>
      <c r="G4" s="652"/>
      <c r="H4" s="219" t="str">
        <f>IF(I4,"A","")</f>
        <v/>
      </c>
      <c r="I4" s="652"/>
      <c r="K4" s="219" t="str">
        <f>IF(L4,"A","")</f>
        <v/>
      </c>
      <c r="L4" s="652"/>
      <c r="N4" s="434"/>
      <c r="P4" s="434"/>
    </row>
    <row r="5" spans="1:16" x14ac:dyDescent="0.35">
      <c r="B5" s="219" t="str">
        <f>IF(C5,"Na K","")</f>
        <v/>
      </c>
      <c r="C5" s="652"/>
      <c r="D5" s="219" t="str">
        <f>IF(E5,"Na K","")</f>
        <v/>
      </c>
      <c r="E5" s="652"/>
      <c r="F5" s="219" t="str">
        <f>IF(G5,"Na K","")</f>
        <v/>
      </c>
      <c r="G5" s="652"/>
      <c r="H5" s="219" t="str">
        <f>IF(I5,"Na K","")</f>
        <v/>
      </c>
      <c r="I5" s="652"/>
      <c r="K5" s="219" t="str">
        <f>IF(L5,"Na K","")</f>
        <v/>
      </c>
      <c r="L5" s="652"/>
      <c r="N5" s="434"/>
      <c r="P5" s="434"/>
    </row>
    <row r="6" spans="1:16" x14ac:dyDescent="0.35">
      <c r="A6" s="434"/>
      <c r="B6" s="219" t="str">
        <f>IF(C6,"Cl","")</f>
        <v/>
      </c>
      <c r="C6" s="652"/>
      <c r="D6" s="219" t="str">
        <f>IF(E6,"Cl","")</f>
        <v/>
      </c>
      <c r="E6" s="652"/>
      <c r="F6" s="219" t="str">
        <f>IF(G6,"Cl","")</f>
        <v/>
      </c>
      <c r="G6" s="652"/>
      <c r="H6" s="219" t="str">
        <f>IF(I6,"Cl","")</f>
        <v/>
      </c>
      <c r="I6" s="652"/>
      <c r="K6" s="219" t="str">
        <f>IF(L6,"Cl","")</f>
        <v/>
      </c>
      <c r="L6" s="652"/>
      <c r="N6" s="434"/>
      <c r="P6" s="434"/>
    </row>
    <row r="7" spans="1:16" x14ac:dyDescent="0.35">
      <c r="B7" s="219" t="str">
        <f>IF(C7,"Gluc","")</f>
        <v/>
      </c>
      <c r="C7" s="652"/>
      <c r="D7" s="219" t="str">
        <f>IF(E7,"Gluc","")</f>
        <v/>
      </c>
      <c r="E7" s="652"/>
      <c r="F7" s="219" t="str">
        <f>IF(G7,"Gluc","")</f>
        <v/>
      </c>
      <c r="G7" s="652"/>
      <c r="H7" s="219" t="str">
        <f>IF(I7,"Gluc","")</f>
        <v/>
      </c>
      <c r="I7" s="652"/>
      <c r="K7" s="219" t="str">
        <f>IF(L7,"Gluc","")</f>
        <v/>
      </c>
      <c r="L7" s="652"/>
      <c r="N7" s="434"/>
      <c r="P7" s="434"/>
    </row>
    <row r="8" spans="1:16" x14ac:dyDescent="0.35">
      <c r="B8" s="219" t="str">
        <f>IF(C8,"Hb Ht","")</f>
        <v/>
      </c>
      <c r="C8" s="652"/>
      <c r="D8" s="219" t="str">
        <f>IF(E8,"Hb Ht","")</f>
        <v/>
      </c>
      <c r="E8" s="652"/>
      <c r="F8" s="219" t="str">
        <f>IF(G8,"Hb Ht","")</f>
        <v/>
      </c>
      <c r="G8" s="652"/>
      <c r="H8" s="219" t="str">
        <f>IF(I8,"Hb Ht","")</f>
        <v/>
      </c>
      <c r="I8" s="652"/>
      <c r="K8" s="219" t="str">
        <f>IF(L8,"Hb Ht","")</f>
        <v/>
      </c>
      <c r="L8" s="652"/>
      <c r="N8" s="434"/>
      <c r="P8" s="434"/>
    </row>
    <row r="9" spans="1:16" x14ac:dyDescent="0.35">
      <c r="B9" s="219" t="str">
        <f>IF(C9,"L","")</f>
        <v/>
      </c>
      <c r="C9" s="652"/>
      <c r="D9" s="219" t="str">
        <f>IF(E9,"L","")</f>
        <v/>
      </c>
      <c r="E9" s="652"/>
      <c r="F9" s="219" t="str">
        <f>IF(G9,"L","")</f>
        <v/>
      </c>
      <c r="G9" s="652"/>
      <c r="H9" s="219" t="str">
        <f>IF(I9,"L","")</f>
        <v/>
      </c>
      <c r="I9" s="652"/>
      <c r="K9" s="219" t="str">
        <f>IF(L9,"L","")</f>
        <v/>
      </c>
      <c r="L9" s="652"/>
      <c r="N9" s="434"/>
      <c r="P9" s="434"/>
    </row>
    <row r="10" spans="1:16" x14ac:dyDescent="0.35">
      <c r="B10" s="219" t="str">
        <f>IF(C10,"T","")</f>
        <v/>
      </c>
      <c r="C10" s="652"/>
      <c r="D10" s="219" t="str">
        <f>IF(E10,"T","")</f>
        <v/>
      </c>
      <c r="E10" s="652"/>
      <c r="F10" s="219" t="str">
        <f>IF(G10,"T","")</f>
        <v/>
      </c>
      <c r="G10" s="652"/>
      <c r="H10" s="219" t="str">
        <f>IF(I10,"T","")</f>
        <v/>
      </c>
      <c r="I10" s="652"/>
      <c r="K10" s="219" t="str">
        <f>IF(L10,"T","")</f>
        <v/>
      </c>
      <c r="L10" s="652"/>
      <c r="N10" s="434"/>
      <c r="P10" s="434"/>
    </row>
    <row r="11" spans="1:16" x14ac:dyDescent="0.35">
      <c r="B11" s="219" t="str">
        <f>IF(C11,"CRP","")</f>
        <v/>
      </c>
      <c r="C11" s="652"/>
      <c r="D11" s="219" t="str">
        <f>IF(E11,"CRP","")</f>
        <v/>
      </c>
      <c r="E11" s="652"/>
      <c r="F11" s="219" t="str">
        <f>IF(G11,"CRP","")</f>
        <v/>
      </c>
      <c r="G11" s="652"/>
      <c r="H11" s="219" t="str">
        <f>IF(I11,"CRP","")</f>
        <v/>
      </c>
      <c r="I11" s="652"/>
      <c r="K11" s="219" t="str">
        <f>IF(L11,"CRP","")</f>
        <v/>
      </c>
      <c r="L11" s="652"/>
      <c r="N11" s="434"/>
      <c r="P11" s="434"/>
    </row>
    <row r="12" spans="1:16" x14ac:dyDescent="0.35">
      <c r="B12" s="219" t="str">
        <f>IF(C12,"Lac","")</f>
        <v/>
      </c>
      <c r="C12" s="652"/>
      <c r="D12" s="219" t="str">
        <f>IF(E12,"Lac","")</f>
        <v/>
      </c>
      <c r="E12" s="652"/>
      <c r="F12" s="219" t="str">
        <f>IF(G12,"Lac","")</f>
        <v/>
      </c>
      <c r="G12" s="652"/>
      <c r="H12" s="219" t="str">
        <f>IF(I12,"Lac","")</f>
        <v/>
      </c>
      <c r="I12" s="652"/>
      <c r="K12" s="219" t="str">
        <f>IF(L12,"Lac","")</f>
        <v/>
      </c>
      <c r="L12" s="652"/>
      <c r="N12" s="434"/>
      <c r="P12" s="434"/>
    </row>
    <row r="13" spans="1:16" x14ac:dyDescent="0.35">
      <c r="B13" s="219" t="str">
        <f>IF(C13,"Ur","")</f>
        <v/>
      </c>
      <c r="C13" s="652"/>
      <c r="D13" s="219" t="str">
        <f>IF(E13,"Ur","")</f>
        <v/>
      </c>
      <c r="E13" s="652"/>
      <c r="F13" s="219" t="str">
        <f>IF(G13,"Ur","")</f>
        <v/>
      </c>
      <c r="G13" s="652"/>
      <c r="H13" s="219" t="str">
        <f>IF(I13,"Ur","")</f>
        <v/>
      </c>
      <c r="I13" s="652"/>
      <c r="K13" s="219" t="str">
        <f>IF(L13,"Ur","")</f>
        <v/>
      </c>
      <c r="L13" s="652"/>
      <c r="N13" s="434"/>
      <c r="P13" s="434"/>
    </row>
    <row r="14" spans="1:16" x14ac:dyDescent="0.35">
      <c r="B14" s="219" t="str">
        <f>IF(C14,"Kr","")</f>
        <v/>
      </c>
      <c r="C14" s="652"/>
      <c r="D14" s="219" t="str">
        <f>IF(E14,"Kr","")</f>
        <v/>
      </c>
      <c r="E14" s="652"/>
      <c r="F14" s="219" t="str">
        <f>IF(G14,"Kr","")</f>
        <v/>
      </c>
      <c r="G14" s="652"/>
      <c r="H14" s="219" t="str">
        <f>IF(I14,"Kr","")</f>
        <v/>
      </c>
      <c r="I14" s="652"/>
      <c r="K14" s="219" t="str">
        <f>IF(L14,"Kr","")</f>
        <v/>
      </c>
      <c r="L14" s="652"/>
      <c r="N14" s="434"/>
      <c r="P14" s="434"/>
    </row>
    <row r="15" spans="1:16" x14ac:dyDescent="0.35">
      <c r="B15" s="219" t="str">
        <f>IF(C15,"Ca++","")</f>
        <v/>
      </c>
      <c r="C15" s="652"/>
      <c r="D15" s="219" t="str">
        <f>IF(E15,"Ca++","")</f>
        <v/>
      </c>
      <c r="E15" s="652"/>
      <c r="F15" s="219" t="str">
        <f>IF(G15,"Ca++","")</f>
        <v/>
      </c>
      <c r="G15" s="652"/>
      <c r="H15" s="219" t="str">
        <f>IF(I15,"Ca++","")</f>
        <v/>
      </c>
      <c r="I15" s="652"/>
      <c r="K15" s="219" t="str">
        <f>IF(L15,"Ca++","")</f>
        <v/>
      </c>
      <c r="L15" s="652"/>
      <c r="N15" s="434"/>
      <c r="P15" s="434"/>
    </row>
    <row r="16" spans="1:16" x14ac:dyDescent="0.35">
      <c r="B16" s="219" t="str">
        <f>IF(C16,"Mg++","")</f>
        <v/>
      </c>
      <c r="C16" s="652"/>
      <c r="D16" s="219" t="str">
        <f>IF(E16,"Mg++","")</f>
        <v/>
      </c>
      <c r="E16" s="652"/>
      <c r="F16" s="219" t="str">
        <f>IF(G16,"Mg++","")</f>
        <v/>
      </c>
      <c r="G16" s="652"/>
      <c r="H16" s="219" t="str">
        <f>IF(I16,"Mg++","")</f>
        <v/>
      </c>
      <c r="I16" s="652"/>
      <c r="K16" s="219" t="str">
        <f>IF(L16,"Mg++","")</f>
        <v/>
      </c>
      <c r="L16" s="652"/>
      <c r="N16" s="434"/>
      <c r="P16" s="434"/>
    </row>
    <row r="17" spans="2:16" x14ac:dyDescent="0.35">
      <c r="B17" s="219" t="str">
        <f>IF(C17,"Fosfaat","")</f>
        <v/>
      </c>
      <c r="C17" s="652"/>
      <c r="D17" s="219" t="str">
        <f>IF(E17,"Fosfaat","")</f>
        <v/>
      </c>
      <c r="E17" s="652"/>
      <c r="F17" s="219" t="str">
        <f>IF(G17,"Fosfaat","")</f>
        <v/>
      </c>
      <c r="G17" s="652"/>
      <c r="H17" s="219" t="str">
        <f>IF(I17,"Fosfaat","")</f>
        <v/>
      </c>
      <c r="I17" s="652"/>
      <c r="K17" s="219" t="str">
        <f>IF(L17,"Fosfaat","")</f>
        <v/>
      </c>
      <c r="L17" s="652"/>
      <c r="N17" s="434"/>
      <c r="P17" s="434"/>
    </row>
    <row r="18" spans="2:16" x14ac:dyDescent="0.35">
      <c r="B18" s="219" t="str">
        <f>IF(C18,"Alb","")</f>
        <v/>
      </c>
      <c r="C18" s="652"/>
      <c r="D18" s="219" t="str">
        <f>IF(E18,"Alb","")</f>
        <v/>
      </c>
      <c r="E18" s="652"/>
      <c r="F18" s="219" t="str">
        <f>IF(G18,"Alb","")</f>
        <v/>
      </c>
      <c r="G18" s="652"/>
      <c r="H18" s="219" t="str">
        <f>IF(I18,"Alb","")</f>
        <v/>
      </c>
      <c r="I18" s="652"/>
      <c r="K18" s="219" t="str">
        <f>IF(L18,"Alb","")</f>
        <v/>
      </c>
      <c r="L18" s="652"/>
      <c r="N18" s="434"/>
      <c r="P18" s="434"/>
    </row>
    <row r="19" spans="2:16" x14ac:dyDescent="0.35">
      <c r="B19" s="219" t="str">
        <f>IF(C19,"Ca","")</f>
        <v/>
      </c>
      <c r="C19" s="652"/>
      <c r="D19" s="219" t="str">
        <f>IF(E19,"Ca","")</f>
        <v/>
      </c>
      <c r="E19" s="652"/>
      <c r="F19" s="219" t="str">
        <f>IF(G19,"Ca","")</f>
        <v/>
      </c>
      <c r="G19" s="652"/>
      <c r="H19" s="219" t="str">
        <f>IF(I19,"Ca","")</f>
        <v/>
      </c>
      <c r="I19" s="652"/>
      <c r="K19" s="219" t="str">
        <f>IF(L19,"Ca","")</f>
        <v/>
      </c>
      <c r="L19" s="652"/>
      <c r="N19" s="434"/>
      <c r="P19" s="434"/>
    </row>
    <row r="20" spans="2:16" x14ac:dyDescent="0.35">
      <c r="B20" s="219" t="str">
        <f>IF(C20,"ASAT","")</f>
        <v/>
      </c>
      <c r="C20" s="652"/>
      <c r="D20" s="219" t="str">
        <f>IF(E20,"ASAT","")</f>
        <v/>
      </c>
      <c r="E20" s="652"/>
      <c r="F20" s="219" t="str">
        <f>IF(G20,"ASAT","")</f>
        <v/>
      </c>
      <c r="G20" s="652"/>
      <c r="H20" s="219" t="str">
        <f>IF(I20,"ASAT","")</f>
        <v/>
      </c>
      <c r="I20" s="652"/>
      <c r="K20" s="219" t="str">
        <f>IF(L20,"ASAT","")</f>
        <v/>
      </c>
      <c r="L20" s="652"/>
      <c r="N20" s="434"/>
      <c r="P20" s="434"/>
    </row>
    <row r="21" spans="2:16" x14ac:dyDescent="0.35">
      <c r="B21" s="219" t="str">
        <f>IF(C21,"ALAT","")</f>
        <v/>
      </c>
      <c r="C21" s="652"/>
      <c r="D21" s="219" t="str">
        <f>IF(E21,"ALAT","")</f>
        <v/>
      </c>
      <c r="E21" s="652"/>
      <c r="F21" s="219" t="str">
        <f>IF(G21,"ALAT","")</f>
        <v/>
      </c>
      <c r="G21" s="652"/>
      <c r="H21" s="219" t="str">
        <f>IF(I21,"ALAT","")</f>
        <v/>
      </c>
      <c r="I21" s="652"/>
      <c r="K21" s="219" t="str">
        <f>IF(L21,"Alat","")</f>
        <v/>
      </c>
      <c r="L21" s="652"/>
      <c r="N21" s="434"/>
      <c r="P21" s="434"/>
    </row>
    <row r="22" spans="2:16" x14ac:dyDescent="0.35">
      <c r="B22" s="219" t="str">
        <f>IF(C22,"GGT","")</f>
        <v/>
      </c>
      <c r="C22" s="652"/>
      <c r="D22" s="219" t="str">
        <f>IF(E22,"GGT","")</f>
        <v/>
      </c>
      <c r="E22" s="652"/>
      <c r="F22" s="219" t="str">
        <f>IF(G22,"GGT","")</f>
        <v/>
      </c>
      <c r="G22" s="652"/>
      <c r="H22" s="219" t="str">
        <f>IF(I22,"GGT","")</f>
        <v/>
      </c>
      <c r="I22" s="652"/>
      <c r="K22" s="219" t="str">
        <f>IF(L22,"GGT","")</f>
        <v/>
      </c>
      <c r="L22" s="652"/>
      <c r="N22" s="434"/>
      <c r="P22" s="434"/>
    </row>
    <row r="23" spans="2:16" x14ac:dyDescent="0.35">
      <c r="B23" s="219" t="str">
        <f>IF(C23,"AF","")</f>
        <v/>
      </c>
      <c r="C23" s="652"/>
      <c r="D23" s="219" t="str">
        <f>IF(E23,"AF","")</f>
        <v/>
      </c>
      <c r="E23" s="652"/>
      <c r="F23" s="219" t="str">
        <f>IF(G23,"AF","")</f>
        <v/>
      </c>
      <c r="G23" s="652"/>
      <c r="H23" s="219" t="str">
        <f>IF(I23,"AF","")</f>
        <v/>
      </c>
      <c r="I23" s="652"/>
      <c r="K23" s="219" t="str">
        <f>IF(L23,"AF","")</f>
        <v/>
      </c>
      <c r="L23" s="652"/>
      <c r="N23" s="434"/>
      <c r="P23" s="434"/>
    </row>
    <row r="24" spans="2:16" x14ac:dyDescent="0.35">
      <c r="B24" s="219" t="str">
        <f>IF(C24,"LDH","")</f>
        <v/>
      </c>
      <c r="C24" s="652"/>
      <c r="D24" s="219" t="str">
        <f>IF(E24,"LDH","")</f>
        <v/>
      </c>
      <c r="E24" s="652"/>
      <c r="F24" s="219" t="str">
        <f>IF(G24,"LDH","")</f>
        <v/>
      </c>
      <c r="G24" s="652"/>
      <c r="H24" s="219" t="str">
        <f>IF(I24,"LDH","")</f>
        <v/>
      </c>
      <c r="I24" s="652"/>
      <c r="K24" s="219" t="str">
        <f>IF(L24,"LDH","")</f>
        <v/>
      </c>
      <c r="L24" s="652"/>
      <c r="N24" s="434"/>
      <c r="P24" s="434"/>
    </row>
    <row r="25" spans="2:16" x14ac:dyDescent="0.35">
      <c r="B25" s="219" t="str">
        <f>IF(C25,"Bili","")</f>
        <v/>
      </c>
      <c r="C25" s="652"/>
      <c r="D25" s="219" t="str">
        <f>IF(E25,"Bili","")</f>
        <v/>
      </c>
      <c r="E25" s="652"/>
      <c r="F25" s="219" t="str">
        <f>IF(G25,"Bili","")</f>
        <v/>
      </c>
      <c r="G25" s="652"/>
      <c r="H25" s="219" t="str">
        <f>IF(I25,"Bili","")</f>
        <v/>
      </c>
      <c r="I25" s="652"/>
      <c r="K25" s="219" t="str">
        <f>IF(L25,"Blil","")</f>
        <v/>
      </c>
      <c r="L25" s="652"/>
      <c r="N25" s="434"/>
      <c r="P25" s="434"/>
    </row>
    <row r="26" spans="2:16" x14ac:dyDescent="0.35">
      <c r="B26" s="219" t="str">
        <f>IF(C26,"CK","")</f>
        <v/>
      </c>
      <c r="C26" s="652"/>
      <c r="D26" s="219" t="str">
        <f>IF(E26,"CK","")</f>
        <v/>
      </c>
      <c r="E26" s="652"/>
      <c r="F26" s="219" t="str">
        <f>IF(G26,"CK","")</f>
        <v/>
      </c>
      <c r="G26" s="652"/>
      <c r="H26" s="219" t="str">
        <f>IF(I26,"CK","")</f>
        <v/>
      </c>
      <c r="I26" s="652"/>
      <c r="K26" s="219" t="str">
        <f>IF(L26,"CK","")</f>
        <v/>
      </c>
      <c r="L26" s="652"/>
      <c r="N26" s="434"/>
      <c r="P26" s="434"/>
    </row>
    <row r="27" spans="2:16" x14ac:dyDescent="0.35">
      <c r="B27" s="219" t="str">
        <f>IF(C27,"TG","")</f>
        <v/>
      </c>
      <c r="C27" s="652"/>
      <c r="D27" s="219" t="str">
        <f>IF(E27,"TG","")</f>
        <v/>
      </c>
      <c r="E27" s="652"/>
      <c r="F27" s="219" t="str">
        <f>IF(G27,"TG","")</f>
        <v/>
      </c>
      <c r="G27" s="652"/>
      <c r="H27" s="219" t="str">
        <f>IF(I27,"TG","")</f>
        <v/>
      </c>
      <c r="I27" s="652"/>
      <c r="K27" s="219" t="str">
        <f>IF(L27,"TG","")</f>
        <v/>
      </c>
      <c r="L27" s="652"/>
      <c r="N27" s="434"/>
      <c r="P27" s="434"/>
    </row>
    <row r="28" spans="2:16" x14ac:dyDescent="0.35">
      <c r="B28" s="219" t="str">
        <f>IF(C28,"BG","")</f>
        <v/>
      </c>
      <c r="C28" s="652"/>
      <c r="D28" s="219" t="str">
        <f>IF(E28,"BG","")</f>
        <v/>
      </c>
      <c r="E28" s="652"/>
      <c r="F28" s="219" t="str">
        <f>IF(G28,"BG","")</f>
        <v/>
      </c>
      <c r="G28" s="652"/>
      <c r="H28" s="219" t="str">
        <f>IF(I28,"BG","")</f>
        <v/>
      </c>
      <c r="I28" s="652"/>
      <c r="K28" s="219" t="str">
        <f>IF(L28,"BG","")</f>
        <v/>
      </c>
      <c r="L28" s="652"/>
      <c r="N28" s="434"/>
      <c r="P28" s="434"/>
    </row>
    <row r="29" spans="2:16" x14ac:dyDescent="0.35">
      <c r="B29" s="219" t="str">
        <f>IF(C29,"PT","")</f>
        <v/>
      </c>
      <c r="C29" s="652"/>
      <c r="D29" s="219" t="str">
        <f>IF(E29,"PT","")</f>
        <v/>
      </c>
      <c r="E29" s="652"/>
      <c r="F29" s="219" t="str">
        <f>IF(G29,"PT","")</f>
        <v/>
      </c>
      <c r="G29" s="652"/>
      <c r="H29" s="219" t="str">
        <f>IF(I29,"PT","")</f>
        <v/>
      </c>
      <c r="I29" s="652"/>
      <c r="K29" s="219" t="str">
        <f>IF(L29,"PT","")</f>
        <v/>
      </c>
      <c r="L29" s="652"/>
      <c r="N29" s="434"/>
      <c r="P29" s="434"/>
    </row>
    <row r="30" spans="2:16" x14ac:dyDescent="0.35">
      <c r="B30" s="219" t="str">
        <f>IF(C30,"APTT","")</f>
        <v/>
      </c>
      <c r="C30" s="652"/>
      <c r="D30" s="219" t="str">
        <f>IF(E30,"APTT","")</f>
        <v/>
      </c>
      <c r="E30" s="652"/>
      <c r="F30" s="219" t="str">
        <f>IF(G30,"APTT","")</f>
        <v/>
      </c>
      <c r="G30" s="652"/>
      <c r="H30" s="219" t="str">
        <f>IF(I30,"APTT","")</f>
        <v/>
      </c>
      <c r="I30" s="652"/>
      <c r="K30" s="219" t="str">
        <f>IF(L30,"APTT","")</f>
        <v/>
      </c>
      <c r="L30" s="652"/>
      <c r="N30" s="434"/>
      <c r="P30" s="434"/>
    </row>
    <row r="31" spans="2:16" x14ac:dyDescent="0.35">
      <c r="B31" s="219" t="str">
        <f>IF(C31,"d-dimeren","")</f>
        <v/>
      </c>
      <c r="C31" s="652"/>
      <c r="D31" s="219" t="str">
        <f>IF(E31,"d-dimeren","")</f>
        <v/>
      </c>
      <c r="E31" s="652"/>
      <c r="F31" s="219" t="str">
        <f>IF(G31,"d-dimeren","")</f>
        <v/>
      </c>
      <c r="G31" s="652"/>
      <c r="H31" s="219" t="str">
        <f>IF(I31,"d-dimeren","")</f>
        <v/>
      </c>
      <c r="I31" s="652"/>
      <c r="K31" s="219" t="str">
        <f>IF(L31,"d-dimeren","")</f>
        <v/>
      </c>
      <c r="L31" s="652"/>
      <c r="N31" s="434"/>
      <c r="P31" s="434"/>
    </row>
    <row r="32" spans="2:16" x14ac:dyDescent="0.35">
      <c r="B32" s="219" t="str">
        <f>IF(C32,"INR","")</f>
        <v/>
      </c>
      <c r="C32" s="652"/>
      <c r="D32" s="219" t="str">
        <f>IF(E32,"INR","")</f>
        <v/>
      </c>
      <c r="E32" s="652"/>
      <c r="F32" s="219" t="str">
        <f t="shared" ref="F32" si="0">IF(G32,"INR","")</f>
        <v/>
      </c>
      <c r="G32" s="652"/>
      <c r="H32" s="219" t="str">
        <f t="shared" ref="H32" si="1">IF(I32,"INR","")</f>
        <v/>
      </c>
      <c r="I32" s="652"/>
      <c r="K32" s="219" t="str">
        <f t="shared" ref="K32:K35" si="2">IF(L32,"INR","")</f>
        <v/>
      </c>
      <c r="L32" s="652"/>
      <c r="N32" s="434"/>
      <c r="P32" s="434"/>
    </row>
    <row r="33" spans="2:16" x14ac:dyDescent="0.35">
      <c r="B33" s="219" t="str">
        <f>IF(C33,"Hep-ratio","")</f>
        <v/>
      </c>
      <c r="C33" s="652"/>
      <c r="D33" s="219" t="str">
        <f>IF(E33,"Hep-ratio","")</f>
        <v/>
      </c>
      <c r="E33" s="652"/>
      <c r="F33" s="219" t="str">
        <f>IF(G33,"Hep-ratio","")</f>
        <v/>
      </c>
      <c r="G33" s="652"/>
      <c r="H33" s="219" t="str">
        <f>IF(I33,"Hep-ratio","")</f>
        <v/>
      </c>
      <c r="I33" s="652"/>
      <c r="K33" s="219" t="str">
        <f>IF(L33,"Hep-ratio","")</f>
        <v/>
      </c>
      <c r="L33" s="652"/>
      <c r="N33" s="434"/>
      <c r="P33" s="434"/>
    </row>
    <row r="34" spans="2:16" x14ac:dyDescent="0.35">
      <c r="B34" s="219" t="str">
        <f>IF(C34,"BNP","")</f>
        <v/>
      </c>
      <c r="C34" s="652"/>
      <c r="D34" s="219" t="str">
        <f>IF(E34,"BNP","")</f>
        <v/>
      </c>
      <c r="E34" s="652"/>
      <c r="F34" s="219" t="str">
        <f>IF(G34,"BNP","")</f>
        <v/>
      </c>
      <c r="G34" s="652"/>
      <c r="H34" s="219" t="str">
        <f>IF(I34,"BNP","")</f>
        <v/>
      </c>
      <c r="I34" s="652"/>
      <c r="K34" s="219" t="str">
        <f>IF(L34,"BNP","")</f>
        <v/>
      </c>
      <c r="L34" s="652"/>
      <c r="N34" s="434"/>
      <c r="P34" s="434"/>
    </row>
    <row r="35" spans="2:16" x14ac:dyDescent="0.35">
      <c r="B35" s="219" t="str">
        <f>IF(C35,"ACT","")</f>
        <v/>
      </c>
      <c r="C35" s="652"/>
      <c r="G35" s="653"/>
      <c r="K35" s="219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5.3984375" style="416" customWidth="1"/>
    <col min="2" max="2" width="25" style="416" customWidth="1"/>
    <col min="3" max="3" width="16.265625" style="416" customWidth="1"/>
    <col min="4" max="4" width="16.73046875" style="416" customWidth="1"/>
    <col min="5" max="5" width="15" style="416" bestFit="1" customWidth="1"/>
    <col min="6" max="6" width="21.86328125" style="416" bestFit="1" customWidth="1"/>
    <col min="7" max="7" width="21.59765625" style="416" customWidth="1"/>
    <col min="8" max="8" width="11.59765625" style="416" customWidth="1"/>
    <col min="9" max="9" width="27" style="416" customWidth="1"/>
    <col min="10" max="10" width="15.59765625" style="416" customWidth="1"/>
    <col min="11" max="11" width="13" style="416" customWidth="1"/>
    <col min="12" max="45" width="9.1328125" style="416" customWidth="1"/>
    <col min="46" max="16384" width="9.1328125" style="416"/>
  </cols>
  <sheetData>
    <row r="1" spans="1:17" s="423" customFormat="1" x14ac:dyDescent="0.35">
      <c r="A1" s="444"/>
    </row>
    <row r="2" spans="1:17" s="423" customFormat="1" ht="17.25" customHeight="1" x14ac:dyDescent="0.4">
      <c r="B2" s="424" t="s">
        <v>326</v>
      </c>
      <c r="C2" s="425">
        <f ca="1">Var_AfspraakDatum</f>
        <v>42739</v>
      </c>
      <c r="D2" s="424" t="s">
        <v>327</v>
      </c>
      <c r="E2" s="426">
        <f>_Pat_OpnDatum</f>
        <v>42370</v>
      </c>
      <c r="F2" s="424" t="str">
        <f ca="1">"ICU-dag: "&amp;Var_AfspraakDatum-_Pat_OpnDatum+1</f>
        <v>ICU-dag: 370</v>
      </c>
      <c r="G2" s="424" t="s">
        <v>549</v>
      </c>
      <c r="H2" s="427">
        <f>__1_Bed</f>
        <v>0</v>
      </c>
    </row>
    <row r="3" spans="1:17" s="423" customFormat="1" ht="17.25" customHeight="1" x14ac:dyDescent="0.4">
      <c r="B3" s="424" t="s">
        <v>28</v>
      </c>
      <c r="C3" s="428" t="str">
        <f>__2_AchterNaam&amp;", "&amp;__3_VoorNaam</f>
        <v xml:space="preserve">, </v>
      </c>
      <c r="D3" s="424" t="s">
        <v>334</v>
      </c>
      <c r="E3" s="426">
        <f>__4_GebDatum</f>
        <v>0</v>
      </c>
      <c r="F3" s="427" t="str">
        <f>"Gewicht: "&amp;_Pat_Gewicht/10&amp;" kg"</f>
        <v>Gewicht: 10 kg</v>
      </c>
      <c r="G3" s="427" t="str">
        <f>"Lengte: "&amp;_Pat_Lengte&amp;" cm"</f>
        <v>Lengte: 80 cm</v>
      </c>
      <c r="H3" s="424"/>
    </row>
    <row r="4" spans="1:17" s="423" customFormat="1" ht="17.25" customHeight="1" x14ac:dyDescent="0.4">
      <c r="A4" s="429"/>
      <c r="B4" s="424" t="s">
        <v>369</v>
      </c>
      <c r="C4" s="427">
        <f>__0_PatNum</f>
        <v>0</v>
      </c>
      <c r="D4" s="424" t="s">
        <v>296</v>
      </c>
      <c r="E4" s="430" t="str">
        <f ca="1">PatDetails!F2</f>
        <v/>
      </c>
      <c r="F4" s="424"/>
      <c r="G4" s="424" t="str">
        <f>"Lichamelijk oppervlak: "&amp;ROUND(POWER(_Pat_Gewicht/10,0.425)*POWER(((_Pat_Lengte/100)*100),0.725)*0.007184,2)&amp;" m2"</f>
        <v>Lichamelijk oppervlak: 0,46 m2</v>
      </c>
      <c r="H4" s="424"/>
    </row>
    <row r="6" spans="1:17" ht="13.2" x14ac:dyDescent="0.4">
      <c r="A6" s="437"/>
      <c r="B6" s="415" t="s">
        <v>778</v>
      </c>
      <c r="F6" s="415" t="s">
        <v>785</v>
      </c>
      <c r="H6" s="415"/>
      <c r="Q6" s="419"/>
    </row>
    <row r="7" spans="1:17" ht="18" customHeight="1" x14ac:dyDescent="0.35">
      <c r="Q7" s="419"/>
    </row>
    <row r="8" spans="1:17" ht="18" customHeight="1" x14ac:dyDescent="0.35">
      <c r="C8" s="467" t="str">
        <f>IF(PedBerAfspr!C7=0,"",PedBerAfspr!C7)</f>
        <v/>
      </c>
      <c r="G8" s="432"/>
      <c r="Q8" s="419"/>
    </row>
    <row r="9" spans="1:17" ht="18" customHeight="1" x14ac:dyDescent="0.35">
      <c r="C9" s="467" t="str">
        <f>IF(PedBerAfspr!C8=0,"",PedBerAfspr!C8)</f>
        <v/>
      </c>
      <c r="G9" s="407" t="str">
        <f>CONCATENATE("à ",PedBerAfspr!G16," uur")</f>
        <v>à  uur</v>
      </c>
      <c r="H9"/>
    </row>
    <row r="10" spans="1:17" ht="18" customHeight="1" x14ac:dyDescent="0.35">
      <c r="C10" s="467" t="str">
        <f>IF(PedBerAfspr!C9=0,"",PedBerAfspr!C9)</f>
        <v/>
      </c>
      <c r="G10" s="407" t="str">
        <f>CONCATENATE("à ",PedBerAfspr!G18," uur")</f>
        <v>à  uur</v>
      </c>
      <c r="H10" s="474" t="s">
        <v>1046</v>
      </c>
      <c r="I10" s="475" t="str">
        <f>IF(_Ped_AfsprD_Verliezen=0,"",_Ped_AfsprD_Verliezen)</f>
        <v/>
      </c>
      <c r="J10" s="472"/>
      <c r="K10" s="472"/>
    </row>
    <row r="11" spans="1:17" ht="18" customHeight="1" x14ac:dyDescent="0.35">
      <c r="C11" s="431" t="str">
        <f>CONCATENATE(PedBerAfspr!$B$12," dd")</f>
        <v xml:space="preserve"> dd</v>
      </c>
      <c r="D11" s="432"/>
      <c r="F11" s="440"/>
      <c r="I11" s="472"/>
      <c r="J11" s="472"/>
      <c r="K11" s="472"/>
    </row>
    <row r="12" spans="1:17" ht="18" customHeight="1" x14ac:dyDescent="0.35">
      <c r="F12" s="440"/>
      <c r="I12" s="472"/>
      <c r="J12" s="472"/>
      <c r="K12" s="472"/>
    </row>
    <row r="13" spans="1:17" ht="18" customHeight="1" x14ac:dyDescent="0.35">
      <c r="F13" s="440"/>
      <c r="I13" s="473"/>
      <c r="M13" s="419"/>
    </row>
    <row r="14" spans="1:17" ht="18" customHeight="1" x14ac:dyDescent="0.35">
      <c r="F14" s="440"/>
      <c r="M14" s="419"/>
    </row>
    <row r="15" spans="1:17" ht="18" customHeight="1" x14ac:dyDescent="0.35">
      <c r="F15" s="440"/>
    </row>
    <row r="16" spans="1:17" ht="18" customHeight="1" x14ac:dyDescent="0.35">
      <c r="F16" s="440"/>
      <c r="M16" s="419"/>
    </row>
    <row r="17" spans="1:14" ht="18" customHeight="1" x14ac:dyDescent="0.35">
      <c r="F17" s="440" t="s">
        <v>959</v>
      </c>
      <c r="M17" s="419"/>
    </row>
    <row r="18" spans="1:14" ht="18" customHeight="1" x14ac:dyDescent="0.35">
      <c r="C18" s="431" t="str">
        <f>CONCATENATE(PedBerAfspr!$C$42," dd")</f>
        <v xml:space="preserve"> dd</v>
      </c>
      <c r="F18" s="882" t="str">
        <f>IF(_Ped_AfsprOverig=0,"",_Ped_AfsprOverig)</f>
        <v/>
      </c>
      <c r="G18" s="882"/>
      <c r="H18" s="882"/>
      <c r="K18" s="431"/>
      <c r="M18" s="419"/>
      <c r="N18" s="419"/>
    </row>
    <row r="19" spans="1:14" ht="18" customHeight="1" x14ac:dyDescent="0.35">
      <c r="C19" s="431" t="str">
        <f>CONCATENATE(PedBerAfspr!$C$43," dd")</f>
        <v xml:space="preserve"> dd</v>
      </c>
      <c r="F19" s="882"/>
      <c r="G19" s="882"/>
      <c r="H19" s="882"/>
      <c r="K19" s="432"/>
      <c r="N19" s="419"/>
    </row>
    <row r="20" spans="1:14" ht="18" customHeight="1" x14ac:dyDescent="0.35">
      <c r="F20" s="882"/>
      <c r="G20" s="882"/>
      <c r="H20" s="882"/>
      <c r="K20" s="431"/>
      <c r="M20" s="419"/>
      <c r="N20" s="419"/>
    </row>
    <row r="21" spans="1:14" ht="18" customHeight="1" x14ac:dyDescent="0.35">
      <c r="F21" s="440"/>
      <c r="G21" s="462"/>
      <c r="H21" s="439"/>
      <c r="M21" s="419"/>
      <c r="N21" s="419"/>
    </row>
    <row r="22" spans="1:14" ht="18" customHeight="1" x14ac:dyDescent="0.4">
      <c r="B22" s="415" t="s">
        <v>784</v>
      </c>
      <c r="F22" s="440"/>
      <c r="G22" s="462"/>
      <c r="H22" s="439"/>
      <c r="M22" s="419"/>
    </row>
    <row r="23" spans="1:14" ht="18" customHeight="1" x14ac:dyDescent="0.35">
      <c r="F23" s="440"/>
      <c r="G23" s="462"/>
      <c r="H23" s="439"/>
      <c r="M23" s="419"/>
    </row>
    <row r="24" spans="1:14" ht="18" customHeight="1" x14ac:dyDescent="0.35">
      <c r="F24" s="440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415" t="s">
        <v>1022</v>
      </c>
    </row>
    <row r="29" spans="1:14" ht="18" customHeight="1" x14ac:dyDescent="0.35">
      <c r="A29" s="383"/>
    </row>
    <row r="30" spans="1:14" ht="18" customHeight="1" x14ac:dyDescent="0.35">
      <c r="A30" s="383"/>
      <c r="E30" s="440"/>
    </row>
    <row r="31" spans="1:14" ht="18" customHeight="1" x14ac:dyDescent="0.35">
      <c r="A31" s="383"/>
      <c r="E31" s="440"/>
      <c r="M31" s="419"/>
    </row>
    <row r="32" spans="1:14" ht="18" customHeight="1" x14ac:dyDescent="0.35">
      <c r="A32" s="383"/>
      <c r="B32" s="384"/>
      <c r="C32" s="384"/>
      <c r="D32" s="383"/>
      <c r="E32" s="383"/>
      <c r="M32" s="419"/>
    </row>
    <row r="33" spans="2:13" ht="18" customHeight="1" x14ac:dyDescent="0.35">
      <c r="B33" s="384"/>
      <c r="C33" s="384"/>
      <c r="D33" s="383"/>
      <c r="E33" s="383"/>
      <c r="M33" s="419"/>
    </row>
    <row r="34" spans="2:13" ht="18" customHeight="1" x14ac:dyDescent="0.35">
      <c r="B34" s="384"/>
      <c r="C34" s="384"/>
      <c r="D34" s="383"/>
      <c r="E34" s="383"/>
      <c r="M34" s="419"/>
    </row>
    <row r="35" spans="2:13" ht="18" customHeight="1" x14ac:dyDescent="0.35">
      <c r="B35" s="384"/>
      <c r="C35" s="384"/>
      <c r="D35" s="468">
        <f>PedBerAfspr!D40</f>
        <v>0</v>
      </c>
      <c r="E35" s="383" t="s">
        <v>1024</v>
      </c>
      <c r="M35" s="419"/>
    </row>
    <row r="36" spans="2:13" ht="18" customHeight="1" x14ac:dyDescent="0.35">
      <c r="E36" s="440"/>
      <c r="M36" s="419"/>
    </row>
    <row r="37" spans="2:13" ht="18" customHeight="1" x14ac:dyDescent="0.35">
      <c r="M37" s="419"/>
    </row>
    <row r="38" spans="2:13" ht="18" customHeight="1" x14ac:dyDescent="0.35">
      <c r="E38" s="440"/>
      <c r="M38" s="419"/>
    </row>
    <row r="39" spans="2:13" ht="18" customHeight="1" x14ac:dyDescent="0.35">
      <c r="M39" s="419"/>
    </row>
    <row r="40" spans="2:13" ht="18" customHeight="1" x14ac:dyDescent="0.4">
      <c r="B40" s="415" t="s">
        <v>749</v>
      </c>
      <c r="M40" s="419"/>
    </row>
    <row r="41" spans="2:13" ht="18" customHeight="1" x14ac:dyDescent="0.35">
      <c r="B41" s="419" t="s">
        <v>778</v>
      </c>
      <c r="C41" s="416" t="str">
        <f>IFERROR(LEFT(Var_Ped_AfsprControles,LEN(Var_Ped_AfsprControles)-3),"")</f>
        <v/>
      </c>
      <c r="M41" s="419"/>
    </row>
    <row r="42" spans="2:13" ht="18" customHeight="1" x14ac:dyDescent="0.35">
      <c r="B42" s="419" t="s">
        <v>784</v>
      </c>
      <c r="C42" s="416" t="str">
        <f>IFERROR(LEFT(Var_Ped_AfsprOnderzoeken,LEN(Var_Ped_AfsprOnderzoeken)-3),"")</f>
        <v/>
      </c>
    </row>
    <row r="43" spans="2:13" ht="18" customHeight="1" x14ac:dyDescent="0.35">
      <c r="B43" s="416" t="s">
        <v>1022</v>
      </c>
      <c r="C43" s="416" t="str">
        <f>IFERROR(LEFT(Var_Ped_AfsprInstellingen,LEN(Var_Ped_AfsprInstellingen)-3),"")</f>
        <v/>
      </c>
      <c r="M43" s="419"/>
    </row>
    <row r="44" spans="2:13" ht="18" customHeight="1" x14ac:dyDescent="0.35">
      <c r="B44" s="419" t="s">
        <v>762</v>
      </c>
      <c r="C44" s="416" t="str">
        <f>IFERROR(LEFT(Var_Ped_AfsprOverig,LEN(Var_Ped_AfsprOverig)-3),"")</f>
        <v/>
      </c>
      <c r="M44" s="419"/>
    </row>
    <row r="45" spans="2:13" ht="18" customHeight="1" x14ac:dyDescent="0.35">
      <c r="M45" s="419"/>
    </row>
    <row r="46" spans="2:13" ht="18" customHeight="1" x14ac:dyDescent="0.35">
      <c r="M46" s="419"/>
    </row>
    <row r="47" spans="2:13" ht="18" customHeight="1" x14ac:dyDescent="0.35">
      <c r="M47" s="419"/>
    </row>
    <row r="48" spans="2:13" ht="18" customHeight="1" x14ac:dyDescent="0.35"/>
    <row r="49" spans="13:13" ht="18" customHeight="1" x14ac:dyDescent="0.35"/>
    <row r="50" spans="13:13" ht="18" customHeight="1" x14ac:dyDescent="0.35">
      <c r="M50" s="433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iwW4TaXNAtEYJ4U5KTTTEvE1Rejf+IooqDUe8SGOLq5DhFmGPgr8LnC9vnc9/VAM3Xpyd95GMx2/rMh1SCGSOQ==" saltValue="lO98hrbSfkSuKSKEKXylDA==" spinCount="10000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7</xdr:col>
                    <xdr:colOff>411719</xdr:colOff>
                    <xdr:row>2</xdr:row>
                    <xdr:rowOff>0</xdr:rowOff>
                  </from>
                  <to>
                    <xdr:col>7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416" bestFit="1" customWidth="1"/>
    <col min="2" max="2" width="9.1328125" style="416"/>
    <col min="3" max="3" width="14" style="416" customWidth="1"/>
    <col min="4" max="4" width="9.1328125" style="417"/>
    <col min="5" max="5" width="28" style="422" bestFit="1" customWidth="1"/>
    <col min="6" max="6" width="9.1328125" style="416"/>
    <col min="7" max="7" width="13.59765625" style="416" customWidth="1"/>
    <col min="8" max="16384" width="9.1328125" style="416"/>
  </cols>
  <sheetData>
    <row r="1" spans="1:8" x14ac:dyDescent="0.35">
      <c r="A1" s="437"/>
    </row>
    <row r="6" spans="1:8" ht="13.2" x14ac:dyDescent="0.4">
      <c r="A6" s="455" t="s">
        <v>778</v>
      </c>
      <c r="E6" s="418" t="s">
        <v>762</v>
      </c>
    </row>
    <row r="7" spans="1:8" x14ac:dyDescent="0.35">
      <c r="A7" s="419" t="s">
        <v>295</v>
      </c>
      <c r="B7" s="437"/>
      <c r="C7" s="437"/>
      <c r="D7" s="438"/>
      <c r="E7" s="420" t="s">
        <v>748</v>
      </c>
      <c r="F7" s="437"/>
    </row>
    <row r="8" spans="1:8" x14ac:dyDescent="0.35">
      <c r="A8" s="419" t="s">
        <v>142</v>
      </c>
      <c r="B8" s="437"/>
      <c r="C8" s="437"/>
      <c r="D8" s="438"/>
      <c r="E8" s="420" t="s">
        <v>758</v>
      </c>
      <c r="F8" s="437"/>
    </row>
    <row r="9" spans="1:8" x14ac:dyDescent="0.35">
      <c r="A9" s="416" t="s">
        <v>956</v>
      </c>
      <c r="B9" s="437"/>
      <c r="C9" s="437"/>
      <c r="D9" s="438"/>
      <c r="E9" s="420" t="s">
        <v>1031</v>
      </c>
      <c r="F9" s="437"/>
    </row>
    <row r="10" spans="1:8" x14ac:dyDescent="0.35">
      <c r="A10" s="416" t="s">
        <v>1010</v>
      </c>
      <c r="B10" s="437"/>
      <c r="C10" s="437"/>
      <c r="D10" s="438"/>
      <c r="E10" s="420" t="s">
        <v>1032</v>
      </c>
      <c r="F10" s="437"/>
    </row>
    <row r="11" spans="1:8" x14ac:dyDescent="0.35">
      <c r="A11" s="419" t="s">
        <v>836</v>
      </c>
      <c r="B11" s="437"/>
      <c r="C11" s="419" t="s">
        <v>780</v>
      </c>
      <c r="D11" s="438"/>
      <c r="E11" s="420" t="s">
        <v>1033</v>
      </c>
      <c r="F11" s="437"/>
    </row>
    <row r="12" spans="1:8" x14ac:dyDescent="0.35">
      <c r="A12" s="419" t="s">
        <v>838</v>
      </c>
      <c r="B12" s="469"/>
      <c r="C12" s="421" t="s">
        <v>781</v>
      </c>
      <c r="D12" s="438"/>
      <c r="E12" s="420" t="s">
        <v>756</v>
      </c>
      <c r="F12" s="437"/>
    </row>
    <row r="13" spans="1:8" x14ac:dyDescent="0.35">
      <c r="B13" s="437"/>
      <c r="C13" s="419" t="s">
        <v>782</v>
      </c>
      <c r="D13" s="438"/>
      <c r="E13" s="422" t="s">
        <v>1034</v>
      </c>
      <c r="F13" s="437"/>
    </row>
    <row r="14" spans="1:8" x14ac:dyDescent="0.35">
      <c r="B14" s="437"/>
      <c r="C14" s="419" t="s">
        <v>783</v>
      </c>
      <c r="D14" s="438"/>
      <c r="E14" s="422" t="s">
        <v>1035</v>
      </c>
      <c r="F14" s="437"/>
    </row>
    <row r="15" spans="1:8" x14ac:dyDescent="0.35">
      <c r="A15" s="419" t="s">
        <v>837</v>
      </c>
      <c r="B15" s="437"/>
      <c r="D15" s="438"/>
      <c r="E15" s="422" t="s">
        <v>1036</v>
      </c>
      <c r="F15" s="437"/>
    </row>
    <row r="16" spans="1:8" x14ac:dyDescent="0.35">
      <c r="A16" s="416" t="s">
        <v>704</v>
      </c>
      <c r="B16" s="437"/>
      <c r="D16" s="438"/>
      <c r="E16" s="420" t="s">
        <v>1045</v>
      </c>
      <c r="F16" s="437"/>
      <c r="G16" s="437"/>
      <c r="H16" s="419"/>
    </row>
    <row r="17" spans="1:8" x14ac:dyDescent="0.35">
      <c r="A17" s="419" t="s">
        <v>703</v>
      </c>
      <c r="B17" s="437"/>
      <c r="D17" s="438"/>
      <c r="E17" s="420" t="s">
        <v>762</v>
      </c>
      <c r="F17" s="437"/>
    </row>
    <row r="18" spans="1:8" x14ac:dyDescent="0.35">
      <c r="E18" s="420" t="s">
        <v>942</v>
      </c>
      <c r="F18" s="437"/>
      <c r="G18" s="437"/>
      <c r="H18" s="437"/>
    </row>
    <row r="19" spans="1:8" ht="13.2" x14ac:dyDescent="0.4">
      <c r="A19" s="415" t="s">
        <v>784</v>
      </c>
      <c r="B19" s="437"/>
      <c r="E19" s="420"/>
    </row>
    <row r="20" spans="1:8" x14ac:dyDescent="0.35">
      <c r="A20" s="419" t="s">
        <v>1008</v>
      </c>
      <c r="B20" s="437"/>
      <c r="D20" s="438"/>
      <c r="E20" s="420"/>
    </row>
    <row r="21" spans="1:8" x14ac:dyDescent="0.35">
      <c r="A21" s="419" t="s">
        <v>33</v>
      </c>
      <c r="B21" s="437"/>
      <c r="D21" s="438"/>
    </row>
    <row r="22" spans="1:8" x14ac:dyDescent="0.35">
      <c r="A22" s="419" t="s">
        <v>839</v>
      </c>
      <c r="B22" s="437"/>
      <c r="D22" s="438"/>
    </row>
    <row r="23" spans="1:8" x14ac:dyDescent="0.35">
      <c r="A23" s="419" t="s">
        <v>840</v>
      </c>
      <c r="B23" s="437"/>
      <c r="D23" s="438"/>
    </row>
    <row r="24" spans="1:8" x14ac:dyDescent="0.35">
      <c r="A24" s="416" t="s">
        <v>1037</v>
      </c>
      <c r="B24" s="437"/>
      <c r="D24" s="438"/>
    </row>
    <row r="25" spans="1:8" x14ac:dyDescent="0.35">
      <c r="A25" s="416" t="s">
        <v>1038</v>
      </c>
      <c r="B25" s="437"/>
      <c r="D25" s="438"/>
    </row>
    <row r="26" spans="1:8" ht="13.2" x14ac:dyDescent="0.4">
      <c r="A26" s="415" t="s">
        <v>1022</v>
      </c>
      <c r="B26" s="437"/>
      <c r="D26" s="438"/>
    </row>
    <row r="27" spans="1:8" x14ac:dyDescent="0.35">
      <c r="A27" s="419" t="s">
        <v>841</v>
      </c>
      <c r="B27" s="437"/>
      <c r="C27" s="416" t="str">
        <f t="shared" ref="C27:C35" si="0">IF(OR(D27=0,D27=1,D27=""),"",INDEX(tbl_Ped_DrainLokatie,D27,0))</f>
        <v/>
      </c>
      <c r="D27" s="437"/>
    </row>
    <row r="28" spans="1:8" x14ac:dyDescent="0.35">
      <c r="B28" s="437"/>
      <c r="C28" s="416" t="str">
        <f>IF(OR(D28=0,D28=1,D28=""),"",INDEX(tbl_Ped_DrainModus,D28,0))</f>
        <v/>
      </c>
      <c r="D28" s="437"/>
    </row>
    <row r="29" spans="1:8" x14ac:dyDescent="0.35">
      <c r="B29" s="437"/>
      <c r="C29" s="416" t="str">
        <f>IF(OR(D29=0,D29=1,D29=""),"",INDEX(tbl_Ped_DrainZuig,D29,0))</f>
        <v/>
      </c>
      <c r="D29" s="437"/>
    </row>
    <row r="30" spans="1:8" x14ac:dyDescent="0.35">
      <c r="A30" s="419" t="s">
        <v>939</v>
      </c>
      <c r="B30" s="437"/>
      <c r="C30" s="416" t="str">
        <f t="shared" si="0"/>
        <v/>
      </c>
      <c r="D30" s="437"/>
    </row>
    <row r="31" spans="1:8" x14ac:dyDescent="0.35">
      <c r="B31" s="437"/>
      <c r="C31" s="416" t="str">
        <f>IF(OR(D31=0,D31=1,D31=""),"",INDEX(tbl_Ped_DrainModus,D31,0))</f>
        <v/>
      </c>
      <c r="D31" s="437"/>
    </row>
    <row r="32" spans="1:8" x14ac:dyDescent="0.35">
      <c r="B32" s="437"/>
      <c r="C32" s="416" t="str">
        <f>IF(OR(D32=0,D32=1,D32=""),"",INDEX(tbl_Ped_DrainZuig,D32,0))</f>
        <v/>
      </c>
      <c r="D32" s="437"/>
    </row>
    <row r="33" spans="1:5" x14ac:dyDescent="0.35">
      <c r="A33" s="419" t="s">
        <v>1025</v>
      </c>
      <c r="B33" s="437"/>
      <c r="C33" s="416" t="str">
        <f t="shared" si="0"/>
        <v/>
      </c>
      <c r="D33" s="437"/>
    </row>
    <row r="34" spans="1:5" x14ac:dyDescent="0.35">
      <c r="B34" s="437"/>
      <c r="C34" s="416" t="str">
        <f t="shared" si="0"/>
        <v/>
      </c>
      <c r="D34" s="437"/>
    </row>
    <row r="35" spans="1:5" x14ac:dyDescent="0.35">
      <c r="B35" s="437"/>
      <c r="C35" s="416" t="str">
        <f t="shared" si="0"/>
        <v/>
      </c>
      <c r="D35" s="437"/>
    </row>
    <row r="36" spans="1:5" x14ac:dyDescent="0.35">
      <c r="A36" s="413" t="s">
        <v>760</v>
      </c>
      <c r="B36" s="435"/>
      <c r="C36" s="384" t="s">
        <v>1026</v>
      </c>
      <c r="D36" s="436"/>
      <c r="E36" s="422" t="str">
        <f>IF(B36,CONCATENATE(A36,IF(D36,CONCATENATE(" (",C36,")"),"")," - "),"")</f>
        <v/>
      </c>
    </row>
    <row r="37" spans="1:5" x14ac:dyDescent="0.35">
      <c r="A37" s="384" t="s">
        <v>958</v>
      </c>
      <c r="B37" s="435"/>
      <c r="C37" s="384" t="s">
        <v>1026</v>
      </c>
      <c r="D37" s="435"/>
      <c r="E37" s="422" t="str">
        <f t="shared" ref="E37:E38" si="1">IF(B37,CONCATENATE(A37,IF(D37,CONCATENATE(" (",C37,")"),"")," - "),"")</f>
        <v/>
      </c>
    </row>
    <row r="38" spans="1:5" x14ac:dyDescent="0.35">
      <c r="A38" s="413" t="s">
        <v>759</v>
      </c>
      <c r="B38" s="435"/>
      <c r="C38" s="384" t="s">
        <v>1026</v>
      </c>
      <c r="D38" s="435"/>
      <c r="E38" s="422" t="str">
        <f t="shared" si="1"/>
        <v/>
      </c>
    </row>
    <row r="39" spans="1:5" x14ac:dyDescent="0.35">
      <c r="A39" s="384" t="s">
        <v>1023</v>
      </c>
      <c r="B39" s="435"/>
      <c r="C39" s="383" t="str">
        <f>IF(OR(D39=0,D39=1,D39=""),"",INDEX(tbl_Ped_LiquorDrain,D39,0))</f>
        <v/>
      </c>
      <c r="D39" s="436"/>
    </row>
    <row r="40" spans="1:5" x14ac:dyDescent="0.35">
      <c r="A40" s="383"/>
      <c r="B40" s="435"/>
      <c r="C40" s="383" t="s">
        <v>1024</v>
      </c>
      <c r="D40" s="436"/>
    </row>
    <row r="42" spans="1:5" x14ac:dyDescent="0.35">
      <c r="A42" s="416" t="s">
        <v>1047</v>
      </c>
      <c r="B42" s="437"/>
      <c r="C42" s="437"/>
    </row>
    <row r="43" spans="1:5" x14ac:dyDescent="0.35">
      <c r="A43" s="416" t="s">
        <v>1048</v>
      </c>
      <c r="B43" s="437"/>
      <c r="C43" s="437"/>
    </row>
    <row r="44" spans="1:5" x14ac:dyDescent="0.35">
      <c r="A44" s="416" t="s">
        <v>1049</v>
      </c>
      <c r="B44" s="437"/>
    </row>
    <row r="46" spans="1:5" ht="13.2" x14ac:dyDescent="0.4">
      <c r="A46" s="415" t="s">
        <v>749</v>
      </c>
    </row>
    <row r="47" spans="1:5" x14ac:dyDescent="0.35">
      <c r="A47" s="419" t="s">
        <v>778</v>
      </c>
      <c r="B47" s="416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419" t="s">
        <v>784</v>
      </c>
      <c r="B48" s="416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416" t="s">
        <v>1022</v>
      </c>
      <c r="B49" s="416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419" t="s">
        <v>762</v>
      </c>
      <c r="B50" s="416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419"/>
    </row>
    <row r="58" spans="1:2" x14ac:dyDescent="0.35">
      <c r="A58" s="419"/>
    </row>
    <row r="60" spans="1:2" x14ac:dyDescent="0.35">
      <c r="A60" s="419"/>
    </row>
    <row r="61" spans="1:2" x14ac:dyDescent="0.35">
      <c r="A61" s="419"/>
    </row>
    <row r="62" spans="1:2" x14ac:dyDescent="0.35">
      <c r="A62" s="419"/>
    </row>
    <row r="63" spans="1:2" x14ac:dyDescent="0.35">
      <c r="A63" s="419"/>
    </row>
    <row r="64" spans="1:2" x14ac:dyDescent="0.35">
      <c r="A64" s="419"/>
    </row>
    <row r="65" spans="1:1" x14ac:dyDescent="0.35">
      <c r="A65" s="419"/>
    </row>
    <row r="66" spans="1:1" x14ac:dyDescent="0.35">
      <c r="A66" s="419"/>
    </row>
    <row r="67" spans="1:1" x14ac:dyDescent="0.35">
      <c r="A67" s="419"/>
    </row>
    <row r="68" spans="1:1" x14ac:dyDescent="0.35">
      <c r="A68" s="419"/>
    </row>
    <row r="69" spans="1:1" x14ac:dyDescent="0.35">
      <c r="A69" s="419"/>
    </row>
    <row r="70" spans="1:1" x14ac:dyDescent="0.35">
      <c r="A70" s="419"/>
    </row>
    <row r="71" spans="1:1" x14ac:dyDescent="0.35">
      <c r="A71" s="419"/>
    </row>
    <row r="73" spans="1:1" x14ac:dyDescent="0.35">
      <c r="A73" s="419"/>
    </row>
    <row r="74" spans="1:1" x14ac:dyDescent="0.35">
      <c r="A74" s="419"/>
    </row>
    <row r="75" spans="1:1" x14ac:dyDescent="0.35">
      <c r="A75" s="419"/>
    </row>
    <row r="76" spans="1:1" x14ac:dyDescent="0.35">
      <c r="A76" s="419"/>
    </row>
    <row r="77" spans="1:1" x14ac:dyDescent="0.35">
      <c r="A77" s="419"/>
    </row>
    <row r="78" spans="1:1" x14ac:dyDescent="0.35">
      <c r="A78" s="419"/>
    </row>
    <row r="79" spans="1:1" x14ac:dyDescent="0.35">
      <c r="A79" s="419"/>
    </row>
    <row r="80" spans="1:1" x14ac:dyDescent="0.35">
      <c r="A80" s="419"/>
    </row>
    <row r="81" spans="1:1" x14ac:dyDescent="0.35">
      <c r="A81" s="419"/>
    </row>
    <row r="82" spans="1:1" x14ac:dyDescent="0.35">
      <c r="A82" s="419"/>
    </row>
    <row r="83" spans="1:1" x14ac:dyDescent="0.35">
      <c r="A83" s="419"/>
    </row>
    <row r="84" spans="1:1" x14ac:dyDescent="0.35">
      <c r="A84" s="419"/>
    </row>
    <row r="85" spans="1:1" x14ac:dyDescent="0.35">
      <c r="A85" s="419"/>
    </row>
    <row r="86" spans="1:1" x14ac:dyDescent="0.35">
      <c r="A86" s="419"/>
    </row>
    <row r="87" spans="1:1" x14ac:dyDescent="0.35">
      <c r="A87" s="419"/>
    </row>
    <row r="88" spans="1:1" x14ac:dyDescent="0.35">
      <c r="A88" s="419"/>
    </row>
    <row r="89" spans="1:1" x14ac:dyDescent="0.35">
      <c r="A89" s="419"/>
    </row>
    <row r="90" spans="1:1" x14ac:dyDescent="0.35">
      <c r="A90" s="419"/>
    </row>
    <row r="91" spans="1:1" x14ac:dyDescent="0.35">
      <c r="A91" s="419"/>
    </row>
    <row r="92" spans="1:1" x14ac:dyDescent="0.35">
      <c r="A92" s="419"/>
    </row>
    <row r="93" spans="1:1" x14ac:dyDescent="0.35">
      <c r="A93" s="419"/>
    </row>
    <row r="94" spans="1:1" x14ac:dyDescent="0.35">
      <c r="A94" s="419"/>
    </row>
    <row r="95" spans="1:1" x14ac:dyDescent="0.35">
      <c r="A95" s="419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383" customWidth="1"/>
    <col min="5" max="5" width="11" bestFit="1" customWidth="1"/>
    <col min="6" max="6" width="12.1328125" bestFit="1" customWidth="1"/>
    <col min="8" max="8" width="9.1328125" style="187"/>
    <col min="9" max="9" width="19.265625" bestFit="1" customWidth="1"/>
    <col min="10" max="10" width="17.73046875" bestFit="1" customWidth="1"/>
  </cols>
  <sheetData>
    <row r="1" spans="1:16" s="383" customFormat="1" ht="13.2" x14ac:dyDescent="0.4">
      <c r="A1" s="448" t="s">
        <v>717</v>
      </c>
      <c r="B1" s="2" t="s">
        <v>752</v>
      </c>
      <c r="C1" s="2" t="s">
        <v>753</v>
      </c>
      <c r="D1" s="2" t="s">
        <v>1018</v>
      </c>
      <c r="E1" s="2" t="s">
        <v>779</v>
      </c>
      <c r="F1" s="2" t="s">
        <v>786</v>
      </c>
      <c r="G1" s="2" t="s">
        <v>842</v>
      </c>
      <c r="H1" s="411"/>
      <c r="I1" s="2" t="s">
        <v>1009</v>
      </c>
      <c r="J1" s="2" t="s">
        <v>1027</v>
      </c>
    </row>
    <row r="2" spans="1:16" x14ac:dyDescent="0.35">
      <c r="G2">
        <v>1</v>
      </c>
    </row>
    <row r="3" spans="1:16" x14ac:dyDescent="0.35">
      <c r="A3" s="384" t="s">
        <v>713</v>
      </c>
      <c r="B3" s="391" t="s">
        <v>1011</v>
      </c>
      <c r="C3" s="384" t="s">
        <v>1014</v>
      </c>
      <c r="D3" s="384" t="s">
        <v>1019</v>
      </c>
      <c r="E3" s="384" t="s">
        <v>780</v>
      </c>
      <c r="F3" s="384" t="s">
        <v>787</v>
      </c>
      <c r="G3">
        <v>2</v>
      </c>
      <c r="H3" s="383" t="s">
        <v>843</v>
      </c>
      <c r="I3" s="466" t="s">
        <v>1039</v>
      </c>
      <c r="J3" t="s">
        <v>1028</v>
      </c>
      <c r="N3" s="388"/>
      <c r="O3" s="383"/>
      <c r="P3" s="383"/>
    </row>
    <row r="4" spans="1:16" x14ac:dyDescent="0.35">
      <c r="A4" s="384" t="s">
        <v>714</v>
      </c>
      <c r="B4" s="391" t="s">
        <v>750</v>
      </c>
      <c r="C4" s="384" t="s">
        <v>1015</v>
      </c>
      <c r="D4" s="384" t="s">
        <v>1020</v>
      </c>
      <c r="E4" s="384" t="s">
        <v>781</v>
      </c>
      <c r="F4" s="384" t="s">
        <v>788</v>
      </c>
      <c r="G4">
        <v>3</v>
      </c>
      <c r="H4" s="383" t="s">
        <v>844</v>
      </c>
      <c r="I4" s="466" t="s">
        <v>1040</v>
      </c>
      <c r="J4" t="s">
        <v>1029</v>
      </c>
      <c r="N4" s="384"/>
      <c r="O4" s="383"/>
      <c r="P4" s="383"/>
    </row>
    <row r="5" spans="1:16" x14ac:dyDescent="0.35">
      <c r="A5" s="384" t="s">
        <v>715</v>
      </c>
      <c r="B5" s="391" t="s">
        <v>751</v>
      </c>
      <c r="C5" s="384" t="s">
        <v>1016</v>
      </c>
      <c r="D5" s="384" t="s">
        <v>1021</v>
      </c>
      <c r="E5" s="384" t="s">
        <v>782</v>
      </c>
      <c r="F5" s="384" t="s">
        <v>789</v>
      </c>
      <c r="G5" s="383">
        <v>4</v>
      </c>
      <c r="H5" s="383" t="s">
        <v>845</v>
      </c>
      <c r="I5" s="466" t="s">
        <v>1041</v>
      </c>
      <c r="J5" t="s">
        <v>1030</v>
      </c>
      <c r="N5" s="384"/>
      <c r="O5" s="383"/>
      <c r="P5" s="383"/>
    </row>
    <row r="6" spans="1:16" x14ac:dyDescent="0.35">
      <c r="A6" s="435"/>
      <c r="B6" s="391" t="s">
        <v>957</v>
      </c>
      <c r="C6" t="s">
        <v>1017</v>
      </c>
      <c r="E6" s="384" t="s">
        <v>783</v>
      </c>
      <c r="F6" s="384" t="s">
        <v>790</v>
      </c>
      <c r="G6" s="383">
        <v>5</v>
      </c>
      <c r="H6" s="383" t="s">
        <v>846</v>
      </c>
      <c r="I6" s="410"/>
      <c r="N6" s="383"/>
      <c r="O6" s="383"/>
      <c r="P6" s="383"/>
    </row>
    <row r="7" spans="1:16" x14ac:dyDescent="0.35">
      <c r="B7" s="391" t="s">
        <v>1012</v>
      </c>
      <c r="E7" s="384"/>
      <c r="G7" s="383">
        <v>6</v>
      </c>
      <c r="H7" s="383" t="s">
        <v>847</v>
      </c>
      <c r="I7" s="410"/>
      <c r="N7" s="383"/>
      <c r="O7" s="383"/>
      <c r="P7" s="383"/>
    </row>
    <row r="8" spans="1:16" x14ac:dyDescent="0.35">
      <c r="B8" s="391" t="s">
        <v>1013</v>
      </c>
      <c r="G8" s="383">
        <v>7</v>
      </c>
      <c r="H8" s="383" t="s">
        <v>848</v>
      </c>
      <c r="I8" s="410"/>
      <c r="N8" s="383"/>
      <c r="O8" s="383"/>
      <c r="P8" s="383"/>
    </row>
    <row r="9" spans="1:16" x14ac:dyDescent="0.35">
      <c r="G9" s="383">
        <v>8</v>
      </c>
      <c r="H9" s="383" t="s">
        <v>849</v>
      </c>
      <c r="I9" s="410"/>
      <c r="N9" s="383"/>
      <c r="O9" s="383"/>
      <c r="P9" s="383"/>
    </row>
    <row r="10" spans="1:16" x14ac:dyDescent="0.35">
      <c r="G10" s="383">
        <v>9</v>
      </c>
      <c r="H10" s="383" t="s">
        <v>850</v>
      </c>
      <c r="I10" s="410"/>
      <c r="N10" s="383"/>
      <c r="O10" s="383"/>
      <c r="P10" s="383"/>
    </row>
    <row r="11" spans="1:16" x14ac:dyDescent="0.35">
      <c r="G11" s="383">
        <v>10</v>
      </c>
      <c r="H11" s="383" t="s">
        <v>851</v>
      </c>
      <c r="I11" s="410"/>
      <c r="N11" s="383"/>
      <c r="O11" s="383"/>
      <c r="P11" s="383"/>
    </row>
    <row r="12" spans="1:16" x14ac:dyDescent="0.35">
      <c r="G12" s="383">
        <v>11</v>
      </c>
      <c r="H12" s="383" t="s">
        <v>852</v>
      </c>
      <c r="I12" s="410"/>
      <c r="N12" s="383"/>
      <c r="O12" s="383"/>
      <c r="P12" s="383"/>
    </row>
    <row r="13" spans="1:16" x14ac:dyDescent="0.35">
      <c r="G13" s="383">
        <v>12</v>
      </c>
      <c r="H13" s="383" t="s">
        <v>853</v>
      </c>
      <c r="I13" s="410"/>
      <c r="N13" s="383"/>
      <c r="O13" s="383"/>
      <c r="P13" s="383"/>
    </row>
    <row r="14" spans="1:16" x14ac:dyDescent="0.35">
      <c r="G14" s="383">
        <v>13</v>
      </c>
      <c r="H14" s="383" t="s">
        <v>854</v>
      </c>
      <c r="I14" s="410"/>
      <c r="N14" s="383"/>
      <c r="O14" s="383"/>
      <c r="P14" s="383"/>
    </row>
    <row r="15" spans="1:16" x14ac:dyDescent="0.35">
      <c r="G15" s="383">
        <v>14</v>
      </c>
      <c r="H15" s="383" t="s">
        <v>855</v>
      </c>
      <c r="I15" s="410"/>
      <c r="N15" s="384"/>
      <c r="O15" s="383"/>
      <c r="P15" s="383"/>
    </row>
    <row r="16" spans="1:16" x14ac:dyDescent="0.35">
      <c r="G16" s="383">
        <v>15</v>
      </c>
      <c r="H16" s="383" t="s">
        <v>856</v>
      </c>
      <c r="I16" s="410"/>
      <c r="N16" s="384"/>
      <c r="O16" s="383"/>
      <c r="P16" s="383"/>
    </row>
    <row r="17" spans="7:16" x14ac:dyDescent="0.35">
      <c r="G17" s="383">
        <v>16</v>
      </c>
      <c r="H17" s="383" t="s">
        <v>857</v>
      </c>
      <c r="I17" s="410"/>
      <c r="N17" s="384"/>
      <c r="O17" s="383"/>
      <c r="P17" s="383"/>
    </row>
    <row r="18" spans="7:16" x14ac:dyDescent="0.35">
      <c r="G18" s="383">
        <v>17</v>
      </c>
      <c r="H18" s="383" t="s">
        <v>858</v>
      </c>
      <c r="I18" s="410"/>
      <c r="N18" s="384"/>
      <c r="O18" s="383"/>
      <c r="P18" s="383"/>
    </row>
    <row r="19" spans="7:16" x14ac:dyDescent="0.35">
      <c r="G19" s="383">
        <v>18</v>
      </c>
      <c r="H19" s="383" t="s">
        <v>859</v>
      </c>
      <c r="I19" s="410"/>
      <c r="N19" s="384"/>
      <c r="O19" s="383"/>
      <c r="P19" s="383"/>
    </row>
    <row r="20" spans="7:16" x14ac:dyDescent="0.35">
      <c r="G20" s="383">
        <v>19</v>
      </c>
      <c r="H20" s="383" t="s">
        <v>860</v>
      </c>
      <c r="I20" s="410"/>
      <c r="N20" s="384"/>
      <c r="O20" s="383"/>
      <c r="P20" s="383"/>
    </row>
    <row r="21" spans="7:16" x14ac:dyDescent="0.35">
      <c r="G21" s="383">
        <v>20</v>
      </c>
      <c r="H21" s="383" t="s">
        <v>861</v>
      </c>
      <c r="I21" s="410"/>
      <c r="N21" s="383"/>
      <c r="O21" s="383"/>
      <c r="P21" s="383"/>
    </row>
    <row r="22" spans="7:16" x14ac:dyDescent="0.35">
      <c r="G22" s="383">
        <v>21</v>
      </c>
      <c r="H22" s="383" t="s">
        <v>862</v>
      </c>
      <c r="I22" s="410"/>
      <c r="N22" s="384"/>
      <c r="O22" s="383"/>
      <c r="P22" s="383"/>
    </row>
    <row r="23" spans="7:16" x14ac:dyDescent="0.35">
      <c r="G23" s="383">
        <v>22</v>
      </c>
      <c r="H23" s="383" t="s">
        <v>863</v>
      </c>
      <c r="I23" s="410"/>
      <c r="N23" s="384"/>
      <c r="O23" s="383"/>
      <c r="P23" s="383"/>
    </row>
    <row r="24" spans="7:16" x14ac:dyDescent="0.35">
      <c r="G24" s="383">
        <v>23</v>
      </c>
      <c r="H24" s="383" t="s">
        <v>864</v>
      </c>
      <c r="I24" s="410"/>
      <c r="N24" s="384"/>
      <c r="O24" s="383"/>
      <c r="P24" s="383"/>
    </row>
    <row r="25" spans="7:16" x14ac:dyDescent="0.35">
      <c r="G25" s="383">
        <v>24</v>
      </c>
      <c r="H25" s="383" t="s">
        <v>865</v>
      </c>
      <c r="I25" s="410"/>
      <c r="N25" s="383"/>
      <c r="O25" s="383"/>
      <c r="P25" s="383"/>
    </row>
    <row r="26" spans="7:16" x14ac:dyDescent="0.35">
      <c r="G26" s="383">
        <v>25</v>
      </c>
      <c r="H26" s="383" t="s">
        <v>866</v>
      </c>
      <c r="I26" s="410"/>
      <c r="N26" s="384"/>
      <c r="O26" s="383"/>
      <c r="P26" s="383"/>
    </row>
    <row r="27" spans="7:16" x14ac:dyDescent="0.35">
      <c r="G27" s="383">
        <v>26</v>
      </c>
      <c r="H27" s="383" t="s">
        <v>867</v>
      </c>
      <c r="I27" s="410"/>
      <c r="N27" s="383"/>
      <c r="O27" s="383"/>
      <c r="P27" s="383"/>
    </row>
    <row r="28" spans="7:16" x14ac:dyDescent="0.35">
      <c r="G28" s="383">
        <v>27</v>
      </c>
      <c r="H28" s="383" t="s">
        <v>868</v>
      </c>
      <c r="I28" s="410"/>
      <c r="N28" s="384"/>
      <c r="O28" s="383"/>
      <c r="P28" s="383"/>
    </row>
    <row r="29" spans="7:16" x14ac:dyDescent="0.35">
      <c r="G29" s="383">
        <v>28</v>
      </c>
      <c r="H29" s="383" t="s">
        <v>869</v>
      </c>
      <c r="I29" s="410"/>
      <c r="N29" s="383"/>
      <c r="O29" s="383"/>
      <c r="P29" s="383"/>
    </row>
    <row r="30" spans="7:16" x14ac:dyDescent="0.35">
      <c r="G30" s="383">
        <v>29</v>
      </c>
      <c r="H30" s="383" t="s">
        <v>870</v>
      </c>
      <c r="I30" s="410"/>
      <c r="N30" s="384"/>
      <c r="O30" s="383"/>
      <c r="P30" s="383"/>
    </row>
    <row r="31" spans="7:16" x14ac:dyDescent="0.35">
      <c r="G31" s="383">
        <v>30</v>
      </c>
      <c r="H31" s="383" t="s">
        <v>871</v>
      </c>
      <c r="I31" s="410"/>
      <c r="N31" s="384"/>
      <c r="O31" s="383"/>
      <c r="P31" s="383"/>
    </row>
    <row r="32" spans="7:16" x14ac:dyDescent="0.35">
      <c r="G32" s="383">
        <v>31</v>
      </c>
      <c r="H32" s="383" t="s">
        <v>872</v>
      </c>
      <c r="I32" s="410"/>
      <c r="N32" s="384"/>
      <c r="O32" s="383"/>
      <c r="P32" s="383"/>
    </row>
    <row r="33" spans="7:16" x14ac:dyDescent="0.35">
      <c r="G33" s="383">
        <v>32</v>
      </c>
      <c r="H33" s="383" t="s">
        <v>873</v>
      </c>
      <c r="I33" s="410"/>
      <c r="N33" s="388"/>
      <c r="O33" s="383"/>
      <c r="P33" s="383"/>
    </row>
    <row r="34" spans="7:16" x14ac:dyDescent="0.35">
      <c r="G34" s="383">
        <v>33</v>
      </c>
      <c r="H34" s="383" t="s">
        <v>874</v>
      </c>
      <c r="I34" s="410"/>
      <c r="N34" s="384"/>
      <c r="O34" s="383"/>
      <c r="P34" s="383"/>
    </row>
    <row r="35" spans="7:16" x14ac:dyDescent="0.35">
      <c r="G35" s="383">
        <v>34</v>
      </c>
      <c r="H35" s="383" t="s">
        <v>875</v>
      </c>
      <c r="I35" s="410"/>
      <c r="N35" s="384"/>
      <c r="O35" s="383"/>
      <c r="P35" s="383"/>
    </row>
    <row r="36" spans="7:16" x14ac:dyDescent="0.35">
      <c r="G36" s="383">
        <v>35</v>
      </c>
      <c r="H36" s="383" t="s">
        <v>876</v>
      </c>
      <c r="I36" s="410"/>
      <c r="N36" s="384"/>
      <c r="O36" s="383"/>
      <c r="P36" s="383"/>
    </row>
    <row r="37" spans="7:16" x14ac:dyDescent="0.35">
      <c r="G37" s="383">
        <v>36</v>
      </c>
      <c r="H37" s="383" t="s">
        <v>877</v>
      </c>
      <c r="I37" s="410"/>
      <c r="N37" s="383"/>
      <c r="O37" s="383"/>
      <c r="P37" s="383"/>
    </row>
    <row r="38" spans="7:16" x14ac:dyDescent="0.35">
      <c r="G38" s="383">
        <v>37</v>
      </c>
      <c r="H38" s="383" t="s">
        <v>878</v>
      </c>
      <c r="I38" s="410"/>
      <c r="N38" s="384"/>
      <c r="O38" s="383"/>
      <c r="P38" s="383"/>
    </row>
    <row r="39" spans="7:16" x14ac:dyDescent="0.35">
      <c r="G39" s="383">
        <v>38</v>
      </c>
      <c r="H39" s="383" t="s">
        <v>879</v>
      </c>
      <c r="I39" s="410"/>
      <c r="N39" s="384"/>
      <c r="O39" s="383"/>
      <c r="P39" s="383"/>
    </row>
    <row r="40" spans="7:16" x14ac:dyDescent="0.35">
      <c r="G40" s="383">
        <v>39</v>
      </c>
      <c r="H40" s="383" t="s">
        <v>880</v>
      </c>
      <c r="I40" s="410"/>
      <c r="N40" s="383"/>
      <c r="O40" s="383"/>
      <c r="P40" s="383"/>
    </row>
    <row r="41" spans="7:16" x14ac:dyDescent="0.35">
      <c r="G41" s="383">
        <v>40</v>
      </c>
      <c r="H41" s="383" t="s">
        <v>881</v>
      </c>
      <c r="I41" s="410"/>
      <c r="N41" s="383"/>
      <c r="O41" s="383"/>
      <c r="P41" s="383"/>
    </row>
    <row r="42" spans="7:16" x14ac:dyDescent="0.35">
      <c r="G42" s="383">
        <v>41</v>
      </c>
      <c r="H42" s="383" t="s">
        <v>882</v>
      </c>
      <c r="I42" s="410"/>
      <c r="N42" s="383"/>
      <c r="O42" s="383"/>
      <c r="P42" s="383"/>
    </row>
    <row r="43" spans="7:16" x14ac:dyDescent="0.35">
      <c r="G43" s="383">
        <v>42</v>
      </c>
      <c r="H43" s="383" t="s">
        <v>883</v>
      </c>
      <c r="I43" s="410"/>
      <c r="N43" s="383"/>
      <c r="O43" s="383"/>
      <c r="P43" s="383"/>
    </row>
    <row r="44" spans="7:16" x14ac:dyDescent="0.35">
      <c r="G44" s="383">
        <v>43</v>
      </c>
      <c r="H44" s="383" t="s">
        <v>884</v>
      </c>
      <c r="I44" s="410"/>
      <c r="N44" s="384"/>
      <c r="O44" s="383"/>
      <c r="P44" s="383"/>
    </row>
    <row r="45" spans="7:16" x14ac:dyDescent="0.35">
      <c r="G45" s="383">
        <v>44</v>
      </c>
      <c r="H45" s="383" t="s">
        <v>885</v>
      </c>
      <c r="I45" s="410"/>
      <c r="N45" s="384"/>
      <c r="O45" s="383"/>
      <c r="P45" s="383"/>
    </row>
    <row r="46" spans="7:16" x14ac:dyDescent="0.35">
      <c r="G46" s="383">
        <v>45</v>
      </c>
      <c r="H46" s="383" t="s">
        <v>886</v>
      </c>
      <c r="I46" s="410"/>
      <c r="N46" s="384"/>
      <c r="O46" s="383"/>
      <c r="P46" s="383"/>
    </row>
    <row r="47" spans="7:16" x14ac:dyDescent="0.35">
      <c r="G47" s="383">
        <v>46</v>
      </c>
      <c r="H47" s="383" t="s">
        <v>887</v>
      </c>
      <c r="I47" s="410"/>
      <c r="N47" s="384"/>
      <c r="O47" s="383"/>
      <c r="P47" s="383"/>
    </row>
    <row r="48" spans="7:16" x14ac:dyDescent="0.35">
      <c r="G48" s="383">
        <v>47</v>
      </c>
      <c r="H48" s="383" t="s">
        <v>888</v>
      </c>
      <c r="I48" s="410"/>
      <c r="N48" s="384"/>
      <c r="O48" s="383"/>
      <c r="P48" s="383"/>
    </row>
    <row r="49" spans="7:16" x14ac:dyDescent="0.35">
      <c r="G49" s="383">
        <v>48</v>
      </c>
      <c r="H49" s="383" t="s">
        <v>889</v>
      </c>
      <c r="I49" s="410"/>
      <c r="N49" s="384"/>
      <c r="O49" s="383"/>
      <c r="P49" s="383"/>
    </row>
    <row r="50" spans="7:16" x14ac:dyDescent="0.35">
      <c r="G50" s="383">
        <v>49</v>
      </c>
      <c r="H50" s="383" t="s">
        <v>890</v>
      </c>
      <c r="I50" s="410"/>
      <c r="N50" s="384"/>
      <c r="O50" s="383"/>
      <c r="P50" s="383"/>
    </row>
    <row r="51" spans="7:16" x14ac:dyDescent="0.35">
      <c r="G51" s="383">
        <v>50</v>
      </c>
      <c r="H51" s="383" t="s">
        <v>891</v>
      </c>
      <c r="I51" s="410"/>
      <c r="N51" s="384"/>
      <c r="O51" s="383"/>
      <c r="P51" s="383"/>
    </row>
    <row r="52" spans="7:16" x14ac:dyDescent="0.35">
      <c r="G52" s="383">
        <v>51</v>
      </c>
      <c r="H52" s="383" t="s">
        <v>892</v>
      </c>
      <c r="I52" s="410"/>
      <c r="N52" s="384"/>
      <c r="O52" s="383"/>
      <c r="P52" s="383"/>
    </row>
    <row r="53" spans="7:16" x14ac:dyDescent="0.35">
      <c r="G53" s="383">
        <v>52</v>
      </c>
      <c r="H53" s="383" t="s">
        <v>893</v>
      </c>
      <c r="I53" s="410"/>
      <c r="N53" s="384"/>
      <c r="O53" s="383"/>
      <c r="P53" s="383"/>
    </row>
    <row r="54" spans="7:16" x14ac:dyDescent="0.35">
      <c r="G54" s="383">
        <v>53</v>
      </c>
      <c r="H54" s="383" t="s">
        <v>894</v>
      </c>
      <c r="I54" s="410"/>
      <c r="N54" s="384"/>
      <c r="O54" s="383"/>
      <c r="P54" s="383"/>
    </row>
    <row r="55" spans="7:16" x14ac:dyDescent="0.35">
      <c r="G55" s="383">
        <v>54</v>
      </c>
      <c r="H55" s="383" t="s">
        <v>895</v>
      </c>
      <c r="I55" s="410"/>
      <c r="N55" s="384"/>
      <c r="O55" s="383"/>
      <c r="P55" s="383"/>
    </row>
    <row r="56" spans="7:16" x14ac:dyDescent="0.35">
      <c r="G56" s="383">
        <v>55</v>
      </c>
      <c r="H56" s="383" t="s">
        <v>896</v>
      </c>
      <c r="I56" s="410"/>
      <c r="N56" s="383"/>
      <c r="O56" s="383"/>
      <c r="P56" s="383"/>
    </row>
    <row r="57" spans="7:16" x14ac:dyDescent="0.35">
      <c r="G57" s="383">
        <v>56</v>
      </c>
      <c r="H57" s="383" t="s">
        <v>897</v>
      </c>
      <c r="I57" s="410"/>
      <c r="N57" s="383"/>
      <c r="O57" s="383"/>
      <c r="P57" s="383"/>
    </row>
    <row r="58" spans="7:16" x14ac:dyDescent="0.35">
      <c r="G58" s="383">
        <v>57</v>
      </c>
      <c r="H58" s="383" t="s">
        <v>898</v>
      </c>
      <c r="I58" s="410"/>
      <c r="N58" s="384"/>
      <c r="O58" s="383"/>
      <c r="P58" s="383"/>
    </row>
    <row r="59" spans="7:16" x14ac:dyDescent="0.35">
      <c r="G59" s="383">
        <v>58</v>
      </c>
      <c r="H59" s="383" t="s">
        <v>899</v>
      </c>
      <c r="I59" s="410"/>
      <c r="N59" s="383"/>
      <c r="O59" s="383"/>
      <c r="P59" s="383"/>
    </row>
    <row r="60" spans="7:16" x14ac:dyDescent="0.35">
      <c r="G60" s="383">
        <v>59</v>
      </c>
      <c r="H60" s="383" t="s">
        <v>900</v>
      </c>
      <c r="I60" s="410"/>
      <c r="N60" s="384"/>
      <c r="O60" s="383"/>
      <c r="P60" s="383"/>
    </row>
    <row r="61" spans="7:16" x14ac:dyDescent="0.35">
      <c r="G61" s="383">
        <v>60</v>
      </c>
      <c r="H61" s="383" t="s">
        <v>901</v>
      </c>
      <c r="I61" s="410"/>
      <c r="N61" s="384"/>
      <c r="O61" s="383"/>
      <c r="P61" s="383"/>
    </row>
    <row r="62" spans="7:16" x14ac:dyDescent="0.35">
      <c r="G62" s="383">
        <v>61</v>
      </c>
      <c r="H62" s="383" t="s">
        <v>902</v>
      </c>
      <c r="I62" s="410"/>
      <c r="N62" s="383"/>
      <c r="O62" s="383"/>
      <c r="P62" s="383"/>
    </row>
    <row r="63" spans="7:16" x14ac:dyDescent="0.35">
      <c r="G63" s="383">
        <v>62</v>
      </c>
      <c r="H63" s="383" t="s">
        <v>903</v>
      </c>
      <c r="I63" s="410"/>
      <c r="N63" s="384"/>
      <c r="O63" s="383"/>
      <c r="P63" s="383"/>
    </row>
    <row r="64" spans="7:16" x14ac:dyDescent="0.35">
      <c r="G64" s="383">
        <v>63</v>
      </c>
      <c r="H64" s="383" t="s">
        <v>904</v>
      </c>
      <c r="I64" s="410"/>
      <c r="N64" s="384"/>
      <c r="O64" s="383"/>
      <c r="P64" s="383"/>
    </row>
    <row r="65" spans="7:16" x14ac:dyDescent="0.35">
      <c r="G65" s="383">
        <v>64</v>
      </c>
      <c r="H65" s="383" t="s">
        <v>905</v>
      </c>
      <c r="I65" s="410"/>
      <c r="N65" s="384"/>
      <c r="O65" s="383"/>
      <c r="P65" s="383"/>
    </row>
    <row r="66" spans="7:16" x14ac:dyDescent="0.35">
      <c r="G66" s="383">
        <v>65</v>
      </c>
      <c r="H66" s="383" t="s">
        <v>906</v>
      </c>
      <c r="I66" s="410"/>
      <c r="N66" s="384"/>
      <c r="O66" s="383"/>
      <c r="P66" s="383"/>
    </row>
    <row r="67" spans="7:16" x14ac:dyDescent="0.35">
      <c r="G67" s="383">
        <v>66</v>
      </c>
      <c r="H67" s="383" t="s">
        <v>907</v>
      </c>
      <c r="I67" s="410"/>
      <c r="N67" s="383"/>
      <c r="O67" s="383"/>
      <c r="P67" s="383"/>
    </row>
    <row r="68" spans="7:16" x14ac:dyDescent="0.35">
      <c r="G68" s="383">
        <v>67</v>
      </c>
      <c r="H68" s="383" t="s">
        <v>908</v>
      </c>
      <c r="I68" s="410"/>
      <c r="N68" s="384"/>
      <c r="O68" s="383"/>
      <c r="P68" s="383"/>
    </row>
    <row r="69" spans="7:16" x14ac:dyDescent="0.35">
      <c r="G69" s="383">
        <v>68</v>
      </c>
      <c r="H69" s="383" t="s">
        <v>909</v>
      </c>
      <c r="I69" s="410"/>
      <c r="N69" s="384"/>
      <c r="O69" s="383"/>
      <c r="P69" s="383"/>
    </row>
    <row r="70" spans="7:16" x14ac:dyDescent="0.35">
      <c r="G70" s="383">
        <v>69</v>
      </c>
      <c r="H70" s="383" t="s">
        <v>910</v>
      </c>
      <c r="I70" s="410"/>
      <c r="N70" s="384"/>
      <c r="O70" s="383"/>
      <c r="P70" s="383"/>
    </row>
    <row r="71" spans="7:16" x14ac:dyDescent="0.35">
      <c r="G71" s="383">
        <v>70</v>
      </c>
      <c r="H71" s="383" t="s">
        <v>911</v>
      </c>
      <c r="I71" s="410"/>
      <c r="N71" s="384"/>
      <c r="O71" s="383"/>
      <c r="P71" s="383"/>
    </row>
    <row r="72" spans="7:16" x14ac:dyDescent="0.35">
      <c r="G72" s="383">
        <v>71</v>
      </c>
      <c r="H72" s="383" t="s">
        <v>912</v>
      </c>
      <c r="I72" s="410"/>
      <c r="N72" s="384"/>
      <c r="O72" s="383"/>
      <c r="P72" s="383"/>
    </row>
    <row r="73" spans="7:16" x14ac:dyDescent="0.35">
      <c r="G73" s="383">
        <v>72</v>
      </c>
      <c r="H73" s="383" t="s">
        <v>913</v>
      </c>
      <c r="I73" s="410"/>
      <c r="N73" s="384"/>
      <c r="O73" s="383"/>
      <c r="P73" s="383"/>
    </row>
    <row r="74" spans="7:16" x14ac:dyDescent="0.35">
      <c r="G74" s="383">
        <v>73</v>
      </c>
      <c r="H74" s="383" t="s">
        <v>914</v>
      </c>
      <c r="I74" s="410"/>
      <c r="N74" s="383"/>
      <c r="O74" s="383"/>
      <c r="P74" s="383"/>
    </row>
    <row r="75" spans="7:16" x14ac:dyDescent="0.35">
      <c r="G75" s="383">
        <v>74</v>
      </c>
      <c r="H75" s="383" t="s">
        <v>915</v>
      </c>
      <c r="I75" s="410"/>
      <c r="N75" s="383"/>
      <c r="O75" s="383"/>
      <c r="P75" s="383"/>
    </row>
    <row r="76" spans="7:16" x14ac:dyDescent="0.35">
      <c r="G76" s="383">
        <v>75</v>
      </c>
      <c r="H76" s="383" t="s">
        <v>916</v>
      </c>
      <c r="I76" s="410"/>
    </row>
    <row r="77" spans="7:16" x14ac:dyDescent="0.35">
      <c r="G77" s="383">
        <v>76</v>
      </c>
      <c r="H77" s="383" t="s">
        <v>917</v>
      </c>
      <c r="I77" s="410"/>
    </row>
    <row r="78" spans="7:16" x14ac:dyDescent="0.35">
      <c r="G78" s="383">
        <v>77</v>
      </c>
      <c r="H78" s="383" t="s">
        <v>918</v>
      </c>
      <c r="I78" s="410"/>
    </row>
    <row r="79" spans="7:16" x14ac:dyDescent="0.35">
      <c r="G79" s="383">
        <v>78</v>
      </c>
      <c r="H79" s="383" t="s">
        <v>919</v>
      </c>
      <c r="I79" s="410"/>
    </row>
    <row r="80" spans="7:16" x14ac:dyDescent="0.35">
      <c r="G80" s="383">
        <v>79</v>
      </c>
      <c r="H80" s="383" t="s">
        <v>920</v>
      </c>
      <c r="I80" s="410"/>
    </row>
    <row r="81" spans="7:9" x14ac:dyDescent="0.35">
      <c r="G81" s="383">
        <v>80</v>
      </c>
      <c r="H81" s="383" t="s">
        <v>921</v>
      </c>
      <c r="I81" s="410"/>
    </row>
    <row r="82" spans="7:9" x14ac:dyDescent="0.35">
      <c r="G82" s="383">
        <v>81</v>
      </c>
      <c r="H82" s="383" t="s">
        <v>922</v>
      </c>
      <c r="I82" s="410"/>
    </row>
    <row r="83" spans="7:9" x14ac:dyDescent="0.35">
      <c r="G83" s="383">
        <v>82</v>
      </c>
      <c r="H83" s="383" t="s">
        <v>923</v>
      </c>
      <c r="I83" s="410"/>
    </row>
    <row r="84" spans="7:9" x14ac:dyDescent="0.35">
      <c r="G84" s="383">
        <v>83</v>
      </c>
      <c r="H84" s="383" t="s">
        <v>924</v>
      </c>
      <c r="I84" s="410"/>
    </row>
    <row r="85" spans="7:9" x14ac:dyDescent="0.35">
      <c r="G85" s="383">
        <v>84</v>
      </c>
      <c r="H85" s="383" t="s">
        <v>925</v>
      </c>
      <c r="I85" s="410"/>
    </row>
    <row r="86" spans="7:9" x14ac:dyDescent="0.35">
      <c r="G86" s="383">
        <v>85</v>
      </c>
      <c r="H86" s="383" t="s">
        <v>926</v>
      </c>
      <c r="I86" s="410"/>
    </row>
    <row r="87" spans="7:9" x14ac:dyDescent="0.35">
      <c r="G87" s="383">
        <v>86</v>
      </c>
      <c r="H87" s="383" t="s">
        <v>927</v>
      </c>
      <c r="I87" s="410"/>
    </row>
    <row r="88" spans="7:9" x14ac:dyDescent="0.35">
      <c r="G88" s="383">
        <v>87</v>
      </c>
      <c r="H88" s="383" t="s">
        <v>928</v>
      </c>
      <c r="I88" s="410"/>
    </row>
    <row r="89" spans="7:9" x14ac:dyDescent="0.35">
      <c r="G89" s="383">
        <v>88</v>
      </c>
      <c r="H89" s="383" t="s">
        <v>929</v>
      </c>
      <c r="I89" s="410"/>
    </row>
    <row r="90" spans="7:9" x14ac:dyDescent="0.35">
      <c r="G90" s="383">
        <v>89</v>
      </c>
      <c r="H90" s="383" t="s">
        <v>930</v>
      </c>
      <c r="I90" s="410"/>
    </row>
    <row r="91" spans="7:9" x14ac:dyDescent="0.35">
      <c r="G91" s="383">
        <v>90</v>
      </c>
      <c r="H91" s="383" t="s">
        <v>931</v>
      </c>
      <c r="I91" s="410"/>
    </row>
    <row r="92" spans="7:9" x14ac:dyDescent="0.35">
      <c r="G92" s="383">
        <v>91</v>
      </c>
      <c r="H92" s="383" t="s">
        <v>932</v>
      </c>
      <c r="I92" s="410"/>
    </row>
    <row r="93" spans="7:9" x14ac:dyDescent="0.35">
      <c r="G93" s="383">
        <v>92</v>
      </c>
      <c r="H93" s="383" t="s">
        <v>933</v>
      </c>
      <c r="I93" s="410"/>
    </row>
    <row r="94" spans="7:9" x14ac:dyDescent="0.35">
      <c r="G94" s="383">
        <v>93</v>
      </c>
      <c r="H94" s="383" t="s">
        <v>934</v>
      </c>
      <c r="I94" s="410"/>
    </row>
    <row r="95" spans="7:9" x14ac:dyDescent="0.35">
      <c r="G95" s="383">
        <v>94</v>
      </c>
      <c r="H95" s="383" t="s">
        <v>935</v>
      </c>
      <c r="I95" s="410"/>
    </row>
    <row r="96" spans="7:9" x14ac:dyDescent="0.35">
      <c r="G96" s="383">
        <v>95</v>
      </c>
      <c r="H96" s="383" t="s">
        <v>936</v>
      </c>
      <c r="I96" s="410"/>
    </row>
    <row r="97" spans="7:9" x14ac:dyDescent="0.35">
      <c r="G97" s="383">
        <v>96</v>
      </c>
      <c r="H97" s="383" t="s">
        <v>937</v>
      </c>
      <c r="I97" s="410"/>
    </row>
    <row r="98" spans="7:9" x14ac:dyDescent="0.35">
      <c r="G98" s="383">
        <v>97</v>
      </c>
      <c r="H98" s="383" t="s">
        <v>938</v>
      </c>
      <c r="I98" s="4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4.59765625" style="41" customWidth="1"/>
    <col min="5" max="5" width="17.73046875" style="41" customWidth="1"/>
    <col min="6" max="7" width="18.73046875" style="41" customWidth="1"/>
    <col min="8" max="11" width="9.1328125" style="41"/>
    <col min="12" max="21" width="0" style="41" hidden="1" customWidth="1"/>
    <col min="22" max="16384" width="9.1328125" style="41"/>
  </cols>
  <sheetData>
    <row r="1" spans="1:25 4305:4305" x14ac:dyDescent="0.35">
      <c r="A1" s="443"/>
      <c r="J1" s="139"/>
      <c r="K1" s="139"/>
      <c r="L1" s="403" t="s">
        <v>825</v>
      </c>
      <c r="M1" s="403" t="s">
        <v>833</v>
      </c>
      <c r="N1" s="403" t="s">
        <v>826</v>
      </c>
      <c r="O1" s="403"/>
      <c r="P1" s="403"/>
      <c r="Q1" s="403"/>
      <c r="R1" s="403"/>
      <c r="S1" s="403" t="s">
        <v>834</v>
      </c>
      <c r="T1" s="403" t="s">
        <v>835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 t="str">
        <f ca="1">"Geschatte lengte: "&amp;VLOOKUP(C5+D5/12,PedTblLengte!A2:D45,4)&amp;" cm"</f>
        <v>Geschatte lengte: 175,15 cm</v>
      </c>
      <c r="F2" s="105"/>
      <c r="G2" s="113"/>
      <c r="H2" s="42"/>
      <c r="I2" s="42"/>
      <c r="J2" s="139"/>
      <c r="K2" s="139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 t="str">
        <f ca="1">"Geschat gewicht: "&amp;VLOOKUP(C5+D5/12,PedTblGew!A2:T49,20)&amp;" kg"</f>
        <v>Geschat gewicht: 66,1 kg</v>
      </c>
      <c r="F3" s="124"/>
      <c r="G3" s="113"/>
      <c r="H3" s="42"/>
      <c r="I3" s="42"/>
      <c r="J3" s="139"/>
      <c r="K3" s="139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447</v>
      </c>
      <c r="D4" s="126" t="s">
        <v>448</v>
      </c>
      <c r="E4" s="126" t="s">
        <v>295</v>
      </c>
      <c r="F4" s="126" t="s">
        <v>142</v>
      </c>
      <c r="G4" s="126" t="s">
        <v>53</v>
      </c>
      <c r="H4" s="42"/>
      <c r="J4" s="140"/>
      <c r="K4" s="140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 ca="1">TRUNC((Var_AfspraakDatum-__4_GebDatum)/365,0)</f>
        <v>117</v>
      </c>
      <c r="D5" s="126">
        <f ca="1">TRUNC(((Var_AfspraakDatum-__4_GebDatum)-365*TRUNC((Var_AfspraakDatum-__4_GebDatum)/365,0))/30,0)</f>
        <v>1</v>
      </c>
      <c r="E5" s="126">
        <f>_Pat_Gewicht/10</f>
        <v>10</v>
      </c>
      <c r="F5" s="126">
        <f>_Pat_Lengte</f>
        <v>80</v>
      </c>
      <c r="G5" s="126">
        <f>ROUND(POWER(E5,0.425)*POWER(((F5/100)*100),0.725)*0.007184,2)</f>
        <v>0.46</v>
      </c>
      <c r="H5" s="42"/>
      <c r="J5" s="140"/>
      <c r="K5" s="140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140"/>
      <c r="K6" s="140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336</v>
      </c>
      <c r="C7" s="132" t="s">
        <v>54</v>
      </c>
      <c r="D7" s="133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34"/>
      <c r="F7" s="134"/>
      <c r="G7" s="190"/>
      <c r="H7" s="42"/>
      <c r="I7" s="42"/>
      <c r="J7" s="139"/>
      <c r="K7" s="139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 t="s">
        <v>55</v>
      </c>
      <c r="D8" s="43" t="str">
        <f>IF(ROUND((E5)*4,0)&gt;150,150,VLOOKUP(ROUND(E5*4,0),S2:T362,2))&amp;" Joules Asynchroon"</f>
        <v>50 Joules Asynchroon</v>
      </c>
      <c r="E8" s="42"/>
      <c r="F8" s="42"/>
      <c r="G8" s="191" t="s">
        <v>0</v>
      </c>
      <c r="H8" s="42"/>
      <c r="I8" s="42"/>
      <c r="J8" s="139"/>
      <c r="K8" s="139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 t="s">
        <v>132</v>
      </c>
      <c r="D9" s="43" t="str">
        <f ca="1">IF(OR(ROUND(0.01*(E5),2)&gt;1,C5&gt;=18),"1 mg iv",ROUND(0.01*(E5),2)&amp;" mg iv")</f>
        <v>1 mg iv</v>
      </c>
      <c r="E9" s="42" t="str">
        <f>"= "&amp;IF(ROUND(0.01*(E5),2)&gt;1,"1 ml van 1mg = 10 ml (1:10.000)",ROUND(0.1*(E5),1)&amp;" ml van 1mg = 10 ml (1:10.000)")</f>
        <v>= 1 ml van 1mg = 10 ml (1:10.000)</v>
      </c>
      <c r="F9" s="42"/>
      <c r="G9" s="191" t="s">
        <v>1</v>
      </c>
      <c r="H9" s="42"/>
      <c r="I9" s="42"/>
      <c r="J9" s="139"/>
      <c r="K9" s="139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56</v>
      </c>
      <c r="D10" s="43" t="str">
        <f>ROUND(IF(E5&gt;50,50,0.5*E5),0)&amp;" ml iv"</f>
        <v>5 ml iv</v>
      </c>
      <c r="E10" s="42"/>
      <c r="F10" s="42"/>
      <c r="G10" s="191" t="s">
        <v>2</v>
      </c>
      <c r="H10" s="42"/>
      <c r="I10" s="42"/>
      <c r="J10" s="139"/>
      <c r="K10" s="139"/>
      <c r="L10" s="403">
        <v>8</v>
      </c>
      <c r="M10" s="403">
        <v>20</v>
      </c>
      <c r="N10" s="403">
        <v>6</v>
      </c>
      <c r="O10" s="403">
        <v>8</v>
      </c>
      <c r="P10" s="403">
        <v>8.5</v>
      </c>
      <c r="Q10" s="403">
        <v>70</v>
      </c>
      <c r="R10" s="403"/>
      <c r="S10" s="403">
        <v>9</v>
      </c>
      <c r="T10" s="403">
        <v>7</v>
      </c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207</v>
      </c>
      <c r="D11" s="43" t="str">
        <f>IF(0.2*E5&lt;=25,0.2*E5&amp;" gram iv","25 gram iv")</f>
        <v>2 gram iv</v>
      </c>
      <c r="E11" s="42" t="str">
        <f>"="&amp;" "&amp;IF(2*E5&lt;=250,ROUND(2*E5,0)&amp;" ml glucose 10%","250 ml glucose 10%")</f>
        <v>= 20 ml glucose 10%</v>
      </c>
      <c r="F11" s="42"/>
      <c r="G11" s="191" t="s">
        <v>3</v>
      </c>
      <c r="H11" s="42"/>
      <c r="I11" s="42"/>
      <c r="J11" s="139"/>
      <c r="K11" s="139"/>
      <c r="L11" s="403">
        <v>9</v>
      </c>
      <c r="M11" s="403">
        <v>20</v>
      </c>
      <c r="N11" s="403">
        <v>6.5</v>
      </c>
      <c r="O11" s="403">
        <v>9</v>
      </c>
      <c r="P11" s="403">
        <v>9</v>
      </c>
      <c r="Q11" s="403">
        <v>72</v>
      </c>
      <c r="R11" s="403"/>
      <c r="S11" s="403">
        <v>10</v>
      </c>
      <c r="T11" s="403">
        <v>10</v>
      </c>
      <c r="U11" s="403">
        <v>10</v>
      </c>
      <c r="V11" s="403"/>
      <c r="W11" s="403"/>
      <c r="X11" s="403"/>
      <c r="Y11" s="139"/>
    </row>
    <row r="12" spans="1:25 4305:4305" ht="20.100000000000001" customHeight="1" thickBot="1" x14ac:dyDescent="0.45">
      <c r="B12" s="122"/>
      <c r="C12" s="135" t="s">
        <v>57</v>
      </c>
      <c r="D12" s="136" t="str">
        <f>IF(ROUND(20*E5/10,0)*10&gt;500,500,ROUND(20*E5/10,0)*10)&amp;" ml fysiologisch zout iv per bolus"</f>
        <v>200 ml fysiologisch zout iv per bolus</v>
      </c>
      <c r="E12" s="137"/>
      <c r="F12" s="137"/>
      <c r="G12" s="192" t="s">
        <v>4</v>
      </c>
      <c r="H12" s="42"/>
      <c r="I12" s="42"/>
      <c r="J12" s="139"/>
      <c r="K12" s="139"/>
      <c r="L12" s="403">
        <v>10</v>
      </c>
      <c r="M12" s="403">
        <v>20</v>
      </c>
      <c r="N12" s="403">
        <v>6.5</v>
      </c>
      <c r="O12" s="403">
        <v>10</v>
      </c>
      <c r="P12" s="403">
        <v>9.3000000000000007</v>
      </c>
      <c r="Q12" s="403">
        <v>73</v>
      </c>
      <c r="R12" s="403"/>
      <c r="S12" s="403">
        <v>11</v>
      </c>
      <c r="T12" s="403">
        <v>10</v>
      </c>
      <c r="U12" s="403"/>
      <c r="V12" s="403"/>
      <c r="W12" s="403"/>
      <c r="X12" s="403"/>
      <c r="Y12" s="139"/>
    </row>
    <row r="13" spans="1:25 4305:4305" ht="20.100000000000001" customHeight="1" thickBot="1" x14ac:dyDescent="0.45">
      <c r="B13" s="21"/>
      <c r="C13" s="42"/>
      <c r="D13" s="43"/>
      <c r="E13" s="42"/>
      <c r="F13" s="42"/>
      <c r="G13" s="191"/>
      <c r="H13" s="42"/>
      <c r="I13" s="42"/>
      <c r="J13" s="139"/>
      <c r="K13" s="139"/>
      <c r="L13" s="403">
        <v>11</v>
      </c>
      <c r="M13" s="403">
        <v>20</v>
      </c>
      <c r="N13" s="403">
        <v>7</v>
      </c>
      <c r="O13" s="403">
        <v>11</v>
      </c>
      <c r="P13" s="403">
        <v>9.5</v>
      </c>
      <c r="Q13" s="403">
        <v>74</v>
      </c>
      <c r="R13" s="403"/>
      <c r="S13" s="403">
        <v>12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 t="s">
        <v>404</v>
      </c>
      <c r="C14" s="132" t="s">
        <v>345</v>
      </c>
      <c r="D14" s="133" t="str">
        <f>IF(0.5*E5&gt;20,"20 mg iv",0.5*E5&amp;" mg iv")</f>
        <v>5 mg iv</v>
      </c>
      <c r="E14" s="134" t="str">
        <f>"= "&amp;IF(0.5*E5&gt;20,"10 ml van een 2 mg/ml oplossing",ROUND(0.5*E5*0.5,1)&amp;" ml van een 2 mg/ml oplossing")</f>
        <v>= 2,5 ml van een 2 mg/ml oplossing</v>
      </c>
      <c r="F14" s="134"/>
      <c r="G14" s="190" t="s">
        <v>5</v>
      </c>
      <c r="H14" s="42"/>
      <c r="I14" s="42"/>
      <c r="J14" s="139"/>
      <c r="K14" s="139"/>
      <c r="L14" s="403">
        <v>12</v>
      </c>
      <c r="M14" s="403">
        <v>15</v>
      </c>
      <c r="N14" s="403">
        <v>7</v>
      </c>
      <c r="O14" s="403">
        <v>12</v>
      </c>
      <c r="P14" s="403">
        <v>10</v>
      </c>
      <c r="Q14" s="403">
        <v>76</v>
      </c>
      <c r="R14" s="403"/>
      <c r="S14" s="403">
        <v>13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x14ac:dyDescent="0.4">
      <c r="B15" s="122"/>
      <c r="C15" s="121" t="s">
        <v>294</v>
      </c>
      <c r="D15" s="43" t="str">
        <f>IF(ROUND(1*(E5),1)&gt;100,"100 mg iv",ROUND(1*(E5),1)&amp;" mg iv")</f>
        <v>10 mg iv</v>
      </c>
      <c r="E15" s="42" t="str">
        <f>"= "&amp;IF(ROUND(1*(E5),1)&gt;100,"10 ml"&amp;" van een 1mg/ml oplossing",ROUND(0.1*(E5),1)&amp;" ml"&amp;" van een 10 mg/ml oplossing")</f>
        <v>= 1 ml van een 10 mg/ml oplossing</v>
      </c>
      <c r="F15" s="42"/>
      <c r="G15" s="191" t="s">
        <v>6</v>
      </c>
      <c r="H15" s="42"/>
      <c r="I15" s="42"/>
      <c r="J15" s="139"/>
      <c r="K15" s="139"/>
      <c r="L15" s="403">
        <v>13</v>
      </c>
      <c r="M15" s="403">
        <v>15</v>
      </c>
      <c r="N15" s="403">
        <v>7</v>
      </c>
      <c r="O15" s="403"/>
      <c r="P15" s="403"/>
      <c r="Q15" s="403"/>
      <c r="R15" s="403"/>
      <c r="S15" s="403">
        <v>14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x14ac:dyDescent="0.4">
      <c r="B16" s="122"/>
      <c r="C16" s="121" t="s">
        <v>346</v>
      </c>
      <c r="D16" s="43" t="str">
        <f>IF(ROUND(0.02*(E5),1)&lt;0.1,"0,1 mg iv",IF(ROUND(0.02*(E5),1)&gt;0.5,"0,5 mg iv",ROUND(0.02*(E5),1)&amp;" mg iv"))</f>
        <v>0,2 mg iv</v>
      </c>
      <c r="E16" s="886" t="str">
        <f>"= "&amp;IF(ROUND(0.02*(E5),1)&lt;0.1,0.1,IF(ROUND(0.02*(E5),1)&gt;0.5,0.5,ROUND(0.02*(E5),1)))*2&amp;" ml van 0,5 mg/ml (min 0,1 mg)"</f>
        <v>= 0,4 ml van 0,5 mg/ml (min 0,1 mg)</v>
      </c>
      <c r="F16" s="886"/>
      <c r="G16" s="191" t="s">
        <v>7</v>
      </c>
      <c r="H16" s="42"/>
      <c r="I16" s="42"/>
      <c r="J16" s="139"/>
      <c r="K16" s="139"/>
      <c r="L16" s="403">
        <v>14</v>
      </c>
      <c r="M16" s="403">
        <v>15</v>
      </c>
      <c r="N16" s="403">
        <v>7</v>
      </c>
      <c r="O16" s="403"/>
      <c r="P16" s="403"/>
      <c r="Q16" s="403"/>
      <c r="R16" s="403"/>
      <c r="S16" s="403">
        <v>15</v>
      </c>
      <c r="T16" s="403">
        <v>10</v>
      </c>
      <c r="U16" s="403"/>
      <c r="V16" s="403"/>
      <c r="W16" s="403"/>
      <c r="X16" s="403"/>
      <c r="Y16" s="139"/>
    </row>
    <row r="17" spans="2:25" ht="20.100000000000001" customHeight="1" thickBot="1" x14ac:dyDescent="0.45">
      <c r="B17" s="122"/>
      <c r="C17" s="135"/>
      <c r="D17" s="136"/>
      <c r="E17" s="887"/>
      <c r="F17" s="887"/>
      <c r="G17" s="192"/>
      <c r="H17" s="42"/>
      <c r="I17" s="42"/>
      <c r="J17" s="139"/>
      <c r="K17" s="139"/>
      <c r="L17" s="403">
        <v>15</v>
      </c>
      <c r="M17" s="403">
        <v>15</v>
      </c>
      <c r="N17" s="403">
        <v>7</v>
      </c>
      <c r="O17" s="403"/>
      <c r="P17" s="403"/>
      <c r="Q17" s="403"/>
      <c r="R17" s="403"/>
      <c r="S17" s="403">
        <v>16</v>
      </c>
      <c r="T17" s="403">
        <v>20</v>
      </c>
      <c r="U17" s="403"/>
      <c r="V17" s="403"/>
      <c r="W17" s="403"/>
      <c r="X17" s="403"/>
      <c r="Y17" s="139"/>
    </row>
    <row r="18" spans="2:25" ht="15.75" customHeight="1" thickBot="1" x14ac:dyDescent="0.45">
      <c r="B18" s="21"/>
      <c r="C18" s="116"/>
      <c r="D18" s="43"/>
      <c r="E18" s="127"/>
      <c r="F18" s="127"/>
      <c r="G18" s="191"/>
      <c r="H18" s="125"/>
      <c r="I18" s="125"/>
      <c r="J18" s="141"/>
      <c r="K18" s="139"/>
      <c r="L18" s="403">
        <v>16</v>
      </c>
      <c r="M18" s="403">
        <v>15</v>
      </c>
      <c r="N18" s="403">
        <v>7</v>
      </c>
      <c r="O18" s="403"/>
      <c r="P18" s="403"/>
      <c r="Q18" s="403"/>
      <c r="R18" s="403"/>
      <c r="S18" s="403">
        <v>17</v>
      </c>
      <c r="T18" s="403">
        <v>20</v>
      </c>
      <c r="U18" s="403"/>
      <c r="V18" s="403"/>
      <c r="W18" s="403"/>
      <c r="X18" s="403"/>
      <c r="Y18" s="139"/>
    </row>
    <row r="19" spans="2:25" ht="20.100000000000001" customHeight="1" x14ac:dyDescent="0.4">
      <c r="B19" s="122" t="s">
        <v>289</v>
      </c>
      <c r="C19" s="132" t="s">
        <v>98</v>
      </c>
      <c r="D19" s="133" t="str">
        <f>IF(0.02*E5&gt;0.3,"0,3 mg iv",0.02*E5&amp;" mg iv")</f>
        <v>0,2 mg iv</v>
      </c>
      <c r="E19" s="134" t="str">
        <f>"= "&amp;IF(0.02*E5&gt;1,"10 ml van anexate 0,1 mg/ml",ROUND((0.02*E5)/0.1,1)&amp;" ml van anexate 0,1 mg/ml")</f>
        <v>= 2 ml van anexate 0,1 mg/ml</v>
      </c>
      <c r="F19" s="134"/>
      <c r="G19" s="190" t="s">
        <v>8</v>
      </c>
      <c r="H19" s="125"/>
      <c r="I19" s="125"/>
      <c r="J19" s="141"/>
      <c r="K19" s="139"/>
      <c r="L19" s="403">
        <v>17</v>
      </c>
      <c r="M19" s="403">
        <v>15</v>
      </c>
      <c r="N19" s="403">
        <v>7</v>
      </c>
      <c r="O19" s="403"/>
      <c r="P19" s="403"/>
      <c r="Q19" s="403"/>
      <c r="R19" s="403"/>
      <c r="S19" s="403">
        <v>18</v>
      </c>
      <c r="T19" s="403">
        <v>20</v>
      </c>
      <c r="U19" s="403"/>
      <c r="V19" s="403"/>
      <c r="W19" s="403"/>
      <c r="X19" s="403"/>
      <c r="Y19" s="139"/>
    </row>
    <row r="20" spans="2:25" ht="20.100000000000001" customHeight="1" x14ac:dyDescent="0.4">
      <c r="B20" s="122"/>
      <c r="C20" s="121" t="s">
        <v>347</v>
      </c>
      <c r="D20" s="43" t="str">
        <f>IF(0.01*E5&gt;0.4,"0,4 mg iv",0.01*E5&amp;" mg iv")</f>
        <v>0,1 mg iv</v>
      </c>
      <c r="E20" s="88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86"/>
      <c r="G20" s="191" t="s">
        <v>9</v>
      </c>
      <c r="H20" s="42"/>
      <c r="I20" s="42"/>
      <c r="J20" s="139"/>
      <c r="K20" s="139"/>
      <c r="L20" s="403">
        <v>18</v>
      </c>
      <c r="M20" s="403">
        <v>15</v>
      </c>
      <c r="N20" s="403">
        <v>7</v>
      </c>
      <c r="O20" s="403"/>
      <c r="P20" s="403"/>
      <c r="Q20" s="403"/>
      <c r="R20" s="403"/>
      <c r="S20" s="403">
        <v>19</v>
      </c>
      <c r="T20" s="403">
        <v>20</v>
      </c>
      <c r="U20" s="403"/>
      <c r="V20" s="403"/>
      <c r="W20" s="403"/>
      <c r="X20" s="403"/>
      <c r="Y20" s="139"/>
    </row>
    <row r="21" spans="2:25" ht="20.100000000000001" customHeight="1" thickBot="1" x14ac:dyDescent="0.45">
      <c r="B21" s="122"/>
      <c r="C21" s="135"/>
      <c r="D21" s="136"/>
      <c r="E21" s="887"/>
      <c r="F21" s="887"/>
      <c r="G21" s="192"/>
      <c r="H21" s="42"/>
      <c r="I21" s="42"/>
      <c r="J21" s="139"/>
      <c r="K21" s="139"/>
      <c r="L21" s="403"/>
      <c r="M21" s="403"/>
      <c r="N21" s="403"/>
      <c r="O21" s="403"/>
      <c r="P21" s="403"/>
      <c r="Q21" s="403"/>
      <c r="R21" s="403"/>
      <c r="S21" s="403">
        <v>20</v>
      </c>
      <c r="T21" s="403">
        <v>20</v>
      </c>
      <c r="U21" s="403">
        <v>20</v>
      </c>
      <c r="V21" s="403"/>
      <c r="W21" s="403"/>
      <c r="X21" s="403"/>
      <c r="Y21" s="139"/>
    </row>
    <row r="22" spans="2:25" ht="20.100000000000001" customHeight="1" thickBot="1" x14ac:dyDescent="0.45">
      <c r="B22" s="21"/>
      <c r="C22" s="116"/>
      <c r="D22" s="43"/>
      <c r="E22" s="127"/>
      <c r="F22" s="127"/>
      <c r="G22" s="191"/>
      <c r="H22" s="42"/>
      <c r="I22" s="42"/>
      <c r="J22" s="139"/>
      <c r="K22" s="139"/>
      <c r="L22" s="403"/>
      <c r="M22" s="403"/>
      <c r="N22" s="403"/>
      <c r="O22" s="403"/>
      <c r="P22" s="403"/>
      <c r="Q22" s="403"/>
      <c r="R22" s="403"/>
      <c r="S22" s="403">
        <v>21</v>
      </c>
      <c r="T22" s="403">
        <v>30</v>
      </c>
      <c r="U22" s="403"/>
      <c r="V22" s="403"/>
      <c r="W22" s="403"/>
      <c r="X22" s="403"/>
      <c r="Y22" s="139"/>
    </row>
    <row r="23" spans="2:25" ht="20.100000000000001" customHeight="1" x14ac:dyDescent="0.4">
      <c r="B23" s="122" t="s">
        <v>290</v>
      </c>
      <c r="C23" s="132" t="str">
        <f ca="1">IF(C5=0,"alprostadil (Prostin)","")</f>
        <v/>
      </c>
      <c r="D23" s="133" t="str">
        <f ca="1">IF(C5=0,"0,5 mg in 50 ml NaCl 0.9%","")</f>
        <v/>
      </c>
      <c r="E23" s="134" t="str">
        <f ca="1">IF(C5=0,"1 ml/uur = "&amp;ROUND(1000*(0.5/50)*24/(E5)/1.44,0)&amp;" nanog/kg/min iv","")</f>
        <v/>
      </c>
      <c r="F23" s="134"/>
      <c r="G23" s="190" t="s">
        <v>340</v>
      </c>
      <c r="H23" s="42"/>
      <c r="I23" s="42"/>
      <c r="J23" s="139"/>
      <c r="K23" s="139"/>
      <c r="L23" s="403"/>
      <c r="M23" s="403"/>
      <c r="N23" s="403"/>
      <c r="O23" s="403"/>
      <c r="P23" s="403"/>
      <c r="Q23" s="403"/>
      <c r="R23" s="403"/>
      <c r="S23" s="403">
        <v>22</v>
      </c>
      <c r="T23" s="403">
        <v>30</v>
      </c>
      <c r="U23" s="403"/>
      <c r="V23" s="403"/>
      <c r="W23" s="403"/>
      <c r="X23" s="403"/>
      <c r="Y23" s="139"/>
    </row>
    <row r="24" spans="2:25" ht="20.100000000000001" customHeight="1" x14ac:dyDescent="0.4">
      <c r="B24" s="122"/>
      <c r="C24" s="121" t="s">
        <v>104</v>
      </c>
      <c r="D24" s="43" t="str">
        <f>IF(E5&gt;5,"200 mg in 50 ml NaCl 0.9%",ROUND(((E5)*24*60*(10/1000)/(24/50))/50,0)*50&amp;" mg in 50 ml NaCl 0.9%")</f>
        <v>200 mg in 50 ml NaCl 0.9%</v>
      </c>
      <c r="E24" s="42" t="str">
        <f>"1 ml/uur = "&amp;IF(E5&gt;5,ROUND((200/50/E5/60)*1000,1),ROUND(24*ROUND(((E5)*24*60*(10/1000)/(24/50))/50,0)*50/50/1.44/E5,1))&amp;" mcg/kg/min"</f>
        <v>1 ml/uur = 6,7 mcg/kg/min</v>
      </c>
      <c r="F24" s="42"/>
      <c r="G24" s="191" t="s">
        <v>351</v>
      </c>
      <c r="H24" s="42"/>
      <c r="I24" s="42"/>
      <c r="J24" s="139"/>
      <c r="K24" s="139"/>
      <c r="L24" s="403"/>
      <c r="M24" s="403"/>
      <c r="N24" s="403"/>
      <c r="O24" s="403"/>
      <c r="P24" s="403"/>
      <c r="Q24" s="403"/>
      <c r="R24" s="403"/>
      <c r="S24" s="403">
        <v>23</v>
      </c>
      <c r="T24" s="403">
        <v>30</v>
      </c>
      <c r="U24" s="403"/>
      <c r="V24" s="403"/>
      <c r="W24" s="403"/>
      <c r="X24" s="403"/>
      <c r="Y24" s="139"/>
    </row>
    <row r="25" spans="2:25" ht="20.100000000000001" customHeight="1" thickBot="1" x14ac:dyDescent="0.45">
      <c r="B25" s="122"/>
      <c r="C25" s="135" t="s">
        <v>105</v>
      </c>
      <c r="D25" s="136" t="str">
        <f>IF(_Pat_Gewicht/15&gt;5,"10 mg in 50 ml NaCl 0.9%",ROUND((E5)*24*60*(0.1/1000)/(24/50)/5,1)*5&amp;" mg in 50 ml NaCl 0.9%")</f>
        <v>10 mg in 50 ml NaCl 0.9%</v>
      </c>
      <c r="E25" s="137" t="str">
        <f>"1 ml/uur = "&amp;IF(E5&gt;5,ROUND((10/50/E5/60)*1000,2),ROUND(24*ROUND((E5)*24*60*(0.1/1000)/(24/50)/5,1)*5/50/1.44/E5,2))&amp;" mcg/kg/min"</f>
        <v>1 ml/uur = 0,33 mcg/kg/min</v>
      </c>
      <c r="F25" s="137"/>
      <c r="G25" s="192" t="s">
        <v>413</v>
      </c>
      <c r="H25" s="42"/>
      <c r="I25" s="42"/>
      <c r="J25" s="139"/>
      <c r="K25" s="139"/>
      <c r="L25" s="403"/>
      <c r="M25" s="403"/>
      <c r="N25" s="403"/>
      <c r="O25" s="403"/>
      <c r="P25" s="403"/>
      <c r="Q25" s="403"/>
      <c r="R25" s="403"/>
      <c r="S25" s="403">
        <v>24</v>
      </c>
      <c r="T25" s="403">
        <v>30</v>
      </c>
      <c r="U25" s="403"/>
      <c r="V25" s="403"/>
      <c r="W25" s="403"/>
      <c r="X25" s="403"/>
      <c r="Y25" s="139"/>
    </row>
    <row r="26" spans="2:25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139"/>
      <c r="K26" s="139"/>
      <c r="L26" s="403"/>
      <c r="M26" s="403"/>
      <c r="N26" s="403"/>
      <c r="O26" s="403"/>
      <c r="P26" s="403"/>
      <c r="Q26" s="403"/>
      <c r="R26" s="403"/>
      <c r="S26" s="403">
        <v>25</v>
      </c>
      <c r="T26" s="403">
        <v>30</v>
      </c>
      <c r="U26" s="403"/>
      <c r="V26" s="403"/>
      <c r="W26" s="403"/>
      <c r="X26" s="403"/>
      <c r="Y26" s="139"/>
    </row>
    <row r="27" spans="2:25" ht="20.100000000000001" customHeight="1" x14ac:dyDescent="0.4">
      <c r="B27" s="884" t="s">
        <v>291</v>
      </c>
      <c r="C27" s="132" t="s">
        <v>455</v>
      </c>
      <c r="D27" s="133" t="str">
        <f>IF(ROUND(E5/2,0)*2&gt;50,"300 mg iv",ROUND(E5*5,0)&amp;" mg iv")</f>
        <v>50 mg iv</v>
      </c>
      <c r="E27" s="134" t="str">
        <f>IF(ROUND(E5/2,0)*2&gt;50,"6 ml van amiodarone 50 mg/ml iv",ROUND(E5*0.1,1)&amp;" ml van amiodarone 50 mg/ml iv")</f>
        <v>1 ml van amiodarone 50 mg/ml iv</v>
      </c>
      <c r="F27" s="134"/>
      <c r="G27" s="190" t="s">
        <v>10</v>
      </c>
      <c r="H27" s="42"/>
      <c r="I27" s="42"/>
      <c r="J27" s="139"/>
      <c r="K27" s="139"/>
      <c r="L27" s="403"/>
      <c r="M27" s="403"/>
      <c r="N27" s="403"/>
      <c r="O27" s="403"/>
      <c r="P27" s="403"/>
      <c r="Q27" s="403"/>
      <c r="R27" s="403"/>
      <c r="S27" s="403">
        <v>26</v>
      </c>
      <c r="T27" s="403">
        <v>30</v>
      </c>
      <c r="U27" s="403"/>
      <c r="V27" s="403"/>
      <c r="W27" s="403"/>
      <c r="X27" s="403"/>
      <c r="Y27" s="139"/>
    </row>
    <row r="28" spans="2:25" ht="20.100000000000001" customHeight="1" thickBot="1" x14ac:dyDescent="0.45">
      <c r="B28" s="885"/>
      <c r="C28" s="135" t="s">
        <v>335</v>
      </c>
      <c r="D28" s="136" t="str">
        <f>IF(E5/10&gt;10,"10 ml iv",E5/10 &amp;" ml iv")</f>
        <v>1 ml iv</v>
      </c>
      <c r="E28" s="137" t="s">
        <v>257</v>
      </c>
      <c r="F28" s="137"/>
      <c r="G28" s="192" t="s">
        <v>11</v>
      </c>
      <c r="H28" s="42"/>
      <c r="I28" s="42"/>
      <c r="J28" s="139"/>
      <c r="K28" s="139"/>
      <c r="L28" s="403"/>
      <c r="M28" s="403"/>
      <c r="N28" s="403"/>
      <c r="O28" s="403"/>
      <c r="P28" s="403"/>
      <c r="Q28" s="403"/>
      <c r="R28" s="403"/>
      <c r="S28" s="403">
        <v>27</v>
      </c>
      <c r="T28" s="403">
        <v>30</v>
      </c>
      <c r="U28" s="403"/>
      <c r="V28" s="403"/>
      <c r="W28" s="403"/>
      <c r="X28" s="403"/>
      <c r="Y28" s="139"/>
    </row>
    <row r="29" spans="2:25" ht="20.100000000000001" customHeight="1" thickBot="1" x14ac:dyDescent="0.45">
      <c r="B29" s="21"/>
      <c r="C29" s="42"/>
      <c r="D29" s="43"/>
      <c r="E29" s="42"/>
      <c r="F29" s="42"/>
      <c r="G29" s="191"/>
      <c r="H29" s="42"/>
      <c r="I29" s="42"/>
      <c r="J29" s="139"/>
      <c r="K29" s="139"/>
      <c r="L29" s="403"/>
      <c r="M29" s="403"/>
      <c r="N29" s="403"/>
      <c r="O29" s="403"/>
      <c r="P29" s="403"/>
      <c r="Q29" s="403"/>
      <c r="R29" s="403"/>
      <c r="S29" s="403">
        <v>28</v>
      </c>
      <c r="T29" s="403">
        <v>30</v>
      </c>
      <c r="U29" s="403"/>
      <c r="V29" s="403"/>
      <c r="W29" s="403"/>
      <c r="X29" s="403"/>
      <c r="Y29" s="139"/>
    </row>
    <row r="30" spans="2:25" ht="20.100000000000001" customHeight="1" x14ac:dyDescent="0.4">
      <c r="B30" s="883" t="s">
        <v>92</v>
      </c>
      <c r="C30" s="132" t="s">
        <v>106</v>
      </c>
      <c r="D30" s="133" t="str">
        <f>IF((0.5*E5)&gt;10,"10 mg rect",(0.5*E5)&amp;" mg rect")</f>
        <v>5 mg rect</v>
      </c>
      <c r="E30" s="134" t="str">
        <f>"= "&amp;IF((0.5*E5)&gt;10,"5 ml van diazepam 2 mg/ml",ROUND((0.5*E5)/2,1)&amp;" ml van diazepam 2 mg/ml")</f>
        <v>= 2,5 ml van diazepam 2 mg/ml</v>
      </c>
      <c r="F30" s="134"/>
      <c r="G30" s="190" t="s">
        <v>12</v>
      </c>
      <c r="H30" s="42"/>
      <c r="I30" s="42"/>
      <c r="J30" s="139"/>
      <c r="K30" s="139"/>
      <c r="L30" s="403"/>
      <c r="M30" s="403"/>
      <c r="N30" s="403"/>
      <c r="O30" s="403"/>
      <c r="P30" s="403"/>
      <c r="Q30" s="403"/>
      <c r="R30" s="403"/>
      <c r="S30" s="403">
        <v>29</v>
      </c>
      <c r="T30" s="403">
        <v>30</v>
      </c>
      <c r="U30" s="403"/>
      <c r="V30" s="403"/>
      <c r="W30" s="403"/>
      <c r="X30" s="403"/>
      <c r="Y30" s="139"/>
    </row>
    <row r="31" spans="2:25" ht="20.100000000000001" customHeight="1" x14ac:dyDescent="0.4">
      <c r="B31" s="883"/>
      <c r="C31" s="121" t="s">
        <v>293</v>
      </c>
      <c r="D31" s="43" t="str">
        <f>IF((20*E5)&gt;1500,"1500 mg iv",20*E5&amp;" mg iv")</f>
        <v>200 mg iv</v>
      </c>
      <c r="E31" s="88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86"/>
      <c r="G31" s="193" t="s">
        <v>29</v>
      </c>
      <c r="H31" s="42"/>
      <c r="I31" s="42"/>
      <c r="J31" s="139"/>
      <c r="L31" s="403"/>
      <c r="M31" s="403"/>
      <c r="N31" s="403"/>
      <c r="O31" s="403"/>
      <c r="P31" s="403"/>
      <c r="Q31" s="403"/>
      <c r="R31" s="403"/>
      <c r="S31" s="403">
        <v>30</v>
      </c>
      <c r="T31" s="403">
        <v>30</v>
      </c>
      <c r="U31" s="403">
        <v>30</v>
      </c>
      <c r="V31" s="403"/>
      <c r="W31" s="403"/>
      <c r="X31" s="403"/>
      <c r="Y31" s="139"/>
    </row>
    <row r="32" spans="2:25" ht="20.100000000000001" customHeight="1" x14ac:dyDescent="0.4">
      <c r="B32" s="122"/>
      <c r="C32" s="121"/>
      <c r="D32" s="43"/>
      <c r="E32" s="886"/>
      <c r="F32" s="886"/>
      <c r="G32" s="191"/>
      <c r="H32" s="42"/>
      <c r="I32" s="42"/>
      <c r="L32" s="403"/>
      <c r="M32" s="403"/>
      <c r="N32" s="403"/>
      <c r="O32" s="403"/>
      <c r="P32" s="403"/>
      <c r="Q32" s="403"/>
      <c r="R32" s="403"/>
      <c r="S32" s="403">
        <v>31</v>
      </c>
      <c r="T32" s="403">
        <v>50</v>
      </c>
      <c r="U32" s="403"/>
      <c r="V32" s="403"/>
      <c r="W32" s="403"/>
      <c r="X32" s="403"/>
      <c r="Y32" s="139"/>
    </row>
    <row r="33" spans="2:25" ht="12.75" customHeight="1" thickBot="1" x14ac:dyDescent="0.45">
      <c r="B33" s="122"/>
      <c r="C33" s="135" t="s">
        <v>380</v>
      </c>
      <c r="D33" s="136" t="str">
        <f>IF((0.1*E5)&gt;10,"10 mg iv",0.1*E5&amp;" mg iv")</f>
        <v>1 mg iv</v>
      </c>
      <c r="E33" s="137" t="str">
        <f>"= "&amp;IF((0.1*E5)&gt;15,10,ROUND((0.1*E5),1))&amp;" ml van dormicum 1 mg/ml iv"</f>
        <v>= 1 ml van dormicum 1 mg/ml iv</v>
      </c>
      <c r="F33" s="137"/>
      <c r="G33" s="194" t="s">
        <v>13</v>
      </c>
      <c r="H33" s="42"/>
      <c r="I33" s="42"/>
      <c r="L33" s="403"/>
      <c r="M33" s="403"/>
      <c r="N33" s="403"/>
      <c r="O33" s="403"/>
      <c r="P33" s="403"/>
      <c r="Q33" s="403"/>
      <c r="R33" s="403"/>
      <c r="S33" s="403">
        <v>32</v>
      </c>
      <c r="T33" s="403">
        <v>50</v>
      </c>
      <c r="U33" s="403"/>
      <c r="V33" s="403"/>
      <c r="W33" s="403"/>
      <c r="X33" s="403"/>
      <c r="Y33" s="139"/>
    </row>
    <row r="34" spans="2:25" ht="13.5" customHeight="1" thickBot="1" x14ac:dyDescent="0.45">
      <c r="B34" s="21"/>
      <c r="C34" s="42"/>
      <c r="D34" s="43"/>
      <c r="E34" s="42"/>
      <c r="F34" s="42"/>
      <c r="G34" s="195"/>
      <c r="H34" s="42"/>
      <c r="I34" s="42"/>
      <c r="L34" s="403"/>
      <c r="M34" s="403"/>
      <c r="N34" s="403"/>
      <c r="O34" s="403"/>
      <c r="P34" s="403"/>
      <c r="Q34" s="403"/>
      <c r="R34" s="403"/>
      <c r="S34" s="403">
        <v>33</v>
      </c>
      <c r="T34" s="403">
        <v>50</v>
      </c>
      <c r="U34" s="403"/>
      <c r="V34" s="403"/>
      <c r="W34" s="403"/>
      <c r="X34" s="403"/>
      <c r="Y34" s="139"/>
    </row>
    <row r="35" spans="2:25" ht="19.55" customHeight="1" x14ac:dyDescent="0.4">
      <c r="B35" s="122" t="s">
        <v>93</v>
      </c>
      <c r="C35" s="132" t="s">
        <v>425</v>
      </c>
      <c r="D35" s="133" t="str">
        <f>IF(1*(E5&gt;25),"25 mg iv",1*(E5)&amp;" mg iv")</f>
        <v>10 mg iv</v>
      </c>
      <c r="E35" s="134"/>
      <c r="F35" s="134"/>
      <c r="G35" s="190" t="s">
        <v>14</v>
      </c>
      <c r="H35" s="42"/>
      <c r="I35" s="42"/>
      <c r="L35" s="403"/>
      <c r="M35" s="403"/>
      <c r="N35" s="403"/>
      <c r="O35" s="403"/>
      <c r="P35" s="403"/>
      <c r="Q35" s="403"/>
      <c r="R35" s="403"/>
      <c r="S35" s="403">
        <v>34</v>
      </c>
      <c r="T35" s="403">
        <v>50</v>
      </c>
      <c r="U35" s="403"/>
      <c r="V35" s="403"/>
      <c r="W35" s="403"/>
      <c r="X35" s="403"/>
      <c r="Y35" s="139"/>
    </row>
    <row r="36" spans="2:25" ht="19.55" customHeight="1" thickBot="1" x14ac:dyDescent="0.45">
      <c r="B36" s="122"/>
      <c r="C36" s="135" t="s">
        <v>107</v>
      </c>
      <c r="D36" s="136" t="str">
        <f>IF(ROUND((0.5*E5),1)&gt;50,"50 gram iv",ROUND((0.5*E5),1)&amp;" gram iv")</f>
        <v>5 gram iv</v>
      </c>
      <c r="E36" s="137" t="str">
        <f>"= "&amp;IF(ROUND((0.5*E5),1)&gt;50,ROUND(50/0.15,0),ROUND((0.5*E5)/0.15,0))&amp;" ml van mannitol 15% in 30 min iv"</f>
        <v>= 33 ml van mannitol 15% in 30 min iv</v>
      </c>
      <c r="F36" s="137"/>
      <c r="G36" s="192" t="s">
        <v>15</v>
      </c>
      <c r="H36" s="42"/>
      <c r="I36" s="42"/>
      <c r="L36" s="403"/>
      <c r="M36" s="403"/>
      <c r="N36" s="403"/>
      <c r="O36" s="403"/>
      <c r="P36" s="403"/>
      <c r="Q36" s="403"/>
      <c r="R36" s="403"/>
      <c r="S36" s="403">
        <v>35</v>
      </c>
      <c r="T36" s="403">
        <v>50</v>
      </c>
      <c r="U36" s="403"/>
      <c r="V36" s="403"/>
      <c r="W36" s="403"/>
      <c r="X36" s="403"/>
      <c r="Y36" s="139"/>
    </row>
    <row r="37" spans="2:25" ht="25.55" customHeight="1" thickBot="1" x14ac:dyDescent="0.45">
      <c r="B37" s="21"/>
      <c r="C37" s="42"/>
      <c r="D37" s="43"/>
      <c r="E37" s="42"/>
      <c r="F37" s="42"/>
      <c r="G37" s="196"/>
      <c r="H37" s="42"/>
      <c r="I37" s="42"/>
      <c r="L37" s="403"/>
      <c r="M37" s="403"/>
      <c r="N37" s="403"/>
      <c r="O37" s="403"/>
      <c r="P37" s="403"/>
      <c r="Q37" s="403"/>
      <c r="R37" s="403"/>
      <c r="S37" s="403">
        <v>36</v>
      </c>
      <c r="T37" s="403">
        <v>50</v>
      </c>
      <c r="U37" s="403"/>
      <c r="V37" s="403"/>
      <c r="W37" s="403"/>
      <c r="X37" s="403"/>
      <c r="Y37" s="139"/>
    </row>
    <row r="38" spans="2:25" ht="19.55" customHeight="1" x14ac:dyDescent="0.4">
      <c r="B38" s="122" t="s">
        <v>108</v>
      </c>
      <c r="C38" s="189" t="s">
        <v>319</v>
      </c>
      <c r="D38" s="133" t="str">
        <f ca="1">"AMV "&amp;ROUND(E5*8*VLOOKUP(C5,L2:M20,2)/1000,1)&amp;" L/min"</f>
        <v>AMV 1,2 L/min</v>
      </c>
      <c r="E38" s="134"/>
      <c r="F38" s="133" t="s">
        <v>109</v>
      </c>
      <c r="G38" s="134"/>
      <c r="H38" s="42"/>
      <c r="I38" s="42"/>
      <c r="L38" s="403"/>
      <c r="M38" s="403"/>
      <c r="N38" s="403"/>
      <c r="O38" s="403"/>
      <c r="P38" s="403"/>
      <c r="Q38" s="403"/>
      <c r="R38" s="403"/>
      <c r="S38" s="403"/>
      <c r="T38" s="403"/>
      <c r="U38" s="403"/>
      <c r="V38" s="403"/>
      <c r="W38" s="403"/>
      <c r="X38" s="403"/>
      <c r="Y38" s="139"/>
    </row>
    <row r="39" spans="2:25" ht="19.55" customHeight="1" x14ac:dyDescent="0.4">
      <c r="B39" s="122"/>
      <c r="C39" s="45"/>
      <c r="D39" s="43" t="str">
        <f ca="1">"frequentie "&amp;VLOOKUP(C5,L2:M20,2)&amp;"/min"</f>
        <v>frequentie 15/min</v>
      </c>
      <c r="E39" s="42"/>
      <c r="F39" s="43" t="s">
        <v>110</v>
      </c>
      <c r="G39" s="42"/>
      <c r="H39" s="42"/>
      <c r="I39" s="42"/>
      <c r="L39" s="403"/>
      <c r="M39" s="403"/>
      <c r="N39" s="403"/>
      <c r="O39" s="403"/>
      <c r="P39" s="403"/>
      <c r="Q39" s="403"/>
      <c r="R39" s="403"/>
      <c r="S39" s="403">
        <v>37</v>
      </c>
      <c r="T39" s="403">
        <v>50</v>
      </c>
      <c r="U39" s="403"/>
      <c r="V39" s="403"/>
      <c r="W39" s="403"/>
      <c r="X39" s="403"/>
      <c r="Y39" s="139"/>
    </row>
    <row r="40" spans="2:25" ht="19.55" customHeight="1" x14ac:dyDescent="0.4">
      <c r="B40" s="122"/>
      <c r="C40" s="45"/>
      <c r="D40" s="43" t="s">
        <v>456</v>
      </c>
      <c r="E40" s="42"/>
      <c r="F40" s="43" t="s">
        <v>443</v>
      </c>
      <c r="G40" s="42"/>
      <c r="H40" s="42"/>
      <c r="I40" s="42"/>
      <c r="L40" s="403"/>
      <c r="M40" s="403"/>
      <c r="N40" s="403"/>
      <c r="O40" s="403"/>
      <c r="P40" s="403"/>
      <c r="Q40" s="403"/>
      <c r="R40" s="403"/>
      <c r="S40" s="403">
        <v>38</v>
      </c>
      <c r="T40" s="403">
        <v>50</v>
      </c>
      <c r="U40" s="403"/>
      <c r="V40" s="403"/>
      <c r="W40" s="403"/>
      <c r="X40" s="403"/>
      <c r="Y40" s="139"/>
    </row>
    <row r="41" spans="2:25" ht="19.55" customHeight="1" x14ac:dyDescent="0.4">
      <c r="B41" s="122"/>
      <c r="C41" s="45"/>
      <c r="D41" s="43" t="s">
        <v>444</v>
      </c>
      <c r="E41" s="42"/>
      <c r="F41" s="43"/>
      <c r="G41" s="42"/>
      <c r="H41" s="42"/>
      <c r="I41" s="42"/>
      <c r="L41" s="403"/>
      <c r="M41" s="403"/>
      <c r="N41" s="403"/>
      <c r="O41" s="403"/>
      <c r="P41" s="403"/>
      <c r="Q41" s="403"/>
      <c r="R41" s="403"/>
      <c r="S41" s="403">
        <v>39</v>
      </c>
      <c r="T41" s="403">
        <v>50</v>
      </c>
      <c r="U41" s="403"/>
      <c r="V41" s="403"/>
      <c r="W41" s="403"/>
      <c r="X41" s="403"/>
      <c r="Y41" s="139"/>
    </row>
    <row r="42" spans="2:25" ht="19.55" customHeight="1" thickBot="1" x14ac:dyDescent="0.45">
      <c r="B42" s="122"/>
      <c r="C42" s="138"/>
      <c r="D42" s="136"/>
      <c r="E42" s="137"/>
      <c r="F42" s="136"/>
      <c r="G42" s="137"/>
      <c r="H42" s="42"/>
      <c r="I42" s="42"/>
      <c r="L42" s="403"/>
      <c r="M42" s="403"/>
      <c r="N42" s="403"/>
      <c r="O42" s="403"/>
      <c r="P42" s="403"/>
      <c r="Q42" s="403"/>
      <c r="R42" s="403"/>
      <c r="S42" s="403">
        <v>40</v>
      </c>
      <c r="T42" s="403">
        <v>50</v>
      </c>
      <c r="U42" s="403"/>
      <c r="V42" s="403"/>
      <c r="W42" s="403"/>
      <c r="X42" s="403"/>
      <c r="Y42" s="139"/>
    </row>
    <row r="43" spans="2:25" ht="19.55" customHeight="1" x14ac:dyDescent="0.35">
      <c r="B43" s="20"/>
      <c r="C43" s="42"/>
      <c r="D43" s="42"/>
      <c r="E43" s="42"/>
      <c r="F43" s="42"/>
      <c r="G43" s="42"/>
      <c r="H43" s="42"/>
      <c r="I43" s="42"/>
      <c r="L43" s="403"/>
      <c r="M43" s="403"/>
      <c r="N43" s="403"/>
      <c r="O43" s="403"/>
      <c r="P43" s="403"/>
      <c r="Q43" s="403"/>
      <c r="R43" s="403"/>
      <c r="S43" s="403">
        <v>41</v>
      </c>
      <c r="T43" s="403">
        <v>50</v>
      </c>
      <c r="U43" s="403"/>
      <c r="V43" s="403"/>
      <c r="W43" s="403"/>
      <c r="X43" s="403"/>
      <c r="Y43" s="139"/>
    </row>
    <row r="44" spans="2:25" ht="19.55" customHeight="1" x14ac:dyDescent="0.35">
      <c r="B44" s="113" t="s">
        <v>85</v>
      </c>
      <c r="C44" s="44"/>
      <c r="D44" s="42"/>
      <c r="E44" s="42"/>
      <c r="F44" s="42"/>
      <c r="G44" s="42"/>
      <c r="H44" s="42"/>
      <c r="I44" s="42"/>
      <c r="L44" s="403"/>
      <c r="M44" s="403"/>
      <c r="N44" s="403"/>
      <c r="O44" s="403"/>
      <c r="P44" s="403"/>
      <c r="Q44" s="403"/>
      <c r="R44" s="403"/>
      <c r="S44" s="403">
        <v>42</v>
      </c>
      <c r="T44" s="403">
        <v>50</v>
      </c>
      <c r="U44" s="403"/>
      <c r="V44" s="403"/>
      <c r="W44" s="403"/>
      <c r="X44" s="403"/>
      <c r="Y44" s="139"/>
    </row>
    <row r="45" spans="2:25" ht="19.55" customHeight="1" x14ac:dyDescent="0.35">
      <c r="B45" s="51"/>
      <c r="C45" s="42"/>
      <c r="D45" s="42"/>
      <c r="E45" s="42"/>
      <c r="F45" s="42"/>
      <c r="G45" s="42"/>
      <c r="H45" s="42"/>
      <c r="I45" s="42"/>
      <c r="L45" s="403"/>
      <c r="M45" s="403"/>
      <c r="N45" s="403"/>
      <c r="O45" s="403"/>
      <c r="P45" s="403"/>
      <c r="Q45" s="403"/>
      <c r="R45" s="403"/>
      <c r="S45" s="403">
        <v>43</v>
      </c>
      <c r="T45" s="403">
        <v>50</v>
      </c>
      <c r="U45" s="403"/>
      <c r="V45" s="403"/>
      <c r="W45" s="403"/>
      <c r="X45" s="403"/>
      <c r="Y45" s="139"/>
    </row>
    <row r="46" spans="2:25" ht="19.55" customHeight="1" x14ac:dyDescent="0.35">
      <c r="B46" s="51"/>
      <c r="C46" s="42"/>
      <c r="D46" s="42"/>
      <c r="E46" s="42"/>
      <c r="F46" s="42"/>
      <c r="G46" s="42"/>
      <c r="H46" s="42"/>
      <c r="I46" s="42"/>
      <c r="L46" s="403"/>
      <c r="M46" s="403"/>
      <c r="N46" s="403"/>
      <c r="O46" s="403"/>
      <c r="P46" s="403"/>
      <c r="Q46" s="403"/>
      <c r="R46" s="403"/>
      <c r="S46" s="403">
        <v>44</v>
      </c>
      <c r="T46" s="403">
        <v>50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L47" s="403"/>
      <c r="M47" s="403"/>
      <c r="N47" s="403"/>
      <c r="O47" s="403"/>
      <c r="P47" s="403"/>
      <c r="Q47" s="403"/>
      <c r="R47" s="403"/>
      <c r="S47" s="403">
        <v>45</v>
      </c>
      <c r="T47" s="403">
        <v>50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L48" s="403"/>
      <c r="M48" s="403"/>
      <c r="N48" s="403"/>
      <c r="O48" s="403"/>
      <c r="P48" s="403"/>
      <c r="Q48" s="403"/>
      <c r="R48" s="403"/>
      <c r="S48" s="403">
        <v>46</v>
      </c>
      <c r="T48" s="403">
        <v>50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L49" s="403"/>
      <c r="M49" s="403"/>
      <c r="N49" s="403"/>
      <c r="O49" s="403"/>
      <c r="P49" s="403"/>
      <c r="Q49" s="403"/>
      <c r="R49" s="403"/>
      <c r="S49" s="403">
        <v>47</v>
      </c>
      <c r="T49" s="403">
        <v>50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L50" s="403"/>
      <c r="M50" s="403"/>
      <c r="N50" s="403"/>
      <c r="O50" s="403"/>
      <c r="P50" s="403"/>
      <c r="Q50" s="403"/>
      <c r="R50" s="403"/>
      <c r="S50" s="403">
        <v>48</v>
      </c>
      <c r="T50" s="403">
        <v>50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L51" s="403"/>
      <c r="M51" s="403"/>
      <c r="N51" s="403"/>
      <c r="O51" s="403"/>
      <c r="P51" s="403"/>
      <c r="Q51" s="403"/>
      <c r="R51" s="403"/>
      <c r="S51" s="403">
        <v>49</v>
      </c>
      <c r="T51" s="403">
        <v>50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L52" s="403"/>
      <c r="M52" s="403"/>
      <c r="N52" s="403"/>
      <c r="O52" s="403"/>
      <c r="P52" s="403"/>
      <c r="Q52" s="403"/>
      <c r="R52" s="403"/>
      <c r="S52" s="403">
        <v>50</v>
      </c>
      <c r="T52" s="403">
        <v>50</v>
      </c>
      <c r="U52" s="403">
        <v>50</v>
      </c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L53" s="403"/>
      <c r="M53" s="403"/>
      <c r="N53" s="403"/>
      <c r="O53" s="403"/>
      <c r="P53" s="403"/>
      <c r="Q53" s="403"/>
      <c r="R53" s="403"/>
      <c r="S53" s="403">
        <v>51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L54" s="403"/>
      <c r="M54" s="403"/>
      <c r="N54" s="403"/>
      <c r="O54" s="403"/>
      <c r="P54" s="403"/>
      <c r="Q54" s="403"/>
      <c r="R54" s="403"/>
      <c r="S54" s="403">
        <v>52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L55" s="403"/>
      <c r="M55" s="403"/>
      <c r="N55" s="403"/>
      <c r="O55" s="403"/>
      <c r="P55" s="403"/>
      <c r="Q55" s="403"/>
      <c r="R55" s="403"/>
      <c r="S55" s="403">
        <v>53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L56" s="403"/>
      <c r="M56" s="403"/>
      <c r="N56" s="403"/>
      <c r="O56" s="403"/>
      <c r="P56" s="403"/>
      <c r="Q56" s="403"/>
      <c r="R56" s="403"/>
      <c r="S56" s="403">
        <v>54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L57" s="403"/>
      <c r="M57" s="403"/>
      <c r="N57" s="403"/>
      <c r="O57" s="403"/>
      <c r="P57" s="403"/>
      <c r="Q57" s="403"/>
      <c r="R57" s="403"/>
      <c r="S57" s="403">
        <v>55</v>
      </c>
      <c r="T57" s="403">
        <v>70</v>
      </c>
      <c r="U57" s="403"/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L58" s="403"/>
      <c r="M58" s="403"/>
      <c r="N58" s="403"/>
      <c r="O58" s="403"/>
      <c r="P58" s="403"/>
      <c r="Q58" s="403"/>
      <c r="R58" s="403"/>
      <c r="S58" s="403">
        <v>56</v>
      </c>
      <c r="T58" s="403">
        <v>70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L59" s="403"/>
      <c r="M59" s="403"/>
      <c r="N59" s="403"/>
      <c r="O59" s="403"/>
      <c r="P59" s="403"/>
      <c r="Q59" s="403"/>
      <c r="R59" s="403"/>
      <c r="S59" s="403">
        <v>57</v>
      </c>
      <c r="T59" s="403">
        <v>70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L60" s="403"/>
      <c r="M60" s="403"/>
      <c r="N60" s="403"/>
      <c r="O60" s="403"/>
      <c r="P60" s="403"/>
      <c r="Q60" s="403"/>
      <c r="R60" s="403"/>
      <c r="S60" s="403">
        <v>58</v>
      </c>
      <c r="T60" s="403">
        <v>70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L61" s="403"/>
      <c r="M61" s="403"/>
      <c r="N61" s="403"/>
      <c r="O61" s="403"/>
      <c r="P61" s="403"/>
      <c r="Q61" s="403"/>
      <c r="R61" s="403"/>
      <c r="S61" s="403">
        <v>59</v>
      </c>
      <c r="T61" s="403">
        <v>70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L62" s="403"/>
      <c r="M62" s="403"/>
      <c r="N62" s="403"/>
      <c r="O62" s="403"/>
      <c r="P62" s="403"/>
      <c r="Q62" s="403"/>
      <c r="R62" s="403"/>
      <c r="S62" s="403">
        <v>60</v>
      </c>
      <c r="T62" s="403">
        <v>70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L63" s="403"/>
      <c r="M63" s="403"/>
      <c r="N63" s="403"/>
      <c r="O63" s="403"/>
      <c r="P63" s="403"/>
      <c r="Q63" s="403"/>
      <c r="R63" s="403"/>
      <c r="S63" s="403">
        <v>61</v>
      </c>
      <c r="T63" s="403">
        <v>70</v>
      </c>
      <c r="U63" s="403"/>
      <c r="V63" s="403"/>
      <c r="W63" s="403"/>
      <c r="X63" s="403"/>
      <c r="Y63" s="139"/>
    </row>
    <row r="64" spans="2:25" x14ac:dyDescent="0.35">
      <c r="B64" s="51"/>
      <c r="C64" s="42"/>
      <c r="D64" s="42"/>
      <c r="E64" s="42"/>
      <c r="F64" s="42"/>
      <c r="G64" s="42"/>
      <c r="H64" s="42"/>
      <c r="I64" s="42"/>
      <c r="L64" s="403"/>
      <c r="M64" s="403"/>
      <c r="N64" s="403"/>
      <c r="O64" s="403"/>
      <c r="P64" s="403"/>
      <c r="Q64" s="403"/>
      <c r="R64" s="403"/>
      <c r="S64" s="403">
        <v>62</v>
      </c>
      <c r="T64" s="403">
        <v>70</v>
      </c>
      <c r="U64" s="403"/>
      <c r="V64" s="403"/>
      <c r="W64" s="403"/>
      <c r="X64" s="403"/>
      <c r="Y64" s="139"/>
    </row>
    <row r="65" spans="2:25" x14ac:dyDescent="0.35">
      <c r="B65" s="51"/>
      <c r="C65" s="42"/>
      <c r="D65" s="42"/>
      <c r="E65" s="42"/>
      <c r="F65" s="42"/>
      <c r="G65" s="42"/>
      <c r="H65" s="42"/>
      <c r="I65" s="42"/>
      <c r="L65" s="403"/>
      <c r="M65" s="403"/>
      <c r="N65" s="403"/>
      <c r="O65" s="403"/>
      <c r="P65" s="403"/>
      <c r="Q65" s="403"/>
      <c r="R65" s="403"/>
      <c r="S65" s="403">
        <v>63</v>
      </c>
      <c r="T65" s="403">
        <v>70</v>
      </c>
      <c r="U65" s="403"/>
      <c r="V65" s="403"/>
      <c r="W65" s="403"/>
      <c r="X65" s="403"/>
      <c r="Y65" s="139"/>
    </row>
    <row r="66" spans="2:25" x14ac:dyDescent="0.35">
      <c r="B66" s="51"/>
      <c r="C66" s="42"/>
      <c r="D66" s="42"/>
      <c r="E66" s="42"/>
      <c r="F66" s="42"/>
      <c r="G66" s="42"/>
      <c r="H66" s="42"/>
      <c r="I66" s="42"/>
      <c r="L66" s="403"/>
      <c r="M66" s="403"/>
      <c r="N66" s="403"/>
      <c r="O66" s="403"/>
      <c r="P66" s="403"/>
      <c r="Q66" s="403"/>
      <c r="R66" s="403"/>
      <c r="S66" s="403">
        <v>64</v>
      </c>
      <c r="T66" s="403">
        <v>70</v>
      </c>
      <c r="U66" s="403"/>
      <c r="V66" s="403"/>
      <c r="W66" s="403"/>
      <c r="X66" s="403"/>
      <c r="Y66" s="139"/>
    </row>
    <row r="67" spans="2:25" x14ac:dyDescent="0.35">
      <c r="B67" s="51"/>
      <c r="C67" s="42"/>
      <c r="D67" s="42"/>
      <c r="E67" s="42"/>
      <c r="F67" s="42"/>
      <c r="G67" s="42"/>
      <c r="H67" s="42"/>
      <c r="I67" s="42"/>
      <c r="L67" s="403"/>
      <c r="M67" s="403"/>
      <c r="N67" s="403"/>
      <c r="O67" s="403"/>
      <c r="P67" s="403"/>
      <c r="Q67" s="403"/>
      <c r="R67" s="403"/>
      <c r="S67" s="403">
        <v>65</v>
      </c>
      <c r="T67" s="403">
        <v>70</v>
      </c>
      <c r="U67" s="403"/>
      <c r="V67" s="403"/>
      <c r="W67" s="403"/>
      <c r="X67" s="403"/>
      <c r="Y67" s="139"/>
    </row>
    <row r="68" spans="2:25" x14ac:dyDescent="0.35">
      <c r="B68" s="51"/>
      <c r="C68" s="42"/>
      <c r="D68" s="42"/>
      <c r="E68" s="42"/>
      <c r="F68" s="42"/>
      <c r="G68" s="42"/>
      <c r="H68" s="42"/>
      <c r="I68" s="42"/>
      <c r="L68" s="403"/>
      <c r="M68" s="403"/>
      <c r="N68" s="403"/>
      <c r="O68" s="403"/>
      <c r="P68" s="403"/>
      <c r="Q68" s="403"/>
      <c r="R68" s="403"/>
      <c r="S68" s="403">
        <v>66</v>
      </c>
      <c r="T68" s="403">
        <v>70</v>
      </c>
      <c r="U68" s="403"/>
      <c r="V68" s="403"/>
      <c r="W68" s="403"/>
      <c r="X68" s="403"/>
      <c r="Y68" s="139"/>
    </row>
    <row r="69" spans="2:25" x14ac:dyDescent="0.35">
      <c r="B69" s="51"/>
      <c r="C69" s="42"/>
      <c r="D69" s="42"/>
      <c r="E69" s="42"/>
      <c r="F69" s="42"/>
      <c r="G69" s="42"/>
      <c r="H69" s="42"/>
      <c r="I69" s="42"/>
      <c r="L69" s="403"/>
      <c r="M69" s="403"/>
      <c r="N69" s="403"/>
      <c r="O69" s="403"/>
      <c r="P69" s="403"/>
      <c r="Q69" s="403"/>
      <c r="R69" s="403"/>
      <c r="S69" s="403">
        <v>67</v>
      </c>
      <c r="T69" s="403">
        <v>70</v>
      </c>
      <c r="U69" s="403"/>
      <c r="V69" s="403"/>
      <c r="W69" s="403"/>
      <c r="X69" s="403"/>
      <c r="Y69" s="139"/>
    </row>
    <row r="70" spans="2:25" x14ac:dyDescent="0.35">
      <c r="B70" s="51"/>
      <c r="C70" s="42"/>
      <c r="D70" s="42"/>
      <c r="E70" s="42"/>
      <c r="F70" s="42"/>
      <c r="G70" s="42"/>
      <c r="H70" s="42"/>
      <c r="I70" s="42"/>
      <c r="L70" s="403"/>
      <c r="M70" s="403"/>
      <c r="N70" s="403"/>
      <c r="O70" s="403"/>
      <c r="P70" s="403"/>
      <c r="Q70" s="403"/>
      <c r="R70" s="403"/>
      <c r="S70" s="403">
        <v>68</v>
      </c>
      <c r="T70" s="403">
        <v>70</v>
      </c>
      <c r="U70" s="403"/>
      <c r="V70" s="403"/>
      <c r="W70" s="403"/>
      <c r="X70" s="403"/>
      <c r="Y70" s="139"/>
    </row>
    <row r="71" spans="2:25" x14ac:dyDescent="0.35">
      <c r="B71" s="51"/>
      <c r="C71" s="42"/>
      <c r="D71" s="42"/>
      <c r="E71" s="42"/>
      <c r="F71" s="42"/>
      <c r="G71" s="42"/>
      <c r="H71" s="42"/>
      <c r="I71" s="42"/>
      <c r="L71" s="403"/>
      <c r="M71" s="403"/>
      <c r="N71" s="403"/>
      <c r="O71" s="403"/>
      <c r="P71" s="403"/>
      <c r="Q71" s="403"/>
      <c r="R71" s="403"/>
      <c r="S71" s="403">
        <v>69</v>
      </c>
      <c r="T71" s="403">
        <v>70</v>
      </c>
      <c r="U71" s="403"/>
      <c r="V71" s="403"/>
      <c r="W71" s="403"/>
      <c r="X71" s="403"/>
      <c r="Y71" s="139"/>
    </row>
    <row r="72" spans="2:25" x14ac:dyDescent="0.35">
      <c r="B72" s="51"/>
      <c r="C72" s="42"/>
      <c r="D72" s="42"/>
      <c r="E72" s="42"/>
      <c r="F72" s="42"/>
      <c r="G72" s="42"/>
      <c r="H72" s="42"/>
      <c r="I72" s="42"/>
      <c r="L72" s="403"/>
      <c r="M72" s="403"/>
      <c r="N72" s="403"/>
      <c r="O72" s="403"/>
      <c r="P72" s="403"/>
      <c r="Q72" s="403"/>
      <c r="R72" s="403"/>
      <c r="S72" s="403">
        <v>70</v>
      </c>
      <c r="T72" s="403">
        <v>70</v>
      </c>
      <c r="U72" s="403">
        <v>70</v>
      </c>
      <c r="V72" s="403"/>
      <c r="W72" s="403"/>
      <c r="X72" s="403"/>
      <c r="Y72" s="139"/>
    </row>
    <row r="73" spans="2:25" x14ac:dyDescent="0.35">
      <c r="B73" s="51"/>
      <c r="C73" s="42"/>
      <c r="D73" s="42"/>
      <c r="E73" s="42"/>
      <c r="F73" s="42"/>
      <c r="G73" s="42"/>
      <c r="H73" s="42"/>
      <c r="I73" s="42"/>
      <c r="L73" s="403"/>
      <c r="M73" s="403"/>
      <c r="N73" s="403"/>
      <c r="O73" s="403"/>
      <c r="P73" s="403"/>
      <c r="Q73" s="403"/>
      <c r="R73" s="403"/>
      <c r="S73" s="403">
        <v>71</v>
      </c>
      <c r="T73" s="403">
        <v>100</v>
      </c>
      <c r="U73" s="403"/>
      <c r="V73" s="403"/>
      <c r="W73" s="403"/>
      <c r="X73" s="403"/>
      <c r="Y73" s="139"/>
    </row>
    <row r="74" spans="2:25" x14ac:dyDescent="0.35">
      <c r="B74" s="51"/>
      <c r="C74" s="42"/>
      <c r="D74" s="42"/>
      <c r="E74" s="42"/>
      <c r="F74" s="42"/>
      <c r="G74" s="42"/>
      <c r="H74" s="42"/>
      <c r="I74" s="42"/>
      <c r="L74" s="403"/>
      <c r="M74" s="403"/>
      <c r="N74" s="403"/>
      <c r="O74" s="403"/>
      <c r="P74" s="403"/>
      <c r="Q74" s="403"/>
      <c r="R74" s="403"/>
      <c r="S74" s="403">
        <v>72</v>
      </c>
      <c r="T74" s="403">
        <v>100</v>
      </c>
      <c r="U74" s="403"/>
      <c r="V74" s="403"/>
      <c r="W74" s="403"/>
      <c r="X74" s="403"/>
      <c r="Y74" s="139"/>
    </row>
    <row r="75" spans="2:25" x14ac:dyDescent="0.35">
      <c r="B75" s="51"/>
      <c r="C75" s="42"/>
      <c r="D75" s="42"/>
      <c r="E75" s="42"/>
      <c r="F75" s="42"/>
      <c r="G75" s="42"/>
      <c r="H75" s="42"/>
      <c r="I75" s="42"/>
      <c r="L75" s="403"/>
      <c r="M75" s="403"/>
      <c r="N75" s="403"/>
      <c r="O75" s="403"/>
      <c r="P75" s="403"/>
      <c r="Q75" s="403"/>
      <c r="R75" s="403"/>
      <c r="S75" s="403">
        <v>73</v>
      </c>
      <c r="T75" s="403">
        <v>100</v>
      </c>
      <c r="U75" s="403"/>
      <c r="V75" s="403"/>
      <c r="W75" s="403"/>
      <c r="X75" s="403"/>
      <c r="Y75" s="139"/>
    </row>
    <row r="76" spans="2:25" x14ac:dyDescent="0.35">
      <c r="B76" s="51"/>
      <c r="C76" s="42"/>
      <c r="D76" s="42"/>
      <c r="E76" s="42"/>
      <c r="F76" s="42"/>
      <c r="G76" s="42"/>
      <c r="H76" s="42"/>
      <c r="I76" s="42"/>
      <c r="L76" s="403"/>
      <c r="M76" s="403"/>
      <c r="N76" s="403"/>
      <c r="O76" s="403"/>
      <c r="P76" s="403"/>
      <c r="Q76" s="403"/>
      <c r="R76" s="403"/>
      <c r="S76" s="403">
        <v>74</v>
      </c>
      <c r="T76" s="403">
        <v>100</v>
      </c>
      <c r="U76" s="403"/>
      <c r="V76" s="403"/>
      <c r="W76" s="403"/>
      <c r="X76" s="403"/>
      <c r="Y76" s="139"/>
    </row>
    <row r="77" spans="2:25" x14ac:dyDescent="0.35">
      <c r="H77" s="42"/>
      <c r="I77" s="42"/>
      <c r="L77" s="403"/>
      <c r="M77" s="403"/>
      <c r="N77" s="403"/>
      <c r="O77" s="403"/>
      <c r="P77" s="403"/>
      <c r="Q77" s="403"/>
      <c r="R77" s="403"/>
      <c r="S77" s="403">
        <v>75</v>
      </c>
      <c r="T77" s="403">
        <v>100</v>
      </c>
      <c r="U77" s="403"/>
      <c r="V77" s="403"/>
      <c r="W77" s="403"/>
      <c r="X77" s="403"/>
      <c r="Y77" s="139"/>
    </row>
    <row r="78" spans="2:25" x14ac:dyDescent="0.35">
      <c r="L78" s="403"/>
      <c r="M78" s="403"/>
      <c r="N78" s="403"/>
      <c r="O78" s="403"/>
      <c r="P78" s="403"/>
      <c r="Q78" s="403"/>
      <c r="R78" s="403"/>
      <c r="S78" s="403">
        <v>76</v>
      </c>
      <c r="T78" s="403">
        <v>100</v>
      </c>
      <c r="U78" s="403"/>
      <c r="V78" s="403"/>
      <c r="W78" s="403"/>
      <c r="X78" s="403"/>
      <c r="Y78" s="139"/>
    </row>
    <row r="79" spans="2:25" x14ac:dyDescent="0.35">
      <c r="L79" s="403"/>
      <c r="M79" s="403"/>
      <c r="N79" s="403"/>
      <c r="O79" s="403"/>
      <c r="P79" s="403"/>
      <c r="Q79" s="403"/>
      <c r="R79" s="403"/>
      <c r="S79" s="403">
        <v>77</v>
      </c>
      <c r="T79" s="403">
        <v>100</v>
      </c>
      <c r="U79" s="403"/>
      <c r="V79" s="403"/>
      <c r="W79" s="403"/>
      <c r="X79" s="403"/>
      <c r="Y79" s="139"/>
    </row>
    <row r="80" spans="2:25" x14ac:dyDescent="0.35">
      <c r="L80" s="403"/>
      <c r="M80" s="403"/>
      <c r="N80" s="403"/>
      <c r="O80" s="403"/>
      <c r="P80" s="403"/>
      <c r="Q80" s="403"/>
      <c r="R80" s="403"/>
      <c r="S80" s="403">
        <v>78</v>
      </c>
      <c r="T80" s="403">
        <v>100</v>
      </c>
      <c r="U80" s="403"/>
      <c r="V80" s="403"/>
      <c r="W80" s="403"/>
      <c r="X80" s="403"/>
      <c r="Y80" s="139"/>
    </row>
    <row r="81" spans="12:25" x14ac:dyDescent="0.35">
      <c r="L81" s="403"/>
      <c r="M81" s="403"/>
      <c r="N81" s="403"/>
      <c r="O81" s="403"/>
      <c r="P81" s="403"/>
      <c r="Q81" s="403"/>
      <c r="R81" s="403"/>
      <c r="S81" s="403">
        <v>79</v>
      </c>
      <c r="T81" s="403">
        <v>100</v>
      </c>
      <c r="U81" s="403"/>
      <c r="V81" s="403"/>
      <c r="W81" s="403"/>
      <c r="X81" s="403"/>
      <c r="Y81" s="139"/>
    </row>
    <row r="82" spans="12:25" x14ac:dyDescent="0.35">
      <c r="L82" s="403"/>
      <c r="M82" s="403"/>
      <c r="N82" s="403"/>
      <c r="O82" s="403"/>
      <c r="P82" s="403"/>
      <c r="Q82" s="403"/>
      <c r="R82" s="403"/>
      <c r="S82" s="403">
        <v>80</v>
      </c>
      <c r="T82" s="403">
        <v>100</v>
      </c>
      <c r="U82" s="403"/>
      <c r="V82" s="403"/>
      <c r="W82" s="403"/>
      <c r="X82" s="403"/>
      <c r="Y82" s="139"/>
    </row>
    <row r="83" spans="12:25" x14ac:dyDescent="0.35">
      <c r="L83" s="403"/>
      <c r="M83" s="403"/>
      <c r="N83" s="403"/>
      <c r="O83" s="403"/>
      <c r="P83" s="403"/>
      <c r="Q83" s="403"/>
      <c r="R83" s="403"/>
      <c r="S83" s="403">
        <v>81</v>
      </c>
      <c r="T83" s="403">
        <v>100</v>
      </c>
      <c r="U83" s="403"/>
      <c r="V83" s="403"/>
      <c r="W83" s="403"/>
      <c r="X83" s="403"/>
      <c r="Y83" s="139"/>
    </row>
    <row r="84" spans="12:25" x14ac:dyDescent="0.35">
      <c r="L84" s="403"/>
      <c r="M84" s="403"/>
      <c r="N84" s="403"/>
      <c r="O84" s="403"/>
      <c r="P84" s="403"/>
      <c r="Q84" s="403"/>
      <c r="R84" s="403"/>
      <c r="S84" s="403">
        <v>82</v>
      </c>
      <c r="T84" s="403">
        <v>100</v>
      </c>
      <c r="U84" s="403"/>
      <c r="V84" s="403"/>
      <c r="W84" s="403"/>
      <c r="X84" s="403"/>
      <c r="Y84" s="139"/>
    </row>
    <row r="85" spans="12:25" x14ac:dyDescent="0.35">
      <c r="L85" s="403"/>
      <c r="M85" s="403"/>
      <c r="N85" s="403"/>
      <c r="O85" s="403"/>
      <c r="P85" s="403"/>
      <c r="Q85" s="403"/>
      <c r="R85" s="403"/>
      <c r="S85" s="403">
        <v>83</v>
      </c>
      <c r="T85" s="403">
        <v>100</v>
      </c>
      <c r="U85" s="403"/>
      <c r="V85" s="403"/>
      <c r="W85" s="403"/>
      <c r="X85" s="403"/>
      <c r="Y85" s="139"/>
    </row>
    <row r="86" spans="12:25" x14ac:dyDescent="0.35">
      <c r="L86" s="403"/>
      <c r="M86" s="403"/>
      <c r="N86" s="403"/>
      <c r="O86" s="403"/>
      <c r="P86" s="403"/>
      <c r="Q86" s="403"/>
      <c r="R86" s="403"/>
      <c r="S86" s="403">
        <v>84</v>
      </c>
      <c r="T86" s="403">
        <v>100</v>
      </c>
      <c r="U86" s="403"/>
      <c r="V86" s="403"/>
      <c r="W86" s="403"/>
      <c r="X86" s="403"/>
      <c r="Y86" s="139"/>
    </row>
    <row r="87" spans="12:25" x14ac:dyDescent="0.35">
      <c r="L87" s="403"/>
      <c r="M87" s="403"/>
      <c r="N87" s="403"/>
      <c r="O87" s="403"/>
      <c r="P87" s="403"/>
      <c r="Q87" s="403"/>
      <c r="R87" s="403"/>
      <c r="S87" s="403">
        <v>85</v>
      </c>
      <c r="T87" s="403">
        <v>100</v>
      </c>
      <c r="U87" s="403"/>
      <c r="V87" s="403"/>
      <c r="W87" s="403"/>
      <c r="X87" s="403"/>
      <c r="Y87" s="139"/>
    </row>
    <row r="88" spans="12:25" x14ac:dyDescent="0.35">
      <c r="L88" s="403"/>
      <c r="M88" s="403"/>
      <c r="N88" s="403"/>
      <c r="O88" s="403"/>
      <c r="P88" s="403"/>
      <c r="Q88" s="403"/>
      <c r="R88" s="403"/>
      <c r="S88" s="403">
        <v>86</v>
      </c>
      <c r="T88" s="403">
        <v>100</v>
      </c>
      <c r="U88" s="403"/>
      <c r="V88" s="403"/>
      <c r="W88" s="403"/>
      <c r="X88" s="403"/>
      <c r="Y88" s="139"/>
    </row>
    <row r="89" spans="12:25" x14ac:dyDescent="0.35">
      <c r="L89" s="403"/>
      <c r="M89" s="403"/>
      <c r="N89" s="403"/>
      <c r="O89" s="403"/>
      <c r="P89" s="403"/>
      <c r="Q89" s="403"/>
      <c r="R89" s="403"/>
      <c r="S89" s="403">
        <v>87</v>
      </c>
      <c r="T89" s="403">
        <v>100</v>
      </c>
      <c r="U89" s="403"/>
      <c r="V89" s="403"/>
      <c r="W89" s="403"/>
      <c r="X89" s="403"/>
      <c r="Y89" s="139"/>
    </row>
    <row r="90" spans="12:25" x14ac:dyDescent="0.35">
      <c r="L90" s="403"/>
      <c r="M90" s="403"/>
      <c r="N90" s="403"/>
      <c r="O90" s="403"/>
      <c r="P90" s="403"/>
      <c r="Q90" s="403"/>
      <c r="R90" s="403"/>
      <c r="S90" s="403">
        <v>88</v>
      </c>
      <c r="T90" s="403">
        <v>100</v>
      </c>
      <c r="U90" s="403"/>
      <c r="V90" s="403"/>
      <c r="W90" s="403"/>
      <c r="X90" s="403"/>
      <c r="Y90" s="139"/>
    </row>
    <row r="91" spans="12:25" x14ac:dyDescent="0.35">
      <c r="L91" s="403"/>
      <c r="M91" s="403"/>
      <c r="N91" s="403"/>
      <c r="O91" s="403"/>
      <c r="P91" s="403"/>
      <c r="Q91" s="403"/>
      <c r="R91" s="403"/>
      <c r="S91" s="403">
        <v>89</v>
      </c>
      <c r="T91" s="403">
        <v>100</v>
      </c>
      <c r="U91" s="403"/>
      <c r="V91" s="403"/>
      <c r="W91" s="403"/>
      <c r="X91" s="403"/>
      <c r="Y91" s="139"/>
    </row>
    <row r="92" spans="12:25" x14ac:dyDescent="0.35">
      <c r="L92" s="403"/>
      <c r="M92" s="403"/>
      <c r="N92" s="403"/>
      <c r="O92" s="403"/>
      <c r="P92" s="403"/>
      <c r="Q92" s="403"/>
      <c r="R92" s="403"/>
      <c r="S92" s="403">
        <v>90</v>
      </c>
      <c r="T92" s="403">
        <v>100</v>
      </c>
      <c r="U92" s="403"/>
      <c r="V92" s="403"/>
      <c r="W92" s="403"/>
      <c r="X92" s="403"/>
      <c r="Y92" s="139"/>
    </row>
    <row r="93" spans="12:25" x14ac:dyDescent="0.35">
      <c r="L93" s="403"/>
      <c r="M93" s="403"/>
      <c r="N93" s="403"/>
      <c r="O93" s="403"/>
      <c r="P93" s="403"/>
      <c r="Q93" s="403"/>
      <c r="R93" s="403"/>
      <c r="S93" s="403">
        <v>91</v>
      </c>
      <c r="T93" s="403">
        <v>100</v>
      </c>
      <c r="U93" s="403"/>
      <c r="V93" s="403"/>
      <c r="W93" s="403"/>
      <c r="X93" s="403"/>
      <c r="Y93" s="139"/>
    </row>
    <row r="94" spans="12:25" x14ac:dyDescent="0.35">
      <c r="L94" s="403"/>
      <c r="M94" s="403"/>
      <c r="N94" s="403"/>
      <c r="O94" s="403"/>
      <c r="P94" s="403"/>
      <c r="Q94" s="403"/>
      <c r="R94" s="403"/>
      <c r="S94" s="403">
        <v>92</v>
      </c>
      <c r="T94" s="403">
        <v>100</v>
      </c>
      <c r="U94" s="403"/>
      <c r="V94" s="403"/>
      <c r="W94" s="403"/>
      <c r="X94" s="403"/>
      <c r="Y94" s="139"/>
    </row>
    <row r="95" spans="12:25" x14ac:dyDescent="0.35">
      <c r="L95" s="403"/>
      <c r="M95" s="403"/>
      <c r="N95" s="403"/>
      <c r="O95" s="403"/>
      <c r="P95" s="403"/>
      <c r="Q95" s="403"/>
      <c r="R95" s="403"/>
      <c r="S95" s="403">
        <v>93</v>
      </c>
      <c r="T95" s="403">
        <v>100</v>
      </c>
      <c r="U95" s="403"/>
      <c r="V95" s="403"/>
      <c r="W95" s="403"/>
      <c r="X95" s="403"/>
      <c r="Y95" s="139"/>
    </row>
    <row r="96" spans="12:25" x14ac:dyDescent="0.35">
      <c r="L96" s="403"/>
      <c r="M96" s="403"/>
      <c r="N96" s="403"/>
      <c r="O96" s="403"/>
      <c r="P96" s="403"/>
      <c r="Q96" s="403"/>
      <c r="R96" s="403"/>
      <c r="S96" s="403">
        <v>94</v>
      </c>
      <c r="T96" s="403">
        <v>100</v>
      </c>
      <c r="U96" s="403"/>
      <c r="V96" s="403"/>
      <c r="W96" s="403"/>
      <c r="X96" s="403"/>
      <c r="Y96" s="139"/>
    </row>
    <row r="97" spans="12:25" x14ac:dyDescent="0.35">
      <c r="L97" s="403"/>
      <c r="M97" s="403"/>
      <c r="N97" s="403"/>
      <c r="O97" s="403"/>
      <c r="P97" s="403"/>
      <c r="Q97" s="403"/>
      <c r="R97" s="403"/>
      <c r="S97" s="403">
        <v>95</v>
      </c>
      <c r="T97" s="403">
        <v>100</v>
      </c>
      <c r="U97" s="403"/>
      <c r="V97" s="403"/>
      <c r="W97" s="403"/>
      <c r="X97" s="403"/>
      <c r="Y97" s="139"/>
    </row>
    <row r="98" spans="12:25" x14ac:dyDescent="0.35">
      <c r="L98" s="403"/>
      <c r="M98" s="403"/>
      <c r="N98" s="403"/>
      <c r="O98" s="403"/>
      <c r="P98" s="403"/>
      <c r="Q98" s="403"/>
      <c r="R98" s="403"/>
      <c r="S98" s="403">
        <v>96</v>
      </c>
      <c r="T98" s="403">
        <v>100</v>
      </c>
      <c r="U98" s="403"/>
      <c r="V98" s="403"/>
      <c r="W98" s="403"/>
      <c r="X98" s="403"/>
      <c r="Y98" s="139"/>
    </row>
    <row r="99" spans="12:25" x14ac:dyDescent="0.35">
      <c r="L99" s="403"/>
      <c r="M99" s="403"/>
      <c r="N99" s="403"/>
      <c r="O99" s="403"/>
      <c r="P99" s="403"/>
      <c r="Q99" s="403"/>
      <c r="R99" s="403"/>
      <c r="S99" s="403">
        <v>97</v>
      </c>
      <c r="T99" s="403">
        <v>100</v>
      </c>
      <c r="U99" s="403"/>
      <c r="V99" s="403"/>
      <c r="W99" s="403"/>
      <c r="X99" s="403"/>
      <c r="Y99" s="139"/>
    </row>
    <row r="100" spans="12:25" x14ac:dyDescent="0.35">
      <c r="L100" s="403"/>
      <c r="M100" s="403"/>
      <c r="N100" s="403"/>
      <c r="O100" s="403"/>
      <c r="P100" s="403"/>
      <c r="Q100" s="403"/>
      <c r="R100" s="403"/>
      <c r="S100" s="403">
        <v>98</v>
      </c>
      <c r="T100" s="403">
        <v>100</v>
      </c>
      <c r="U100" s="403"/>
      <c r="V100" s="403"/>
      <c r="W100" s="403"/>
      <c r="X100" s="403"/>
      <c r="Y100" s="139"/>
    </row>
    <row r="101" spans="12:25" x14ac:dyDescent="0.35">
      <c r="L101" s="403"/>
      <c r="M101" s="403"/>
      <c r="N101" s="403"/>
      <c r="O101" s="403"/>
      <c r="P101" s="403"/>
      <c r="Q101" s="403"/>
      <c r="R101" s="403"/>
      <c r="S101" s="403">
        <v>99</v>
      </c>
      <c r="T101" s="403">
        <v>100</v>
      </c>
      <c r="U101" s="403"/>
      <c r="V101" s="403"/>
      <c r="W101" s="403"/>
      <c r="X101" s="403"/>
      <c r="Y101" s="139"/>
    </row>
    <row r="102" spans="12:25" x14ac:dyDescent="0.35">
      <c r="L102" s="403"/>
      <c r="M102" s="403"/>
      <c r="N102" s="403"/>
      <c r="O102" s="403"/>
      <c r="P102" s="403"/>
      <c r="Q102" s="403"/>
      <c r="R102" s="403"/>
      <c r="S102" s="403">
        <v>100</v>
      </c>
      <c r="T102" s="403">
        <v>100</v>
      </c>
      <c r="U102" s="403">
        <v>100</v>
      </c>
      <c r="V102" s="403"/>
      <c r="W102" s="403"/>
      <c r="X102" s="403"/>
      <c r="Y102" s="139"/>
    </row>
    <row r="103" spans="12:25" x14ac:dyDescent="0.35">
      <c r="L103" s="403"/>
      <c r="M103" s="403"/>
      <c r="N103" s="403"/>
      <c r="O103" s="403"/>
      <c r="P103" s="403"/>
      <c r="Q103" s="403"/>
      <c r="R103" s="403"/>
      <c r="S103" s="403">
        <v>101</v>
      </c>
      <c r="T103" s="403">
        <v>150</v>
      </c>
      <c r="U103" s="403"/>
      <c r="V103" s="403"/>
      <c r="W103" s="403"/>
      <c r="X103" s="403"/>
      <c r="Y103" s="139"/>
    </row>
    <row r="104" spans="12:25" x14ac:dyDescent="0.35">
      <c r="L104" s="403"/>
      <c r="M104" s="403"/>
      <c r="N104" s="403"/>
      <c r="O104" s="403"/>
      <c r="P104" s="403"/>
      <c r="Q104" s="403"/>
      <c r="R104" s="403"/>
      <c r="S104" s="403">
        <v>102</v>
      </c>
      <c r="T104" s="403">
        <v>150</v>
      </c>
      <c r="U104" s="403"/>
      <c r="V104" s="403"/>
      <c r="W104" s="403"/>
      <c r="X104" s="403"/>
      <c r="Y104" s="139"/>
    </row>
    <row r="105" spans="12:25" x14ac:dyDescent="0.35">
      <c r="L105" s="403"/>
      <c r="M105" s="403"/>
      <c r="N105" s="403"/>
      <c r="O105" s="403"/>
      <c r="P105" s="403"/>
      <c r="Q105" s="403"/>
      <c r="R105" s="403"/>
      <c r="S105" s="403">
        <v>103</v>
      </c>
      <c r="T105" s="403">
        <v>150</v>
      </c>
      <c r="U105" s="403"/>
      <c r="V105" s="403"/>
      <c r="W105" s="403"/>
      <c r="X105" s="403"/>
      <c r="Y105" s="139"/>
    </row>
    <row r="106" spans="12:25" x14ac:dyDescent="0.35">
      <c r="L106" s="403"/>
      <c r="M106" s="403"/>
      <c r="N106" s="403"/>
      <c r="O106" s="403"/>
      <c r="P106" s="403"/>
      <c r="Q106" s="403"/>
      <c r="R106" s="403"/>
      <c r="S106" s="403">
        <v>104</v>
      </c>
      <c r="T106" s="403">
        <v>150</v>
      </c>
      <c r="U106" s="403"/>
      <c r="V106" s="403"/>
      <c r="W106" s="403"/>
      <c r="X106" s="403"/>
      <c r="Y106" s="139"/>
    </row>
    <row r="107" spans="12:25" x14ac:dyDescent="0.35">
      <c r="L107" s="403"/>
      <c r="M107" s="403"/>
      <c r="N107" s="403"/>
      <c r="O107" s="403"/>
      <c r="P107" s="403"/>
      <c r="Q107" s="403"/>
      <c r="R107" s="403"/>
      <c r="S107" s="403">
        <v>105</v>
      </c>
      <c r="T107" s="403">
        <v>150</v>
      </c>
      <c r="U107" s="403"/>
      <c r="V107" s="403"/>
      <c r="W107" s="403"/>
      <c r="X107" s="403"/>
      <c r="Y107" s="139"/>
    </row>
    <row r="108" spans="12:25" x14ac:dyDescent="0.35">
      <c r="L108" s="403"/>
      <c r="M108" s="403"/>
      <c r="N108" s="403"/>
      <c r="O108" s="403"/>
      <c r="P108" s="403"/>
      <c r="Q108" s="403"/>
      <c r="R108" s="403"/>
      <c r="S108" s="403">
        <v>106</v>
      </c>
      <c r="T108" s="403">
        <v>150</v>
      </c>
      <c r="U108" s="403"/>
      <c r="V108" s="403"/>
      <c r="W108" s="403"/>
      <c r="X108" s="403"/>
      <c r="Y108" s="139"/>
    </row>
    <row r="109" spans="12:25" x14ac:dyDescent="0.35">
      <c r="L109" s="403"/>
      <c r="M109" s="403"/>
      <c r="N109" s="403"/>
      <c r="O109" s="403"/>
      <c r="P109" s="403"/>
      <c r="Q109" s="403"/>
      <c r="R109" s="403"/>
      <c r="S109" s="403">
        <v>107</v>
      </c>
      <c r="T109" s="403">
        <v>150</v>
      </c>
      <c r="U109" s="403"/>
      <c r="V109" s="403"/>
      <c r="W109" s="403"/>
      <c r="X109" s="403"/>
      <c r="Y109" s="139"/>
    </row>
    <row r="110" spans="12:25" x14ac:dyDescent="0.35">
      <c r="L110" s="403"/>
      <c r="M110" s="403"/>
      <c r="N110" s="403"/>
      <c r="O110" s="403"/>
      <c r="P110" s="403"/>
      <c r="Q110" s="403"/>
      <c r="R110" s="403"/>
      <c r="S110" s="403">
        <v>108</v>
      </c>
      <c r="T110" s="403">
        <v>150</v>
      </c>
      <c r="U110" s="403"/>
      <c r="V110" s="403"/>
      <c r="W110" s="403"/>
      <c r="X110" s="403"/>
      <c r="Y110" s="139"/>
    </row>
    <row r="111" spans="12:25" x14ac:dyDescent="0.35">
      <c r="L111" s="403"/>
      <c r="M111" s="403"/>
      <c r="N111" s="403"/>
      <c r="O111" s="403"/>
      <c r="P111" s="403"/>
      <c r="Q111" s="403"/>
      <c r="R111" s="403"/>
      <c r="S111" s="403">
        <v>109</v>
      </c>
      <c r="T111" s="403">
        <v>150</v>
      </c>
      <c r="U111" s="403"/>
      <c r="V111" s="403"/>
      <c r="W111" s="403"/>
      <c r="X111" s="403"/>
      <c r="Y111" s="139"/>
    </row>
    <row r="112" spans="12:25" x14ac:dyDescent="0.35">
      <c r="L112" s="403"/>
      <c r="M112" s="403"/>
      <c r="N112" s="403"/>
      <c r="O112" s="403"/>
      <c r="P112" s="403"/>
      <c r="Q112" s="403"/>
      <c r="R112" s="403"/>
      <c r="S112" s="403">
        <v>110</v>
      </c>
      <c r="T112" s="403">
        <v>150</v>
      </c>
      <c r="U112" s="403"/>
      <c r="V112" s="403"/>
      <c r="W112" s="403"/>
      <c r="X112" s="403"/>
      <c r="Y112" s="139"/>
    </row>
    <row r="113" spans="12:25" x14ac:dyDescent="0.35">
      <c r="L113" s="403"/>
      <c r="M113" s="403"/>
      <c r="N113" s="403"/>
      <c r="O113" s="403"/>
      <c r="P113" s="403"/>
      <c r="Q113" s="403"/>
      <c r="R113" s="403"/>
      <c r="S113" s="403">
        <v>111</v>
      </c>
      <c r="T113" s="403">
        <v>150</v>
      </c>
      <c r="U113" s="403"/>
      <c r="V113" s="403"/>
      <c r="W113" s="403"/>
      <c r="X113" s="403"/>
      <c r="Y113" s="139"/>
    </row>
    <row r="114" spans="12:25" x14ac:dyDescent="0.35">
      <c r="L114" s="403"/>
      <c r="M114" s="403"/>
      <c r="N114" s="403"/>
      <c r="O114" s="403"/>
      <c r="P114" s="403"/>
      <c r="Q114" s="403"/>
      <c r="R114" s="403"/>
      <c r="S114" s="403">
        <v>112</v>
      </c>
      <c r="T114" s="403">
        <v>150</v>
      </c>
      <c r="U114" s="403"/>
      <c r="V114" s="403"/>
      <c r="W114" s="403"/>
      <c r="X114" s="403"/>
      <c r="Y114" s="139"/>
    </row>
    <row r="115" spans="12:25" x14ac:dyDescent="0.35">
      <c r="L115" s="403"/>
      <c r="M115" s="403"/>
      <c r="N115" s="403"/>
      <c r="O115" s="403"/>
      <c r="P115" s="403"/>
      <c r="Q115" s="403"/>
      <c r="R115" s="403"/>
      <c r="S115" s="403">
        <v>113</v>
      </c>
      <c r="T115" s="403">
        <v>150</v>
      </c>
      <c r="U115" s="403"/>
      <c r="V115" s="403"/>
      <c r="W115" s="403"/>
      <c r="X115" s="403"/>
      <c r="Y115" s="139"/>
    </row>
    <row r="116" spans="12:25" x14ac:dyDescent="0.35">
      <c r="L116" s="403"/>
      <c r="M116" s="403"/>
      <c r="N116" s="403"/>
      <c r="O116" s="403"/>
      <c r="P116" s="403"/>
      <c r="Q116" s="403"/>
      <c r="R116" s="403"/>
      <c r="S116" s="403">
        <v>114</v>
      </c>
      <c r="T116" s="403">
        <v>150</v>
      </c>
      <c r="U116" s="403"/>
      <c r="V116" s="403"/>
      <c r="W116" s="403"/>
      <c r="X116" s="403"/>
      <c r="Y116" s="139"/>
    </row>
    <row r="117" spans="12:25" x14ac:dyDescent="0.35">
      <c r="L117" s="403"/>
      <c r="M117" s="403"/>
      <c r="N117" s="403"/>
      <c r="O117" s="403"/>
      <c r="P117" s="403"/>
      <c r="Q117" s="403"/>
      <c r="R117" s="403"/>
      <c r="S117" s="403">
        <v>115</v>
      </c>
      <c r="T117" s="403">
        <v>150</v>
      </c>
      <c r="U117" s="403"/>
      <c r="V117" s="403"/>
      <c r="W117" s="403"/>
      <c r="X117" s="403"/>
      <c r="Y117" s="139"/>
    </row>
    <row r="118" spans="12:25" x14ac:dyDescent="0.35">
      <c r="L118" s="403"/>
      <c r="M118" s="403"/>
      <c r="N118" s="403"/>
      <c r="O118" s="403"/>
      <c r="P118" s="403"/>
      <c r="Q118" s="403"/>
      <c r="R118" s="403"/>
      <c r="S118" s="403">
        <v>116</v>
      </c>
      <c r="T118" s="403">
        <v>150</v>
      </c>
      <c r="U118" s="403"/>
      <c r="V118" s="403"/>
      <c r="W118" s="403"/>
      <c r="X118" s="403"/>
      <c r="Y118" s="139"/>
    </row>
    <row r="119" spans="12:25" x14ac:dyDescent="0.35">
      <c r="L119" s="403"/>
      <c r="M119" s="403"/>
      <c r="N119" s="403"/>
      <c r="O119" s="403"/>
      <c r="P119" s="403"/>
      <c r="Q119" s="403"/>
      <c r="R119" s="403"/>
      <c r="S119" s="403">
        <v>117</v>
      </c>
      <c r="T119" s="403">
        <v>150</v>
      </c>
      <c r="U119" s="403"/>
      <c r="V119" s="403"/>
      <c r="W119" s="403"/>
      <c r="X119" s="403"/>
      <c r="Y119" s="139"/>
    </row>
    <row r="120" spans="12:25" x14ac:dyDescent="0.35">
      <c r="L120" s="403"/>
      <c r="M120" s="403"/>
      <c r="N120" s="403"/>
      <c r="O120" s="403"/>
      <c r="P120" s="403"/>
      <c r="Q120" s="403"/>
      <c r="R120" s="403"/>
      <c r="S120" s="403">
        <v>118</v>
      </c>
      <c r="T120" s="403">
        <v>150</v>
      </c>
      <c r="U120" s="403"/>
      <c r="V120" s="403"/>
      <c r="W120" s="403"/>
      <c r="X120" s="403"/>
      <c r="Y120" s="139"/>
    </row>
    <row r="121" spans="12:25" x14ac:dyDescent="0.35">
      <c r="L121" s="403"/>
      <c r="M121" s="403"/>
      <c r="N121" s="403"/>
      <c r="O121" s="403"/>
      <c r="P121" s="403"/>
      <c r="Q121" s="403"/>
      <c r="R121" s="403"/>
      <c r="S121" s="403">
        <v>119</v>
      </c>
      <c r="T121" s="403">
        <v>150</v>
      </c>
      <c r="U121" s="403"/>
      <c r="V121" s="403"/>
      <c r="W121" s="403"/>
      <c r="X121" s="403"/>
      <c r="Y121" s="139"/>
    </row>
    <row r="122" spans="12:25" x14ac:dyDescent="0.35">
      <c r="L122" s="403"/>
      <c r="M122" s="403"/>
      <c r="N122" s="403"/>
      <c r="O122" s="403"/>
      <c r="P122" s="403"/>
      <c r="Q122" s="403"/>
      <c r="R122" s="403"/>
      <c r="S122" s="403">
        <v>120</v>
      </c>
      <c r="T122" s="403">
        <v>150</v>
      </c>
      <c r="U122" s="403"/>
      <c r="V122" s="403"/>
      <c r="W122" s="403"/>
      <c r="X122" s="403"/>
      <c r="Y122" s="139"/>
    </row>
    <row r="123" spans="12:25" x14ac:dyDescent="0.35">
      <c r="L123" s="403"/>
      <c r="M123" s="403"/>
      <c r="N123" s="403"/>
      <c r="O123" s="403"/>
      <c r="P123" s="403"/>
      <c r="Q123" s="403"/>
      <c r="R123" s="403"/>
      <c r="S123" s="403">
        <v>121</v>
      </c>
      <c r="T123" s="403">
        <v>150</v>
      </c>
      <c r="U123" s="403"/>
      <c r="V123" s="403"/>
      <c r="W123" s="403"/>
      <c r="X123" s="403"/>
      <c r="Y123" s="139"/>
    </row>
    <row r="124" spans="12:25" x14ac:dyDescent="0.35">
      <c r="L124" s="403"/>
      <c r="M124" s="403"/>
      <c r="N124" s="403"/>
      <c r="O124" s="403"/>
      <c r="P124" s="403"/>
      <c r="Q124" s="403"/>
      <c r="R124" s="403"/>
      <c r="S124" s="403">
        <v>122</v>
      </c>
      <c r="T124" s="403">
        <v>150</v>
      </c>
      <c r="U124" s="403"/>
      <c r="V124" s="403"/>
      <c r="W124" s="403"/>
      <c r="X124" s="403"/>
      <c r="Y124" s="139"/>
    </row>
    <row r="125" spans="12:25" x14ac:dyDescent="0.35">
      <c r="L125" s="403"/>
      <c r="M125" s="403"/>
      <c r="N125" s="403"/>
      <c r="O125" s="403"/>
      <c r="P125" s="403"/>
      <c r="Q125" s="403"/>
      <c r="R125" s="403"/>
      <c r="S125" s="403">
        <v>123</v>
      </c>
      <c r="T125" s="403">
        <v>150</v>
      </c>
      <c r="U125" s="403"/>
      <c r="V125" s="403"/>
      <c r="W125" s="403"/>
      <c r="X125" s="403"/>
      <c r="Y125" s="139"/>
    </row>
    <row r="126" spans="12:25" x14ac:dyDescent="0.35">
      <c r="L126" s="403"/>
      <c r="M126" s="403"/>
      <c r="N126" s="403"/>
      <c r="O126" s="403"/>
      <c r="P126" s="403"/>
      <c r="Q126" s="403"/>
      <c r="R126" s="403"/>
      <c r="S126" s="403">
        <v>124</v>
      </c>
      <c r="T126" s="403">
        <v>150</v>
      </c>
      <c r="U126" s="403"/>
      <c r="V126" s="403"/>
      <c r="W126" s="403"/>
      <c r="X126" s="403"/>
      <c r="Y126" s="139"/>
    </row>
    <row r="127" spans="12:25" x14ac:dyDescent="0.35">
      <c r="L127" s="403"/>
      <c r="M127" s="403"/>
      <c r="N127" s="403"/>
      <c r="O127" s="403"/>
      <c r="P127" s="403"/>
      <c r="Q127" s="403"/>
      <c r="R127" s="403"/>
      <c r="S127" s="403">
        <v>125</v>
      </c>
      <c r="T127" s="403">
        <v>150</v>
      </c>
      <c r="U127" s="403"/>
      <c r="V127" s="403"/>
      <c r="W127" s="403"/>
      <c r="X127" s="403"/>
      <c r="Y127" s="139"/>
    </row>
    <row r="128" spans="12:25" x14ac:dyDescent="0.35">
      <c r="L128" s="403"/>
      <c r="M128" s="403"/>
      <c r="N128" s="403"/>
      <c r="O128" s="403"/>
      <c r="P128" s="403"/>
      <c r="Q128" s="403"/>
      <c r="R128" s="403"/>
      <c r="S128" s="403">
        <v>126</v>
      </c>
      <c r="T128" s="403">
        <v>150</v>
      </c>
      <c r="U128" s="403"/>
      <c r="V128" s="403"/>
      <c r="W128" s="403"/>
      <c r="X128" s="403"/>
      <c r="Y128" s="139"/>
    </row>
    <row r="129" spans="12:25" x14ac:dyDescent="0.35">
      <c r="L129" s="403"/>
      <c r="M129" s="403"/>
      <c r="N129" s="403"/>
      <c r="O129" s="403"/>
      <c r="P129" s="403"/>
      <c r="Q129" s="403"/>
      <c r="R129" s="403"/>
      <c r="S129" s="403">
        <v>127</v>
      </c>
      <c r="T129" s="403">
        <v>150</v>
      </c>
      <c r="U129" s="403"/>
      <c r="V129" s="403"/>
      <c r="W129" s="403"/>
      <c r="X129" s="403"/>
      <c r="Y129" s="139"/>
    </row>
    <row r="130" spans="12:25" x14ac:dyDescent="0.35">
      <c r="L130" s="403"/>
      <c r="M130" s="403"/>
      <c r="N130" s="403"/>
      <c r="O130" s="403"/>
      <c r="P130" s="403"/>
      <c r="Q130" s="403"/>
      <c r="R130" s="403"/>
      <c r="S130" s="403">
        <v>128</v>
      </c>
      <c r="T130" s="403">
        <v>150</v>
      </c>
      <c r="U130" s="403"/>
      <c r="V130" s="403"/>
      <c r="W130" s="403"/>
      <c r="X130" s="403"/>
      <c r="Y130" s="139"/>
    </row>
    <row r="131" spans="12:25" x14ac:dyDescent="0.35">
      <c r="L131" s="403"/>
      <c r="M131" s="403"/>
      <c r="N131" s="403"/>
      <c r="O131" s="403"/>
      <c r="P131" s="403"/>
      <c r="Q131" s="403"/>
      <c r="R131" s="403"/>
      <c r="S131" s="403">
        <v>129</v>
      </c>
      <c r="T131" s="403">
        <v>150</v>
      </c>
      <c r="U131" s="403"/>
      <c r="V131" s="403"/>
      <c r="W131" s="403"/>
      <c r="X131" s="403"/>
      <c r="Y131" s="139"/>
    </row>
    <row r="132" spans="12:25" x14ac:dyDescent="0.35">
      <c r="L132" s="403"/>
      <c r="M132" s="403"/>
      <c r="N132" s="403"/>
      <c r="O132" s="403"/>
      <c r="P132" s="403"/>
      <c r="Q132" s="403"/>
      <c r="R132" s="403"/>
      <c r="S132" s="403">
        <v>130</v>
      </c>
      <c r="T132" s="403">
        <v>150</v>
      </c>
      <c r="U132" s="403"/>
      <c r="V132" s="403"/>
      <c r="W132" s="403"/>
      <c r="X132" s="403"/>
      <c r="Y132" s="139"/>
    </row>
    <row r="133" spans="12:25" x14ac:dyDescent="0.35">
      <c r="L133" s="403"/>
      <c r="M133" s="403"/>
      <c r="N133" s="403"/>
      <c r="O133" s="403"/>
      <c r="P133" s="403"/>
      <c r="Q133" s="403"/>
      <c r="R133" s="403"/>
      <c r="S133" s="403">
        <v>131</v>
      </c>
      <c r="T133" s="403">
        <v>150</v>
      </c>
      <c r="U133" s="403"/>
      <c r="V133" s="403"/>
      <c r="W133" s="403"/>
      <c r="X133" s="403"/>
      <c r="Y133" s="139"/>
    </row>
    <row r="134" spans="12:25" x14ac:dyDescent="0.35">
      <c r="L134" s="403"/>
      <c r="M134" s="403"/>
      <c r="N134" s="403"/>
      <c r="O134" s="403"/>
      <c r="P134" s="403"/>
      <c r="Q134" s="403"/>
      <c r="R134" s="403"/>
      <c r="S134" s="403">
        <v>132</v>
      </c>
      <c r="T134" s="403">
        <v>150</v>
      </c>
      <c r="U134" s="403"/>
      <c r="V134" s="403"/>
      <c r="W134" s="403"/>
      <c r="X134" s="403"/>
      <c r="Y134" s="139"/>
    </row>
    <row r="135" spans="12:25" x14ac:dyDescent="0.35">
      <c r="L135" s="403"/>
      <c r="M135" s="403"/>
      <c r="N135" s="403"/>
      <c r="O135" s="403"/>
      <c r="P135" s="403"/>
      <c r="Q135" s="403"/>
      <c r="R135" s="403"/>
      <c r="S135" s="403">
        <v>133</v>
      </c>
      <c r="T135" s="403">
        <v>150</v>
      </c>
      <c r="U135" s="403"/>
      <c r="V135" s="403"/>
      <c r="W135" s="403"/>
      <c r="X135" s="403"/>
      <c r="Y135" s="139"/>
    </row>
    <row r="136" spans="12:25" x14ac:dyDescent="0.35">
      <c r="L136" s="403"/>
      <c r="M136" s="403"/>
      <c r="N136" s="403"/>
      <c r="O136" s="403"/>
      <c r="P136" s="403"/>
      <c r="Q136" s="403"/>
      <c r="R136" s="403"/>
      <c r="S136" s="403">
        <v>134</v>
      </c>
      <c r="T136" s="403">
        <v>150</v>
      </c>
      <c r="U136" s="403"/>
      <c r="V136" s="403"/>
      <c r="W136" s="403"/>
      <c r="X136" s="403"/>
      <c r="Y136" s="139"/>
    </row>
    <row r="137" spans="12:25" x14ac:dyDescent="0.35">
      <c r="L137" s="403"/>
      <c r="M137" s="403"/>
      <c r="N137" s="403"/>
      <c r="O137" s="403"/>
      <c r="P137" s="403"/>
      <c r="Q137" s="403"/>
      <c r="R137" s="403"/>
      <c r="S137" s="403">
        <v>135</v>
      </c>
      <c r="T137" s="403">
        <v>150</v>
      </c>
      <c r="U137" s="403"/>
      <c r="V137" s="403"/>
      <c r="W137" s="403"/>
      <c r="X137" s="403"/>
      <c r="Y137" s="139"/>
    </row>
    <row r="138" spans="12:25" x14ac:dyDescent="0.35">
      <c r="L138" s="403"/>
      <c r="M138" s="403"/>
      <c r="N138" s="403"/>
      <c r="O138" s="403"/>
      <c r="P138" s="403"/>
      <c r="Q138" s="403"/>
      <c r="R138" s="403"/>
      <c r="S138" s="403">
        <v>136</v>
      </c>
      <c r="T138" s="403">
        <v>150</v>
      </c>
      <c r="U138" s="403"/>
      <c r="V138" s="403"/>
      <c r="W138" s="403"/>
      <c r="X138" s="403"/>
      <c r="Y138" s="139"/>
    </row>
    <row r="139" spans="12:25" x14ac:dyDescent="0.35">
      <c r="L139" s="403"/>
      <c r="M139" s="403"/>
      <c r="N139" s="403"/>
      <c r="O139" s="403"/>
      <c r="P139" s="403"/>
      <c r="Q139" s="403"/>
      <c r="R139" s="403"/>
      <c r="S139" s="403">
        <v>137</v>
      </c>
      <c r="T139" s="403">
        <v>150</v>
      </c>
      <c r="U139" s="403"/>
      <c r="V139" s="403"/>
      <c r="W139" s="403"/>
      <c r="X139" s="403"/>
      <c r="Y139" s="139"/>
    </row>
    <row r="140" spans="12:25" x14ac:dyDescent="0.35">
      <c r="L140" s="403"/>
      <c r="M140" s="403"/>
      <c r="N140" s="403"/>
      <c r="O140" s="403"/>
      <c r="P140" s="403"/>
      <c r="Q140" s="403"/>
      <c r="R140" s="403"/>
      <c r="S140" s="403">
        <v>138</v>
      </c>
      <c r="T140" s="403">
        <v>150</v>
      </c>
      <c r="U140" s="403"/>
      <c r="V140" s="403"/>
      <c r="W140" s="403"/>
      <c r="X140" s="403"/>
      <c r="Y140" s="139"/>
    </row>
    <row r="141" spans="12:25" x14ac:dyDescent="0.35">
      <c r="L141" s="403"/>
      <c r="M141" s="403"/>
      <c r="N141" s="403"/>
      <c r="O141" s="403"/>
      <c r="P141" s="403"/>
      <c r="Q141" s="403"/>
      <c r="R141" s="403"/>
      <c r="S141" s="403">
        <v>139</v>
      </c>
      <c r="T141" s="403">
        <v>150</v>
      </c>
      <c r="U141" s="403"/>
      <c r="V141" s="403"/>
      <c r="W141" s="403"/>
      <c r="X141" s="403"/>
      <c r="Y141" s="139"/>
    </row>
    <row r="142" spans="12:25" x14ac:dyDescent="0.35">
      <c r="L142" s="403"/>
      <c r="M142" s="403"/>
      <c r="N142" s="403"/>
      <c r="O142" s="403"/>
      <c r="P142" s="403"/>
      <c r="Q142" s="403"/>
      <c r="R142" s="403"/>
      <c r="S142" s="403">
        <v>140</v>
      </c>
      <c r="T142" s="403">
        <v>150</v>
      </c>
      <c r="U142" s="403"/>
      <c r="V142" s="403"/>
      <c r="W142" s="403"/>
      <c r="X142" s="403"/>
      <c r="Y142" s="139"/>
    </row>
    <row r="143" spans="12:25" x14ac:dyDescent="0.35">
      <c r="L143" s="403"/>
      <c r="M143" s="403"/>
      <c r="N143" s="403"/>
      <c r="O143" s="403"/>
      <c r="P143" s="403"/>
      <c r="Q143" s="403"/>
      <c r="R143" s="403"/>
      <c r="S143" s="403">
        <v>141</v>
      </c>
      <c r="T143" s="403">
        <v>150</v>
      </c>
      <c r="U143" s="403"/>
      <c r="V143" s="403"/>
      <c r="W143" s="403"/>
      <c r="X143" s="403"/>
      <c r="Y143" s="139"/>
    </row>
    <row r="144" spans="12:25" x14ac:dyDescent="0.35">
      <c r="L144" s="403"/>
      <c r="M144" s="403"/>
      <c r="N144" s="403"/>
      <c r="O144" s="403"/>
      <c r="P144" s="403"/>
      <c r="Q144" s="403"/>
      <c r="R144" s="403"/>
      <c r="S144" s="403">
        <v>142</v>
      </c>
      <c r="T144" s="403">
        <v>150</v>
      </c>
      <c r="U144" s="403"/>
      <c r="V144" s="403"/>
      <c r="W144" s="403"/>
      <c r="X144" s="403"/>
      <c r="Y144" s="139"/>
    </row>
    <row r="145" spans="12:25" x14ac:dyDescent="0.35">
      <c r="L145" s="403"/>
      <c r="M145" s="403"/>
      <c r="N145" s="403"/>
      <c r="O145" s="403"/>
      <c r="P145" s="403"/>
      <c r="Q145" s="403"/>
      <c r="R145" s="403"/>
      <c r="S145" s="403">
        <v>143</v>
      </c>
      <c r="T145" s="403">
        <v>150</v>
      </c>
      <c r="U145" s="403"/>
      <c r="V145" s="403"/>
      <c r="W145" s="403"/>
      <c r="X145" s="403"/>
      <c r="Y145" s="139"/>
    </row>
    <row r="146" spans="12:25" x14ac:dyDescent="0.35">
      <c r="L146" s="403"/>
      <c r="M146" s="403"/>
      <c r="N146" s="403"/>
      <c r="O146" s="403"/>
      <c r="P146" s="403"/>
      <c r="Q146" s="403"/>
      <c r="R146" s="403"/>
      <c r="S146" s="403">
        <v>144</v>
      </c>
      <c r="T146" s="403">
        <v>150</v>
      </c>
      <c r="U146" s="403"/>
      <c r="V146" s="403"/>
      <c r="W146" s="403"/>
      <c r="X146" s="403"/>
      <c r="Y146" s="139"/>
    </row>
    <row r="147" spans="12:25" x14ac:dyDescent="0.35">
      <c r="L147" s="403"/>
      <c r="M147" s="403"/>
      <c r="N147" s="403"/>
      <c r="O147" s="403"/>
      <c r="P147" s="403"/>
      <c r="Q147" s="403"/>
      <c r="R147" s="403"/>
      <c r="S147" s="403">
        <v>145</v>
      </c>
      <c r="T147" s="403">
        <v>150</v>
      </c>
      <c r="U147" s="403"/>
      <c r="V147" s="403"/>
      <c r="W147" s="403"/>
      <c r="X147" s="403"/>
      <c r="Y147" s="139"/>
    </row>
    <row r="148" spans="12:25" x14ac:dyDescent="0.35">
      <c r="L148" s="403"/>
      <c r="M148" s="403"/>
      <c r="N148" s="403"/>
      <c r="O148" s="403"/>
      <c r="P148" s="403"/>
      <c r="Q148" s="403"/>
      <c r="R148" s="403"/>
      <c r="S148" s="403">
        <v>146</v>
      </c>
      <c r="T148" s="403">
        <v>150</v>
      </c>
      <c r="U148" s="403"/>
      <c r="V148" s="403"/>
      <c r="W148" s="403"/>
      <c r="X148" s="403"/>
      <c r="Y148" s="139"/>
    </row>
    <row r="149" spans="12:25" x14ac:dyDescent="0.35">
      <c r="L149" s="403"/>
      <c r="M149" s="403"/>
      <c r="N149" s="403"/>
      <c r="O149" s="403"/>
      <c r="P149" s="403"/>
      <c r="Q149" s="403"/>
      <c r="R149" s="403"/>
      <c r="S149" s="403">
        <v>147</v>
      </c>
      <c r="T149" s="403">
        <v>150</v>
      </c>
      <c r="U149" s="403"/>
      <c r="V149" s="403"/>
      <c r="W149" s="403"/>
      <c r="X149" s="403"/>
      <c r="Y149" s="139"/>
    </row>
    <row r="150" spans="12:25" x14ac:dyDescent="0.35">
      <c r="L150" s="403"/>
      <c r="M150" s="403"/>
      <c r="N150" s="403"/>
      <c r="O150" s="403"/>
      <c r="P150" s="403"/>
      <c r="Q150" s="403"/>
      <c r="R150" s="403"/>
      <c r="S150" s="403">
        <v>148</v>
      </c>
      <c r="T150" s="403">
        <v>150</v>
      </c>
      <c r="U150" s="403"/>
      <c r="V150" s="403"/>
      <c r="W150" s="403"/>
      <c r="X150" s="403"/>
      <c r="Y150" s="139"/>
    </row>
    <row r="151" spans="12:25" x14ac:dyDescent="0.35">
      <c r="L151" s="403"/>
      <c r="M151" s="403"/>
      <c r="N151" s="403"/>
      <c r="O151" s="403"/>
      <c r="P151" s="403"/>
      <c r="Q151" s="403"/>
      <c r="R151" s="403"/>
      <c r="S151" s="403">
        <v>149</v>
      </c>
      <c r="T151" s="403">
        <v>150</v>
      </c>
      <c r="U151" s="403"/>
      <c r="V151" s="403"/>
      <c r="W151" s="403"/>
      <c r="X151" s="403"/>
      <c r="Y151" s="139"/>
    </row>
    <row r="152" spans="12:25" x14ac:dyDescent="0.35">
      <c r="L152" s="403"/>
      <c r="M152" s="403"/>
      <c r="N152" s="403"/>
      <c r="O152" s="403"/>
      <c r="P152" s="403"/>
      <c r="Q152" s="403"/>
      <c r="R152" s="403"/>
      <c r="S152" s="403">
        <v>150</v>
      </c>
      <c r="T152" s="403">
        <v>150</v>
      </c>
      <c r="U152" s="403">
        <v>150</v>
      </c>
      <c r="V152" s="403"/>
      <c r="W152" s="403"/>
      <c r="X152" s="403"/>
      <c r="Y152" s="139"/>
    </row>
    <row r="153" spans="12:25" x14ac:dyDescent="0.35">
      <c r="L153" s="403"/>
      <c r="M153" s="403"/>
      <c r="N153" s="403"/>
      <c r="O153" s="403"/>
      <c r="P153" s="403"/>
      <c r="Q153" s="403"/>
      <c r="R153" s="403"/>
      <c r="S153" s="403">
        <v>151</v>
      </c>
      <c r="T153" s="403">
        <v>150</v>
      </c>
      <c r="U153" s="403"/>
      <c r="V153" s="403"/>
      <c r="W153" s="403"/>
      <c r="X153" s="403"/>
      <c r="Y153" s="139"/>
    </row>
    <row r="154" spans="12:25" x14ac:dyDescent="0.35">
      <c r="L154" s="403"/>
      <c r="M154" s="403"/>
      <c r="N154" s="403"/>
      <c r="O154" s="403"/>
      <c r="P154" s="403"/>
      <c r="Q154" s="403"/>
      <c r="R154" s="403"/>
      <c r="S154" s="403">
        <v>152</v>
      </c>
      <c r="T154" s="403">
        <v>150</v>
      </c>
      <c r="U154" s="403"/>
      <c r="V154" s="403"/>
      <c r="W154" s="403"/>
      <c r="X154" s="403"/>
      <c r="Y154" s="139"/>
    </row>
    <row r="155" spans="12:25" x14ac:dyDescent="0.35">
      <c r="L155" s="403"/>
      <c r="M155" s="403"/>
      <c r="N155" s="403"/>
      <c r="O155" s="403"/>
      <c r="P155" s="403"/>
      <c r="Q155" s="403"/>
      <c r="R155" s="403"/>
      <c r="S155" s="403">
        <v>153</v>
      </c>
      <c r="T155" s="403">
        <v>150</v>
      </c>
      <c r="U155" s="403"/>
      <c r="V155" s="403"/>
      <c r="W155" s="403"/>
      <c r="X155" s="403"/>
      <c r="Y155" s="139"/>
    </row>
    <row r="156" spans="12:25" x14ac:dyDescent="0.35">
      <c r="L156" s="403"/>
      <c r="M156" s="403"/>
      <c r="N156" s="403"/>
      <c r="O156" s="403"/>
      <c r="P156" s="403"/>
      <c r="Q156" s="403"/>
      <c r="R156" s="403"/>
      <c r="S156" s="403">
        <v>154</v>
      </c>
      <c r="T156" s="403">
        <v>150</v>
      </c>
      <c r="U156" s="403"/>
      <c r="V156" s="403"/>
      <c r="W156" s="403"/>
      <c r="X156" s="403"/>
      <c r="Y156" s="139"/>
    </row>
    <row r="157" spans="12:25" x14ac:dyDescent="0.35">
      <c r="L157" s="403"/>
      <c r="M157" s="403"/>
      <c r="N157" s="403"/>
      <c r="O157" s="403"/>
      <c r="P157" s="403"/>
      <c r="Q157" s="403"/>
      <c r="R157" s="403"/>
      <c r="S157" s="403">
        <v>155</v>
      </c>
      <c r="T157" s="403">
        <v>150</v>
      </c>
      <c r="U157" s="403"/>
      <c r="V157" s="403"/>
      <c r="W157" s="403"/>
      <c r="X157" s="403"/>
      <c r="Y157" s="139"/>
    </row>
    <row r="158" spans="12:25" x14ac:dyDescent="0.35">
      <c r="L158" s="403"/>
      <c r="M158" s="403"/>
      <c r="N158" s="403"/>
      <c r="O158" s="403"/>
      <c r="P158" s="403"/>
      <c r="Q158" s="403"/>
      <c r="R158" s="403"/>
      <c r="S158" s="403">
        <v>156</v>
      </c>
      <c r="T158" s="403">
        <v>150</v>
      </c>
      <c r="U158" s="403"/>
      <c r="V158" s="403"/>
      <c r="W158" s="403"/>
      <c r="X158" s="403"/>
      <c r="Y158" s="139"/>
    </row>
    <row r="159" spans="12:25" x14ac:dyDescent="0.35">
      <c r="L159" s="403"/>
      <c r="M159" s="403"/>
      <c r="N159" s="403"/>
      <c r="O159" s="403"/>
      <c r="P159" s="403"/>
      <c r="Q159" s="403"/>
      <c r="R159" s="403"/>
      <c r="S159" s="403">
        <v>157</v>
      </c>
      <c r="T159" s="403">
        <v>150</v>
      </c>
      <c r="U159" s="403"/>
      <c r="V159" s="403"/>
      <c r="W159" s="403"/>
      <c r="X159" s="403"/>
      <c r="Y159" s="139"/>
    </row>
    <row r="160" spans="12:25" x14ac:dyDescent="0.35">
      <c r="L160" s="403"/>
      <c r="M160" s="403"/>
      <c r="N160" s="403"/>
      <c r="O160" s="403"/>
      <c r="P160" s="403"/>
      <c r="Q160" s="403"/>
      <c r="R160" s="403"/>
      <c r="S160" s="403">
        <v>158</v>
      </c>
      <c r="T160" s="403">
        <v>150</v>
      </c>
      <c r="U160" s="403"/>
      <c r="V160" s="403"/>
      <c r="W160" s="403"/>
      <c r="X160" s="403"/>
      <c r="Y160" s="139"/>
    </row>
    <row r="161" spans="12:25" x14ac:dyDescent="0.35">
      <c r="L161" s="403"/>
      <c r="M161" s="403"/>
      <c r="N161" s="403"/>
      <c r="O161" s="403"/>
      <c r="P161" s="403"/>
      <c r="Q161" s="403"/>
      <c r="R161" s="403"/>
      <c r="S161" s="403">
        <v>159</v>
      </c>
      <c r="T161" s="403">
        <v>150</v>
      </c>
      <c r="U161" s="403"/>
      <c r="V161" s="403"/>
      <c r="W161" s="403"/>
      <c r="X161" s="403"/>
      <c r="Y161" s="139"/>
    </row>
    <row r="162" spans="12:25" x14ac:dyDescent="0.35">
      <c r="L162" s="403"/>
      <c r="M162" s="403"/>
      <c r="N162" s="403"/>
      <c r="O162" s="403"/>
      <c r="P162" s="403"/>
      <c r="Q162" s="403"/>
      <c r="R162" s="403"/>
      <c r="S162" s="403">
        <v>160</v>
      </c>
      <c r="T162" s="403">
        <v>150</v>
      </c>
      <c r="U162" s="403"/>
      <c r="V162" s="403"/>
      <c r="W162" s="403"/>
      <c r="X162" s="403"/>
      <c r="Y162" s="139"/>
    </row>
    <row r="163" spans="12:25" x14ac:dyDescent="0.35">
      <c r="L163" s="403"/>
      <c r="M163" s="403"/>
      <c r="N163" s="403"/>
      <c r="O163" s="403"/>
      <c r="P163" s="403"/>
      <c r="Q163" s="403"/>
      <c r="R163" s="403"/>
      <c r="S163" s="403">
        <v>161</v>
      </c>
      <c r="T163" s="403">
        <v>150</v>
      </c>
      <c r="U163" s="403"/>
      <c r="V163" s="403"/>
      <c r="W163" s="403"/>
      <c r="X163" s="403"/>
      <c r="Y163" s="139"/>
    </row>
    <row r="164" spans="12:25" x14ac:dyDescent="0.35">
      <c r="L164" s="403"/>
      <c r="M164" s="403"/>
      <c r="N164" s="403"/>
      <c r="O164" s="403"/>
      <c r="P164" s="403"/>
      <c r="Q164" s="403"/>
      <c r="R164" s="403"/>
      <c r="S164" s="403">
        <v>162</v>
      </c>
      <c r="T164" s="403">
        <v>150</v>
      </c>
      <c r="U164" s="403"/>
      <c r="V164" s="403"/>
      <c r="W164" s="403"/>
      <c r="X164" s="403"/>
      <c r="Y164" s="139"/>
    </row>
    <row r="165" spans="12:25" x14ac:dyDescent="0.35">
      <c r="L165" s="403"/>
      <c r="M165" s="403"/>
      <c r="N165" s="403"/>
      <c r="O165" s="403"/>
      <c r="P165" s="403"/>
      <c r="Q165" s="403"/>
      <c r="R165" s="403"/>
      <c r="S165" s="403">
        <v>163</v>
      </c>
      <c r="T165" s="403">
        <v>150</v>
      </c>
      <c r="U165" s="403"/>
      <c r="V165" s="403"/>
      <c r="W165" s="403"/>
      <c r="X165" s="403"/>
      <c r="Y165" s="139"/>
    </row>
    <row r="166" spans="12:25" x14ac:dyDescent="0.35">
      <c r="L166" s="403"/>
      <c r="M166" s="403"/>
      <c r="N166" s="403"/>
      <c r="O166" s="403"/>
      <c r="P166" s="403"/>
      <c r="Q166" s="403"/>
      <c r="R166" s="403"/>
      <c r="S166" s="403">
        <v>164</v>
      </c>
      <c r="T166" s="403">
        <v>150</v>
      </c>
      <c r="U166" s="403"/>
      <c r="V166" s="403"/>
      <c r="W166" s="403"/>
      <c r="X166" s="403"/>
      <c r="Y166" s="139"/>
    </row>
    <row r="167" spans="12:25" x14ac:dyDescent="0.35">
      <c r="L167" s="403"/>
      <c r="M167" s="403"/>
      <c r="N167" s="403"/>
      <c r="O167" s="403"/>
      <c r="P167" s="403"/>
      <c r="Q167" s="403"/>
      <c r="R167" s="403"/>
      <c r="S167" s="403">
        <v>165</v>
      </c>
      <c r="T167" s="403">
        <v>150</v>
      </c>
      <c r="U167" s="403"/>
      <c r="V167" s="403"/>
      <c r="W167" s="403"/>
      <c r="X167" s="403"/>
      <c r="Y167" s="139"/>
    </row>
    <row r="168" spans="12:25" x14ac:dyDescent="0.35">
      <c r="L168" s="403"/>
      <c r="M168" s="403"/>
      <c r="N168" s="403"/>
      <c r="O168" s="403"/>
      <c r="P168" s="403"/>
      <c r="Q168" s="403"/>
      <c r="R168" s="403"/>
      <c r="S168" s="403">
        <v>166</v>
      </c>
      <c r="T168" s="403">
        <v>150</v>
      </c>
      <c r="U168" s="403"/>
      <c r="V168" s="403"/>
      <c r="W168" s="403"/>
      <c r="X168" s="403"/>
      <c r="Y168" s="139"/>
    </row>
    <row r="169" spans="12:25" x14ac:dyDescent="0.35">
      <c r="L169" s="403"/>
      <c r="M169" s="403"/>
      <c r="N169" s="403"/>
      <c r="O169" s="403"/>
      <c r="P169" s="403"/>
      <c r="Q169" s="403"/>
      <c r="R169" s="403"/>
      <c r="S169" s="403">
        <v>167</v>
      </c>
      <c r="T169" s="403">
        <v>150</v>
      </c>
      <c r="U169" s="403"/>
      <c r="V169" s="403"/>
      <c r="W169" s="403"/>
      <c r="X169" s="403"/>
      <c r="Y169" s="139"/>
    </row>
    <row r="170" spans="12:25" x14ac:dyDescent="0.35">
      <c r="L170" s="403"/>
      <c r="M170" s="403"/>
      <c r="N170" s="403"/>
      <c r="O170" s="403"/>
      <c r="P170" s="403"/>
      <c r="Q170" s="403"/>
      <c r="R170" s="403"/>
      <c r="S170" s="403">
        <v>168</v>
      </c>
      <c r="T170" s="403">
        <v>150</v>
      </c>
      <c r="U170" s="403"/>
      <c r="V170" s="403"/>
      <c r="W170" s="403"/>
      <c r="X170" s="403"/>
      <c r="Y170" s="139"/>
    </row>
    <row r="171" spans="12:25" x14ac:dyDescent="0.35">
      <c r="L171" s="403"/>
      <c r="M171" s="403"/>
      <c r="N171" s="403"/>
      <c r="O171" s="403"/>
      <c r="P171" s="403"/>
      <c r="Q171" s="403"/>
      <c r="R171" s="403"/>
      <c r="S171" s="403">
        <v>169</v>
      </c>
      <c r="T171" s="403">
        <v>150</v>
      </c>
      <c r="U171" s="403"/>
      <c r="V171" s="403"/>
      <c r="W171" s="403"/>
      <c r="X171" s="403"/>
      <c r="Y171" s="139"/>
    </row>
    <row r="172" spans="12:25" x14ac:dyDescent="0.35">
      <c r="L172" s="403"/>
      <c r="M172" s="403"/>
      <c r="N172" s="403"/>
      <c r="O172" s="403"/>
      <c r="P172" s="403"/>
      <c r="Q172" s="403"/>
      <c r="R172" s="403"/>
      <c r="S172" s="403">
        <v>170</v>
      </c>
      <c r="T172" s="403">
        <v>150</v>
      </c>
      <c r="U172" s="403"/>
      <c r="V172" s="403"/>
      <c r="W172" s="403"/>
      <c r="X172" s="403"/>
      <c r="Y172" s="139"/>
    </row>
    <row r="173" spans="12:25" x14ac:dyDescent="0.35">
      <c r="L173" s="403"/>
      <c r="M173" s="403"/>
      <c r="N173" s="403"/>
      <c r="O173" s="403"/>
      <c r="P173" s="403"/>
      <c r="Q173" s="403"/>
      <c r="R173" s="403"/>
      <c r="S173" s="403">
        <v>171</v>
      </c>
      <c r="T173" s="403">
        <v>150</v>
      </c>
      <c r="U173" s="403"/>
      <c r="V173" s="403"/>
      <c r="W173" s="403"/>
      <c r="X173" s="403"/>
      <c r="Y173" s="139"/>
    </row>
    <row r="174" spans="12:25" x14ac:dyDescent="0.35">
      <c r="L174" s="403"/>
      <c r="M174" s="403"/>
      <c r="N174" s="403"/>
      <c r="O174" s="403"/>
      <c r="P174" s="403"/>
      <c r="Q174" s="403"/>
      <c r="R174" s="403"/>
      <c r="S174" s="403">
        <v>172</v>
      </c>
      <c r="T174" s="403">
        <v>150</v>
      </c>
      <c r="U174" s="403"/>
      <c r="V174" s="403"/>
      <c r="W174" s="403"/>
      <c r="X174" s="403"/>
      <c r="Y174" s="139"/>
    </row>
    <row r="175" spans="12:25" x14ac:dyDescent="0.35">
      <c r="L175" s="403"/>
      <c r="M175" s="403"/>
      <c r="N175" s="403"/>
      <c r="O175" s="403"/>
      <c r="P175" s="403"/>
      <c r="Q175" s="403"/>
      <c r="R175" s="403"/>
      <c r="S175" s="403">
        <v>173</v>
      </c>
      <c r="T175" s="403">
        <v>150</v>
      </c>
      <c r="U175" s="403"/>
      <c r="V175" s="403"/>
      <c r="W175" s="403"/>
      <c r="X175" s="403"/>
      <c r="Y175" s="139"/>
    </row>
    <row r="176" spans="12:25" x14ac:dyDescent="0.35">
      <c r="L176" s="403"/>
      <c r="M176" s="403"/>
      <c r="N176" s="403"/>
      <c r="O176" s="403"/>
      <c r="P176" s="403"/>
      <c r="Q176" s="403"/>
      <c r="R176" s="403"/>
      <c r="S176" s="403">
        <v>174</v>
      </c>
      <c r="T176" s="403">
        <v>150</v>
      </c>
      <c r="U176" s="403"/>
      <c r="V176" s="403"/>
      <c r="W176" s="403"/>
      <c r="X176" s="403"/>
      <c r="Y176" s="139"/>
    </row>
    <row r="177" spans="12:25" x14ac:dyDescent="0.35">
      <c r="L177" s="403"/>
      <c r="M177" s="403"/>
      <c r="N177" s="403"/>
      <c r="O177" s="403"/>
      <c r="P177" s="403"/>
      <c r="Q177" s="403"/>
      <c r="R177" s="403"/>
      <c r="S177" s="403">
        <v>175</v>
      </c>
      <c r="T177" s="403">
        <v>150</v>
      </c>
      <c r="U177" s="403"/>
      <c r="V177" s="403"/>
      <c r="W177" s="403"/>
      <c r="X177" s="403"/>
      <c r="Y177" s="139"/>
    </row>
    <row r="178" spans="12:25" x14ac:dyDescent="0.35">
      <c r="L178" s="403"/>
      <c r="M178" s="403"/>
      <c r="N178" s="403"/>
      <c r="O178" s="403"/>
      <c r="P178" s="403"/>
      <c r="Q178" s="403"/>
      <c r="R178" s="403"/>
      <c r="S178" s="403">
        <v>176</v>
      </c>
      <c r="T178" s="403">
        <v>150</v>
      </c>
      <c r="U178" s="403"/>
      <c r="V178" s="403"/>
      <c r="W178" s="403"/>
      <c r="X178" s="403"/>
      <c r="Y178" s="139"/>
    </row>
    <row r="179" spans="12:25" x14ac:dyDescent="0.35">
      <c r="L179" s="403"/>
      <c r="M179" s="403"/>
      <c r="N179" s="403"/>
      <c r="O179" s="403"/>
      <c r="P179" s="403"/>
      <c r="Q179" s="403"/>
      <c r="R179" s="403"/>
      <c r="S179" s="403">
        <v>177</v>
      </c>
      <c r="T179" s="403">
        <v>150</v>
      </c>
      <c r="U179" s="403"/>
      <c r="V179" s="403"/>
      <c r="W179" s="403"/>
      <c r="X179" s="403"/>
      <c r="Y179" s="139"/>
    </row>
    <row r="180" spans="12:25" x14ac:dyDescent="0.35">
      <c r="L180" s="403"/>
      <c r="M180" s="403"/>
      <c r="N180" s="403"/>
      <c r="O180" s="403"/>
      <c r="P180" s="403"/>
      <c r="Q180" s="403"/>
      <c r="R180" s="403"/>
      <c r="S180" s="403">
        <v>178</v>
      </c>
      <c r="T180" s="403">
        <v>150</v>
      </c>
      <c r="U180" s="403"/>
      <c r="V180" s="403"/>
      <c r="W180" s="403"/>
      <c r="X180" s="403"/>
      <c r="Y180" s="139"/>
    </row>
    <row r="181" spans="12:25" x14ac:dyDescent="0.35">
      <c r="L181" s="403"/>
      <c r="M181" s="403"/>
      <c r="N181" s="403"/>
      <c r="O181" s="403"/>
      <c r="P181" s="403"/>
      <c r="Q181" s="403"/>
      <c r="R181" s="403"/>
      <c r="S181" s="403">
        <v>179</v>
      </c>
      <c r="T181" s="403">
        <v>150</v>
      </c>
      <c r="U181" s="403"/>
      <c r="V181" s="403"/>
      <c r="W181" s="403"/>
      <c r="X181" s="403"/>
      <c r="Y181" s="139"/>
    </row>
    <row r="182" spans="12:25" x14ac:dyDescent="0.35">
      <c r="L182" s="403"/>
      <c r="M182" s="403"/>
      <c r="N182" s="403"/>
      <c r="O182" s="403"/>
      <c r="P182" s="403"/>
      <c r="Q182" s="403"/>
      <c r="R182" s="403"/>
      <c r="S182" s="403">
        <v>180</v>
      </c>
      <c r="T182" s="403">
        <v>150</v>
      </c>
      <c r="U182" s="403"/>
      <c r="V182" s="403"/>
      <c r="W182" s="403"/>
      <c r="X182" s="403"/>
      <c r="Y182" s="139"/>
    </row>
    <row r="183" spans="12:25" x14ac:dyDescent="0.35">
      <c r="L183" s="403"/>
      <c r="M183" s="403"/>
      <c r="N183" s="403"/>
      <c r="O183" s="403"/>
      <c r="P183" s="403"/>
      <c r="Q183" s="403"/>
      <c r="R183" s="403"/>
      <c r="S183" s="403">
        <v>181</v>
      </c>
      <c r="T183" s="403">
        <v>150</v>
      </c>
      <c r="U183" s="403"/>
      <c r="V183" s="403"/>
      <c r="W183" s="403"/>
      <c r="X183" s="403"/>
      <c r="Y183" s="139"/>
    </row>
    <row r="184" spans="12:25" x14ac:dyDescent="0.35">
      <c r="L184" s="403"/>
      <c r="M184" s="403"/>
      <c r="N184" s="403"/>
      <c r="O184" s="403"/>
      <c r="P184" s="403"/>
      <c r="Q184" s="403"/>
      <c r="R184" s="403"/>
      <c r="S184" s="403">
        <v>182</v>
      </c>
      <c r="T184" s="403">
        <v>150</v>
      </c>
      <c r="U184" s="403"/>
      <c r="V184" s="403"/>
      <c r="W184" s="403"/>
      <c r="X184" s="403"/>
      <c r="Y184" s="139"/>
    </row>
    <row r="185" spans="12:25" x14ac:dyDescent="0.35">
      <c r="L185" s="403"/>
      <c r="M185" s="403"/>
      <c r="N185" s="403"/>
      <c r="O185" s="403"/>
      <c r="P185" s="403"/>
      <c r="Q185" s="403"/>
      <c r="R185" s="403"/>
      <c r="S185" s="403">
        <v>183</v>
      </c>
      <c r="T185" s="403">
        <v>150</v>
      </c>
      <c r="U185" s="403"/>
      <c r="V185" s="403"/>
      <c r="W185" s="403"/>
      <c r="X185" s="403"/>
      <c r="Y185" s="139"/>
    </row>
    <row r="186" spans="12:25" x14ac:dyDescent="0.35">
      <c r="L186" s="403"/>
      <c r="M186" s="403"/>
      <c r="N186" s="403"/>
      <c r="O186" s="403"/>
      <c r="P186" s="403"/>
      <c r="Q186" s="403"/>
      <c r="R186" s="403"/>
      <c r="S186" s="403">
        <v>184</v>
      </c>
      <c r="T186" s="403">
        <v>150</v>
      </c>
      <c r="U186" s="403"/>
      <c r="V186" s="403"/>
      <c r="W186" s="403"/>
      <c r="X186" s="403"/>
      <c r="Y186" s="139"/>
    </row>
    <row r="187" spans="12:25" x14ac:dyDescent="0.35">
      <c r="L187" s="403"/>
      <c r="M187" s="403"/>
      <c r="N187" s="403"/>
      <c r="O187" s="403"/>
      <c r="P187" s="403"/>
      <c r="Q187" s="403"/>
      <c r="R187" s="403"/>
      <c r="S187" s="403">
        <v>185</v>
      </c>
      <c r="T187" s="403">
        <v>150</v>
      </c>
      <c r="U187" s="403"/>
      <c r="V187" s="403"/>
      <c r="W187" s="403"/>
      <c r="X187" s="403"/>
      <c r="Y187" s="139"/>
    </row>
    <row r="188" spans="12:25" x14ac:dyDescent="0.35">
      <c r="L188" s="403"/>
      <c r="M188" s="403"/>
      <c r="N188" s="403"/>
      <c r="O188" s="403"/>
      <c r="P188" s="403"/>
      <c r="Q188" s="403"/>
      <c r="R188" s="403"/>
      <c r="S188" s="403">
        <v>186</v>
      </c>
      <c r="T188" s="403">
        <v>150</v>
      </c>
      <c r="U188" s="403"/>
      <c r="V188" s="403"/>
      <c r="W188" s="403"/>
      <c r="X188" s="403"/>
      <c r="Y188" s="139"/>
    </row>
    <row r="189" spans="12:25" x14ac:dyDescent="0.35">
      <c r="L189" s="403"/>
      <c r="M189" s="403"/>
      <c r="N189" s="403"/>
      <c r="O189" s="403"/>
      <c r="P189" s="403"/>
      <c r="Q189" s="403"/>
      <c r="R189" s="403"/>
      <c r="S189" s="403">
        <v>187</v>
      </c>
      <c r="T189" s="403">
        <v>150</v>
      </c>
      <c r="U189" s="403"/>
      <c r="V189" s="403"/>
      <c r="W189" s="403"/>
      <c r="X189" s="403"/>
      <c r="Y189" s="139"/>
    </row>
    <row r="190" spans="12:25" x14ac:dyDescent="0.35">
      <c r="L190" s="403"/>
      <c r="M190" s="403"/>
      <c r="N190" s="403"/>
      <c r="O190" s="403"/>
      <c r="P190" s="403"/>
      <c r="Q190" s="403"/>
      <c r="R190" s="403"/>
      <c r="S190" s="403">
        <v>188</v>
      </c>
      <c r="T190" s="403">
        <v>150</v>
      </c>
      <c r="U190" s="403"/>
      <c r="V190" s="403"/>
      <c r="W190" s="403"/>
      <c r="X190" s="403"/>
      <c r="Y190" s="139"/>
    </row>
    <row r="191" spans="12:25" x14ac:dyDescent="0.35">
      <c r="L191" s="403"/>
      <c r="M191" s="403"/>
      <c r="N191" s="403"/>
      <c r="O191" s="403"/>
      <c r="P191" s="403"/>
      <c r="Q191" s="403"/>
      <c r="R191" s="403"/>
      <c r="S191" s="403">
        <v>189</v>
      </c>
      <c r="T191" s="403">
        <v>150</v>
      </c>
      <c r="U191" s="403"/>
      <c r="V191" s="403"/>
      <c r="W191" s="403"/>
      <c r="X191" s="403"/>
      <c r="Y191" s="139"/>
    </row>
    <row r="192" spans="12:25" x14ac:dyDescent="0.35">
      <c r="L192" s="403"/>
      <c r="M192" s="403"/>
      <c r="N192" s="403"/>
      <c r="O192" s="403"/>
      <c r="P192" s="403"/>
      <c r="Q192" s="403"/>
      <c r="R192" s="403"/>
      <c r="S192" s="403">
        <v>190</v>
      </c>
      <c r="T192" s="403">
        <v>150</v>
      </c>
      <c r="U192" s="403"/>
      <c r="V192" s="403"/>
      <c r="W192" s="403"/>
      <c r="X192" s="403"/>
      <c r="Y192" s="139"/>
    </row>
    <row r="193" spans="12:25" x14ac:dyDescent="0.35">
      <c r="L193" s="403"/>
      <c r="M193" s="403"/>
      <c r="N193" s="403"/>
      <c r="O193" s="403"/>
      <c r="P193" s="403"/>
      <c r="Q193" s="403"/>
      <c r="R193" s="403"/>
      <c r="S193" s="403">
        <v>191</v>
      </c>
      <c r="T193" s="403">
        <v>150</v>
      </c>
      <c r="U193" s="403"/>
      <c r="V193" s="403"/>
      <c r="W193" s="403"/>
      <c r="X193" s="403"/>
      <c r="Y193" s="139"/>
    </row>
    <row r="194" spans="12:25" x14ac:dyDescent="0.35">
      <c r="L194" s="403"/>
      <c r="M194" s="403"/>
      <c r="N194" s="403"/>
      <c r="O194" s="403"/>
      <c r="P194" s="403"/>
      <c r="Q194" s="403"/>
      <c r="R194" s="403"/>
      <c r="S194" s="403">
        <v>192</v>
      </c>
      <c r="T194" s="403">
        <v>150</v>
      </c>
      <c r="U194" s="403"/>
      <c r="V194" s="403"/>
      <c r="W194" s="403"/>
      <c r="X194" s="403"/>
      <c r="Y194" s="139"/>
    </row>
    <row r="195" spans="12:25" x14ac:dyDescent="0.35">
      <c r="L195" s="403"/>
      <c r="M195" s="403"/>
      <c r="N195" s="403"/>
      <c r="O195" s="403"/>
      <c r="P195" s="403"/>
      <c r="Q195" s="403"/>
      <c r="R195" s="403"/>
      <c r="S195" s="403">
        <v>193</v>
      </c>
      <c r="T195" s="403">
        <v>150</v>
      </c>
      <c r="U195" s="403"/>
      <c r="V195" s="403"/>
      <c r="W195" s="403"/>
      <c r="X195" s="403"/>
      <c r="Y195" s="139"/>
    </row>
    <row r="196" spans="12:25" x14ac:dyDescent="0.35">
      <c r="L196" s="403"/>
      <c r="M196" s="403"/>
      <c r="N196" s="403"/>
      <c r="O196" s="403"/>
      <c r="P196" s="403"/>
      <c r="Q196" s="403"/>
      <c r="R196" s="403"/>
      <c r="S196" s="403">
        <v>194</v>
      </c>
      <c r="T196" s="403">
        <v>150</v>
      </c>
      <c r="U196" s="403"/>
      <c r="V196" s="403"/>
      <c r="W196" s="403"/>
      <c r="X196" s="403"/>
      <c r="Y196" s="139"/>
    </row>
    <row r="197" spans="12:25" x14ac:dyDescent="0.35">
      <c r="L197" s="403"/>
      <c r="M197" s="403"/>
      <c r="N197" s="403"/>
      <c r="O197" s="403"/>
      <c r="P197" s="403"/>
      <c r="Q197" s="403"/>
      <c r="R197" s="403"/>
      <c r="S197" s="403">
        <v>195</v>
      </c>
      <c r="T197" s="403">
        <v>150</v>
      </c>
      <c r="U197" s="403"/>
      <c r="V197" s="403"/>
      <c r="W197" s="403"/>
      <c r="X197" s="403"/>
      <c r="Y197" s="139"/>
    </row>
    <row r="198" spans="12:25" x14ac:dyDescent="0.35">
      <c r="L198" s="403"/>
      <c r="M198" s="403"/>
      <c r="N198" s="403"/>
      <c r="O198" s="403"/>
      <c r="P198" s="403"/>
      <c r="Q198" s="403"/>
      <c r="R198" s="403"/>
      <c r="S198" s="403">
        <v>196</v>
      </c>
      <c r="T198" s="403">
        <v>150</v>
      </c>
      <c r="U198" s="403"/>
      <c r="V198" s="403"/>
      <c r="W198" s="403"/>
      <c r="X198" s="403"/>
      <c r="Y198" s="139"/>
    </row>
    <row r="199" spans="12:25" x14ac:dyDescent="0.35">
      <c r="L199" s="403"/>
      <c r="M199" s="403"/>
      <c r="N199" s="403"/>
      <c r="O199" s="403"/>
      <c r="P199" s="403"/>
      <c r="Q199" s="403"/>
      <c r="R199" s="403"/>
      <c r="S199" s="403">
        <v>197</v>
      </c>
      <c r="T199" s="403">
        <v>150</v>
      </c>
      <c r="U199" s="403"/>
      <c r="V199" s="403"/>
      <c r="W199" s="403"/>
      <c r="X199" s="403"/>
      <c r="Y199" s="139"/>
    </row>
    <row r="200" spans="12:25" x14ac:dyDescent="0.35">
      <c r="L200" s="403"/>
      <c r="M200" s="403"/>
      <c r="N200" s="403"/>
      <c r="O200" s="403"/>
      <c r="P200" s="403"/>
      <c r="Q200" s="403"/>
      <c r="R200" s="403"/>
      <c r="S200" s="403">
        <v>198</v>
      </c>
      <c r="T200" s="403">
        <v>150</v>
      </c>
      <c r="U200" s="403"/>
      <c r="V200" s="403"/>
      <c r="W200" s="403"/>
      <c r="X200" s="403"/>
      <c r="Y200" s="139"/>
    </row>
    <row r="201" spans="12:25" x14ac:dyDescent="0.35">
      <c r="L201" s="403"/>
      <c r="M201" s="403"/>
      <c r="N201" s="403"/>
      <c r="O201" s="403"/>
      <c r="P201" s="403"/>
      <c r="Q201" s="403"/>
      <c r="R201" s="403"/>
      <c r="S201" s="403">
        <v>199</v>
      </c>
      <c r="T201" s="403">
        <v>150</v>
      </c>
      <c r="U201" s="403"/>
      <c r="V201" s="403"/>
      <c r="W201" s="403"/>
      <c r="X201" s="403"/>
      <c r="Y201" s="139"/>
    </row>
    <row r="202" spans="12:25" x14ac:dyDescent="0.35">
      <c r="L202" s="403"/>
      <c r="M202" s="403"/>
      <c r="N202" s="403"/>
      <c r="O202" s="403"/>
      <c r="P202" s="403"/>
      <c r="Q202" s="403"/>
      <c r="R202" s="403"/>
      <c r="S202" s="403">
        <v>200</v>
      </c>
      <c r="T202" s="403">
        <v>150</v>
      </c>
      <c r="U202" s="403">
        <v>200</v>
      </c>
      <c r="V202" s="403"/>
      <c r="W202" s="403"/>
      <c r="X202" s="403"/>
      <c r="Y202" s="139"/>
    </row>
    <row r="203" spans="12:25" x14ac:dyDescent="0.35">
      <c r="L203" s="403"/>
      <c r="M203" s="403"/>
      <c r="N203" s="403"/>
      <c r="O203" s="403"/>
      <c r="P203" s="403"/>
      <c r="Q203" s="403"/>
      <c r="R203" s="403"/>
      <c r="S203" s="403">
        <v>201</v>
      </c>
      <c r="T203" s="403">
        <v>150</v>
      </c>
      <c r="U203" s="403"/>
      <c r="V203" s="403"/>
      <c r="W203" s="403"/>
      <c r="X203" s="403"/>
      <c r="Y203" s="139"/>
    </row>
    <row r="204" spans="12:25" x14ac:dyDescent="0.35">
      <c r="L204" s="403"/>
      <c r="M204" s="403"/>
      <c r="N204" s="403"/>
      <c r="O204" s="403"/>
      <c r="P204" s="403"/>
      <c r="Q204" s="403"/>
      <c r="R204" s="403"/>
      <c r="S204" s="403">
        <v>202</v>
      </c>
      <c r="T204" s="403">
        <v>150</v>
      </c>
      <c r="U204" s="403"/>
      <c r="V204" s="403"/>
      <c r="W204" s="403"/>
      <c r="X204" s="403"/>
      <c r="Y204" s="139"/>
    </row>
    <row r="205" spans="12:25" x14ac:dyDescent="0.35">
      <c r="L205" s="403"/>
      <c r="M205" s="403"/>
      <c r="N205" s="403"/>
      <c r="O205" s="403"/>
      <c r="P205" s="403"/>
      <c r="Q205" s="403"/>
      <c r="R205" s="403"/>
      <c r="S205" s="403">
        <v>203</v>
      </c>
      <c r="T205" s="403">
        <v>150</v>
      </c>
      <c r="U205" s="403"/>
      <c r="V205" s="403"/>
      <c r="W205" s="403"/>
      <c r="X205" s="403"/>
      <c r="Y205" s="139"/>
    </row>
    <row r="206" spans="12:25" x14ac:dyDescent="0.35">
      <c r="L206" s="403"/>
      <c r="M206" s="403"/>
      <c r="N206" s="403"/>
      <c r="O206" s="403"/>
      <c r="P206" s="403"/>
      <c r="Q206" s="403"/>
      <c r="R206" s="403"/>
      <c r="S206" s="403">
        <v>204</v>
      </c>
      <c r="T206" s="403">
        <v>150</v>
      </c>
      <c r="U206" s="403"/>
      <c r="V206" s="403"/>
      <c r="W206" s="403"/>
      <c r="X206" s="403"/>
      <c r="Y206" s="139"/>
    </row>
    <row r="207" spans="12:25" x14ac:dyDescent="0.35">
      <c r="L207" s="403"/>
      <c r="M207" s="403"/>
      <c r="N207" s="403"/>
      <c r="O207" s="403"/>
      <c r="P207" s="403"/>
      <c r="Q207" s="403"/>
      <c r="R207" s="403"/>
      <c r="S207" s="403">
        <v>205</v>
      </c>
      <c r="T207" s="403">
        <v>150</v>
      </c>
      <c r="U207" s="403"/>
      <c r="V207" s="403"/>
      <c r="W207" s="403"/>
      <c r="X207" s="403"/>
      <c r="Y207" s="139"/>
    </row>
    <row r="208" spans="12:25" x14ac:dyDescent="0.35">
      <c r="L208" s="403"/>
      <c r="M208" s="403"/>
      <c r="N208" s="403"/>
      <c r="O208" s="403"/>
      <c r="P208" s="403"/>
      <c r="Q208" s="403"/>
      <c r="R208" s="403"/>
      <c r="S208" s="403">
        <v>206</v>
      </c>
      <c r="T208" s="403">
        <v>150</v>
      </c>
      <c r="U208" s="403"/>
      <c r="V208" s="403"/>
      <c r="W208" s="403"/>
      <c r="X208" s="403"/>
      <c r="Y208" s="139"/>
    </row>
    <row r="209" spans="12:25" x14ac:dyDescent="0.35">
      <c r="L209" s="403"/>
      <c r="M209" s="403"/>
      <c r="N209" s="403"/>
      <c r="O209" s="403"/>
      <c r="P209" s="403"/>
      <c r="Q209" s="403"/>
      <c r="R209" s="403"/>
      <c r="S209" s="403">
        <v>207</v>
      </c>
      <c r="T209" s="403">
        <v>150</v>
      </c>
      <c r="U209" s="403"/>
      <c r="V209" s="403"/>
      <c r="W209" s="403"/>
      <c r="X209" s="403"/>
      <c r="Y209" s="139"/>
    </row>
    <row r="210" spans="12:25" x14ac:dyDescent="0.35">
      <c r="L210" s="403"/>
      <c r="M210" s="403"/>
      <c r="N210" s="403"/>
      <c r="O210" s="403"/>
      <c r="P210" s="403"/>
      <c r="Q210" s="403"/>
      <c r="R210" s="403"/>
      <c r="S210" s="403">
        <v>208</v>
      </c>
      <c r="T210" s="403">
        <v>150</v>
      </c>
      <c r="U210" s="403"/>
      <c r="V210" s="403"/>
      <c r="W210" s="403"/>
      <c r="X210" s="403"/>
      <c r="Y210" s="139"/>
    </row>
    <row r="211" spans="12:25" x14ac:dyDescent="0.35">
      <c r="L211" s="403"/>
      <c r="M211" s="403"/>
      <c r="N211" s="403"/>
      <c r="O211" s="403"/>
      <c r="P211" s="403"/>
      <c r="Q211" s="403"/>
      <c r="R211" s="403"/>
      <c r="S211" s="403">
        <v>209</v>
      </c>
      <c r="T211" s="403">
        <v>150</v>
      </c>
      <c r="U211" s="403"/>
      <c r="V211" s="403"/>
      <c r="W211" s="403"/>
      <c r="X211" s="403"/>
      <c r="Y211" s="139"/>
    </row>
    <row r="212" spans="12:25" x14ac:dyDescent="0.35">
      <c r="L212" s="403"/>
      <c r="M212" s="403"/>
      <c r="N212" s="403"/>
      <c r="O212" s="403"/>
      <c r="P212" s="403"/>
      <c r="Q212" s="403"/>
      <c r="R212" s="403"/>
      <c r="S212" s="403">
        <v>210</v>
      </c>
      <c r="T212" s="403">
        <v>150</v>
      </c>
      <c r="U212" s="403"/>
      <c r="V212" s="403"/>
      <c r="W212" s="403"/>
      <c r="X212" s="403"/>
      <c r="Y212" s="139"/>
    </row>
    <row r="213" spans="12:25" x14ac:dyDescent="0.35">
      <c r="L213" s="403"/>
      <c r="M213" s="403"/>
      <c r="N213" s="403"/>
      <c r="O213" s="403"/>
      <c r="P213" s="403"/>
      <c r="Q213" s="403"/>
      <c r="R213" s="403"/>
      <c r="S213" s="403">
        <v>211</v>
      </c>
      <c r="T213" s="403">
        <v>150</v>
      </c>
      <c r="U213" s="403"/>
      <c r="V213" s="403"/>
      <c r="W213" s="403"/>
      <c r="X213" s="403"/>
      <c r="Y213" s="139"/>
    </row>
    <row r="214" spans="12:25" x14ac:dyDescent="0.35">
      <c r="L214" s="403"/>
      <c r="M214" s="403"/>
      <c r="N214" s="403"/>
      <c r="O214" s="403"/>
      <c r="P214" s="403"/>
      <c r="Q214" s="403"/>
      <c r="R214" s="403"/>
      <c r="S214" s="403">
        <v>212</v>
      </c>
      <c r="T214" s="403">
        <v>150</v>
      </c>
      <c r="U214" s="403"/>
      <c r="V214" s="403"/>
      <c r="W214" s="403"/>
      <c r="X214" s="403"/>
      <c r="Y214" s="139"/>
    </row>
    <row r="215" spans="12:25" x14ac:dyDescent="0.35">
      <c r="L215" s="403"/>
      <c r="M215" s="403"/>
      <c r="N215" s="403"/>
      <c r="O215" s="403"/>
      <c r="P215" s="403"/>
      <c r="Q215" s="403"/>
      <c r="R215" s="403"/>
      <c r="S215" s="403">
        <v>213</v>
      </c>
      <c r="T215" s="403">
        <v>150</v>
      </c>
      <c r="U215" s="403"/>
      <c r="V215" s="403"/>
      <c r="W215" s="403"/>
      <c r="X215" s="403"/>
      <c r="Y215" s="139"/>
    </row>
    <row r="216" spans="12:25" x14ac:dyDescent="0.35">
      <c r="L216" s="403"/>
      <c r="M216" s="403"/>
      <c r="N216" s="403"/>
      <c r="O216" s="403"/>
      <c r="P216" s="403"/>
      <c r="Q216" s="403"/>
      <c r="R216" s="403"/>
      <c r="S216" s="403">
        <v>214</v>
      </c>
      <c r="T216" s="403">
        <v>150</v>
      </c>
      <c r="U216" s="403"/>
      <c r="V216" s="403"/>
      <c r="W216" s="403"/>
      <c r="X216" s="403"/>
      <c r="Y216" s="139"/>
    </row>
    <row r="217" spans="12:25" x14ac:dyDescent="0.35">
      <c r="L217" s="403"/>
      <c r="M217" s="403"/>
      <c r="N217" s="403"/>
      <c r="O217" s="403"/>
      <c r="P217" s="403"/>
      <c r="Q217" s="403"/>
      <c r="R217" s="403"/>
      <c r="S217" s="403">
        <v>215</v>
      </c>
      <c r="T217" s="403">
        <v>150</v>
      </c>
      <c r="U217" s="403"/>
      <c r="V217" s="403"/>
      <c r="W217" s="403"/>
      <c r="X217" s="403"/>
      <c r="Y217" s="139"/>
    </row>
    <row r="218" spans="12:25" x14ac:dyDescent="0.35">
      <c r="L218" s="403"/>
      <c r="M218" s="403"/>
      <c r="N218" s="403"/>
      <c r="O218" s="403"/>
      <c r="P218" s="403"/>
      <c r="Q218" s="403"/>
      <c r="R218" s="403"/>
      <c r="S218" s="403">
        <v>216</v>
      </c>
      <c r="T218" s="403">
        <v>150</v>
      </c>
      <c r="U218" s="403"/>
      <c r="V218" s="403"/>
      <c r="W218" s="403"/>
      <c r="X218" s="403"/>
      <c r="Y218" s="139"/>
    </row>
    <row r="219" spans="12:25" x14ac:dyDescent="0.35">
      <c r="L219" s="403"/>
      <c r="M219" s="403"/>
      <c r="N219" s="403"/>
      <c r="O219" s="403"/>
      <c r="P219" s="403"/>
      <c r="Q219" s="403"/>
      <c r="R219" s="403"/>
      <c r="S219" s="403">
        <v>217</v>
      </c>
      <c r="T219" s="403">
        <v>150</v>
      </c>
      <c r="U219" s="403"/>
      <c r="V219" s="403"/>
      <c r="W219" s="403"/>
      <c r="X219" s="403"/>
      <c r="Y219" s="139"/>
    </row>
    <row r="220" spans="12:25" x14ac:dyDescent="0.35">
      <c r="L220" s="403"/>
      <c r="M220" s="403"/>
      <c r="N220" s="403"/>
      <c r="O220" s="403"/>
      <c r="P220" s="403"/>
      <c r="Q220" s="403"/>
      <c r="R220" s="403"/>
      <c r="S220" s="403">
        <v>218</v>
      </c>
      <c r="T220" s="403">
        <v>150</v>
      </c>
      <c r="U220" s="403"/>
      <c r="V220" s="403"/>
      <c r="W220" s="403"/>
      <c r="X220" s="403"/>
      <c r="Y220" s="139"/>
    </row>
    <row r="221" spans="12:25" x14ac:dyDescent="0.35">
      <c r="L221" s="403"/>
      <c r="M221" s="403"/>
      <c r="N221" s="403"/>
      <c r="O221" s="403"/>
      <c r="P221" s="403"/>
      <c r="Q221" s="403"/>
      <c r="R221" s="403"/>
      <c r="S221" s="403">
        <v>219</v>
      </c>
      <c r="T221" s="403">
        <v>150</v>
      </c>
      <c r="U221" s="403"/>
      <c r="V221" s="403"/>
      <c r="W221" s="403"/>
      <c r="X221" s="403"/>
      <c r="Y221" s="139"/>
    </row>
    <row r="222" spans="12:25" x14ac:dyDescent="0.35">
      <c r="L222" s="403"/>
      <c r="M222" s="403"/>
      <c r="N222" s="403"/>
      <c r="O222" s="403"/>
      <c r="P222" s="403"/>
      <c r="Q222" s="403"/>
      <c r="R222" s="403"/>
      <c r="S222" s="403">
        <v>220</v>
      </c>
      <c r="T222" s="403">
        <v>150</v>
      </c>
      <c r="U222" s="403"/>
      <c r="V222" s="403"/>
      <c r="W222" s="403"/>
      <c r="X222" s="403"/>
      <c r="Y222" s="139"/>
    </row>
    <row r="223" spans="12:25" x14ac:dyDescent="0.35">
      <c r="L223" s="403"/>
      <c r="M223" s="403"/>
      <c r="N223" s="403"/>
      <c r="O223" s="403"/>
      <c r="P223" s="403"/>
      <c r="Q223" s="403"/>
      <c r="R223" s="403"/>
      <c r="S223" s="403">
        <v>221</v>
      </c>
      <c r="T223" s="403">
        <v>150</v>
      </c>
      <c r="U223" s="403"/>
      <c r="V223" s="403"/>
      <c r="W223" s="403"/>
      <c r="X223" s="403"/>
      <c r="Y223" s="139"/>
    </row>
    <row r="224" spans="12:25" x14ac:dyDescent="0.35">
      <c r="L224" s="403"/>
      <c r="M224" s="403"/>
      <c r="N224" s="403"/>
      <c r="O224" s="403"/>
      <c r="P224" s="403"/>
      <c r="Q224" s="403"/>
      <c r="R224" s="403"/>
      <c r="S224" s="403">
        <v>222</v>
      </c>
      <c r="T224" s="403">
        <v>150</v>
      </c>
      <c r="U224" s="403"/>
      <c r="V224" s="403"/>
      <c r="W224" s="403"/>
      <c r="X224" s="403"/>
      <c r="Y224" s="139"/>
    </row>
    <row r="225" spans="12:25" x14ac:dyDescent="0.35">
      <c r="L225" s="403"/>
      <c r="M225" s="403"/>
      <c r="N225" s="403"/>
      <c r="O225" s="403"/>
      <c r="P225" s="403"/>
      <c r="Q225" s="403"/>
      <c r="R225" s="403"/>
      <c r="S225" s="403">
        <v>223</v>
      </c>
      <c r="T225" s="403">
        <v>150</v>
      </c>
      <c r="U225" s="403"/>
      <c r="V225" s="403"/>
      <c r="W225" s="403"/>
      <c r="X225" s="403"/>
      <c r="Y225" s="139"/>
    </row>
    <row r="226" spans="12:25" x14ac:dyDescent="0.35">
      <c r="L226" s="403"/>
      <c r="M226" s="403"/>
      <c r="N226" s="403"/>
      <c r="O226" s="403"/>
      <c r="P226" s="403"/>
      <c r="Q226" s="403"/>
      <c r="R226" s="403"/>
      <c r="S226" s="403">
        <v>224</v>
      </c>
      <c r="T226" s="403">
        <v>150</v>
      </c>
      <c r="U226" s="403"/>
      <c r="V226" s="403"/>
      <c r="W226" s="403"/>
      <c r="X226" s="403"/>
      <c r="Y226" s="139"/>
    </row>
    <row r="227" spans="12:25" x14ac:dyDescent="0.35">
      <c r="L227" s="403"/>
      <c r="M227" s="403"/>
      <c r="N227" s="403"/>
      <c r="O227" s="403"/>
      <c r="P227" s="403"/>
      <c r="Q227" s="403"/>
      <c r="R227" s="403"/>
      <c r="S227" s="403">
        <v>225</v>
      </c>
      <c r="T227" s="403">
        <v>150</v>
      </c>
      <c r="U227" s="403"/>
      <c r="V227" s="403"/>
      <c r="W227" s="403"/>
      <c r="X227" s="403"/>
      <c r="Y227" s="139"/>
    </row>
    <row r="228" spans="12:25" x14ac:dyDescent="0.35">
      <c r="L228" s="403"/>
      <c r="M228" s="403"/>
      <c r="N228" s="403"/>
      <c r="O228" s="403"/>
      <c r="P228" s="403"/>
      <c r="Q228" s="403"/>
      <c r="R228" s="403"/>
      <c r="S228" s="403">
        <v>226</v>
      </c>
      <c r="T228" s="403">
        <v>150</v>
      </c>
      <c r="U228" s="403"/>
      <c r="V228" s="403"/>
      <c r="W228" s="403"/>
      <c r="X228" s="403"/>
      <c r="Y228" s="139"/>
    </row>
    <row r="229" spans="12:25" x14ac:dyDescent="0.35">
      <c r="L229" s="403"/>
      <c r="M229" s="403"/>
      <c r="N229" s="403"/>
      <c r="O229" s="403"/>
      <c r="P229" s="403"/>
      <c r="Q229" s="403"/>
      <c r="R229" s="403"/>
      <c r="S229" s="403">
        <v>227</v>
      </c>
      <c r="T229" s="403">
        <v>150</v>
      </c>
      <c r="U229" s="403"/>
      <c r="V229" s="403"/>
      <c r="W229" s="403"/>
      <c r="X229" s="403"/>
      <c r="Y229" s="139"/>
    </row>
    <row r="230" spans="12:25" x14ac:dyDescent="0.35">
      <c r="L230" s="403"/>
      <c r="M230" s="403"/>
      <c r="N230" s="403"/>
      <c r="O230" s="403"/>
      <c r="P230" s="403"/>
      <c r="Q230" s="403"/>
      <c r="R230" s="403"/>
      <c r="S230" s="403">
        <v>228</v>
      </c>
      <c r="T230" s="403">
        <v>150</v>
      </c>
      <c r="U230" s="403"/>
      <c r="V230" s="403"/>
      <c r="W230" s="403"/>
      <c r="X230" s="403"/>
      <c r="Y230" s="139"/>
    </row>
    <row r="231" spans="12:25" x14ac:dyDescent="0.35">
      <c r="L231" s="403"/>
      <c r="M231" s="403"/>
      <c r="N231" s="403"/>
      <c r="O231" s="403"/>
      <c r="P231" s="403"/>
      <c r="Q231" s="403"/>
      <c r="R231" s="403"/>
      <c r="S231" s="403">
        <v>229</v>
      </c>
      <c r="T231" s="403">
        <v>150</v>
      </c>
      <c r="U231" s="403"/>
      <c r="V231" s="403"/>
      <c r="W231" s="403"/>
      <c r="X231" s="403"/>
      <c r="Y231" s="139"/>
    </row>
    <row r="232" spans="12:25" x14ac:dyDescent="0.35">
      <c r="L232" s="403"/>
      <c r="M232" s="403"/>
      <c r="N232" s="403"/>
      <c r="O232" s="403"/>
      <c r="P232" s="403"/>
      <c r="Q232" s="403"/>
      <c r="R232" s="403"/>
      <c r="S232" s="403">
        <v>230</v>
      </c>
      <c r="T232" s="403">
        <v>150</v>
      </c>
      <c r="U232" s="403"/>
      <c r="V232" s="403"/>
      <c r="W232" s="403"/>
      <c r="X232" s="403"/>
      <c r="Y232" s="139"/>
    </row>
    <row r="233" spans="12:25" x14ac:dyDescent="0.35">
      <c r="L233" s="403"/>
      <c r="M233" s="403"/>
      <c r="N233" s="403"/>
      <c r="O233" s="403"/>
      <c r="P233" s="403"/>
      <c r="Q233" s="403"/>
      <c r="R233" s="403"/>
      <c r="S233" s="403">
        <v>231</v>
      </c>
      <c r="T233" s="403">
        <v>150</v>
      </c>
      <c r="U233" s="403"/>
      <c r="V233" s="403"/>
      <c r="W233" s="403"/>
      <c r="X233" s="403"/>
      <c r="Y233" s="139"/>
    </row>
    <row r="234" spans="12:25" x14ac:dyDescent="0.35">
      <c r="L234" s="403"/>
      <c r="M234" s="403"/>
      <c r="N234" s="403"/>
      <c r="O234" s="403"/>
      <c r="P234" s="403"/>
      <c r="Q234" s="403"/>
      <c r="R234" s="403"/>
      <c r="S234" s="403">
        <v>232</v>
      </c>
      <c r="T234" s="403">
        <v>150</v>
      </c>
      <c r="U234" s="403"/>
      <c r="V234" s="403"/>
      <c r="W234" s="403"/>
      <c r="X234" s="403"/>
      <c r="Y234" s="139"/>
    </row>
    <row r="235" spans="12:25" x14ac:dyDescent="0.35">
      <c r="L235" s="403"/>
      <c r="M235" s="403"/>
      <c r="N235" s="403"/>
      <c r="O235" s="403"/>
      <c r="P235" s="403"/>
      <c r="Q235" s="403"/>
      <c r="R235" s="403"/>
      <c r="S235" s="403">
        <v>233</v>
      </c>
      <c r="T235" s="403">
        <v>150</v>
      </c>
      <c r="U235" s="403"/>
      <c r="V235" s="403"/>
      <c r="W235" s="403"/>
      <c r="X235" s="403"/>
      <c r="Y235" s="139"/>
    </row>
    <row r="236" spans="12:25" x14ac:dyDescent="0.35">
      <c r="L236" s="403"/>
      <c r="M236" s="403"/>
      <c r="N236" s="403"/>
      <c r="O236" s="403"/>
      <c r="P236" s="403"/>
      <c r="Q236" s="403"/>
      <c r="R236" s="403"/>
      <c r="S236" s="403">
        <v>234</v>
      </c>
      <c r="T236" s="403">
        <v>150</v>
      </c>
      <c r="U236" s="403"/>
      <c r="V236" s="403"/>
      <c r="W236" s="403"/>
      <c r="X236" s="403"/>
      <c r="Y236" s="139"/>
    </row>
    <row r="237" spans="12:25" x14ac:dyDescent="0.35">
      <c r="L237" s="403"/>
      <c r="M237" s="403"/>
      <c r="N237" s="403"/>
      <c r="O237" s="403"/>
      <c r="P237" s="403"/>
      <c r="Q237" s="403"/>
      <c r="R237" s="403"/>
      <c r="S237" s="403">
        <v>235</v>
      </c>
      <c r="T237" s="403">
        <v>150</v>
      </c>
      <c r="U237" s="403"/>
      <c r="V237" s="403"/>
      <c r="W237" s="403"/>
      <c r="X237" s="403"/>
      <c r="Y237" s="139"/>
    </row>
    <row r="238" spans="12:25" x14ac:dyDescent="0.35">
      <c r="L238" s="403"/>
      <c r="M238" s="403"/>
      <c r="N238" s="403"/>
      <c r="O238" s="403"/>
      <c r="P238" s="403"/>
      <c r="Q238" s="403"/>
      <c r="R238" s="403"/>
      <c r="S238" s="403">
        <v>236</v>
      </c>
      <c r="T238" s="403">
        <v>150</v>
      </c>
      <c r="U238" s="403"/>
      <c r="V238" s="403"/>
      <c r="W238" s="403"/>
      <c r="X238" s="403"/>
      <c r="Y238" s="139"/>
    </row>
    <row r="239" spans="12:25" x14ac:dyDescent="0.35">
      <c r="L239" s="403"/>
      <c r="M239" s="403"/>
      <c r="N239" s="403"/>
      <c r="O239" s="403"/>
      <c r="P239" s="403"/>
      <c r="Q239" s="403"/>
      <c r="R239" s="403"/>
      <c r="S239" s="403">
        <v>237</v>
      </c>
      <c r="T239" s="403">
        <v>150</v>
      </c>
      <c r="U239" s="403"/>
      <c r="V239" s="403"/>
      <c r="W239" s="403"/>
      <c r="X239" s="403"/>
      <c r="Y239" s="139"/>
    </row>
    <row r="240" spans="12:25" x14ac:dyDescent="0.35">
      <c r="L240" s="403"/>
      <c r="M240" s="403"/>
      <c r="N240" s="403"/>
      <c r="O240" s="403"/>
      <c r="P240" s="403"/>
      <c r="Q240" s="403"/>
      <c r="R240" s="403"/>
      <c r="S240" s="403">
        <v>238</v>
      </c>
      <c r="T240" s="403">
        <v>150</v>
      </c>
      <c r="U240" s="403"/>
      <c r="V240" s="403"/>
      <c r="W240" s="403"/>
      <c r="X240" s="403"/>
      <c r="Y240" s="139"/>
    </row>
    <row r="241" spans="12:25" x14ac:dyDescent="0.35">
      <c r="L241" s="403"/>
      <c r="M241" s="403"/>
      <c r="N241" s="403"/>
      <c r="O241" s="403"/>
      <c r="P241" s="403"/>
      <c r="Q241" s="403"/>
      <c r="R241" s="403"/>
      <c r="S241" s="403">
        <v>239</v>
      </c>
      <c r="T241" s="403">
        <v>150</v>
      </c>
      <c r="U241" s="403"/>
      <c r="V241" s="403"/>
      <c r="W241" s="403"/>
      <c r="X241" s="403"/>
      <c r="Y241" s="139"/>
    </row>
    <row r="242" spans="12:25" x14ac:dyDescent="0.35">
      <c r="L242" s="403"/>
      <c r="M242" s="403"/>
      <c r="N242" s="403"/>
      <c r="O242" s="403"/>
      <c r="P242" s="403"/>
      <c r="Q242" s="403"/>
      <c r="R242" s="403"/>
      <c r="S242" s="403">
        <v>240</v>
      </c>
      <c r="T242" s="403">
        <v>150</v>
      </c>
      <c r="U242" s="403"/>
      <c r="V242" s="403"/>
      <c r="W242" s="403"/>
      <c r="X242" s="403"/>
      <c r="Y242" s="139"/>
    </row>
    <row r="243" spans="12:25" x14ac:dyDescent="0.35">
      <c r="L243" s="403"/>
      <c r="M243" s="403"/>
      <c r="N243" s="403"/>
      <c r="O243" s="403"/>
      <c r="P243" s="403"/>
      <c r="Q243" s="403"/>
      <c r="R243" s="403"/>
      <c r="S243" s="403">
        <v>241</v>
      </c>
      <c r="T243" s="403">
        <v>150</v>
      </c>
      <c r="U243" s="403"/>
      <c r="V243" s="403"/>
      <c r="W243" s="403"/>
      <c r="X243" s="403"/>
      <c r="Y243" s="139"/>
    </row>
    <row r="244" spans="12:25" x14ac:dyDescent="0.35">
      <c r="L244" s="403"/>
      <c r="M244" s="403"/>
      <c r="N244" s="403"/>
      <c r="O244" s="403"/>
      <c r="P244" s="403"/>
      <c r="Q244" s="403"/>
      <c r="R244" s="403"/>
      <c r="S244" s="403">
        <v>242</v>
      </c>
      <c r="T244" s="403">
        <v>150</v>
      </c>
      <c r="U244" s="403"/>
      <c r="V244" s="403"/>
      <c r="W244" s="403"/>
      <c r="X244" s="403"/>
      <c r="Y244" s="139"/>
    </row>
    <row r="245" spans="12:25" x14ac:dyDescent="0.35">
      <c r="L245" s="403"/>
      <c r="M245" s="403"/>
      <c r="N245" s="403"/>
      <c r="O245" s="403"/>
      <c r="P245" s="403"/>
      <c r="Q245" s="403"/>
      <c r="R245" s="403"/>
      <c r="S245" s="403">
        <v>243</v>
      </c>
      <c r="T245" s="403">
        <v>150</v>
      </c>
      <c r="U245" s="403"/>
      <c r="V245" s="403"/>
      <c r="W245" s="403"/>
      <c r="X245" s="403"/>
      <c r="Y245" s="139"/>
    </row>
    <row r="246" spans="12:25" x14ac:dyDescent="0.35">
      <c r="L246" s="403"/>
      <c r="M246" s="403"/>
      <c r="N246" s="403"/>
      <c r="O246" s="403"/>
      <c r="P246" s="403"/>
      <c r="Q246" s="403"/>
      <c r="R246" s="403"/>
      <c r="S246" s="403">
        <v>244</v>
      </c>
      <c r="T246" s="403">
        <v>150</v>
      </c>
      <c r="U246" s="403"/>
      <c r="V246" s="403"/>
      <c r="W246" s="403"/>
      <c r="X246" s="403"/>
      <c r="Y246" s="139"/>
    </row>
    <row r="247" spans="12:25" x14ac:dyDescent="0.35">
      <c r="L247" s="403"/>
      <c r="M247" s="403"/>
      <c r="N247" s="403"/>
      <c r="O247" s="403"/>
      <c r="P247" s="403"/>
      <c r="Q247" s="403"/>
      <c r="R247" s="403"/>
      <c r="S247" s="403">
        <v>245</v>
      </c>
      <c r="T247" s="403">
        <v>150</v>
      </c>
      <c r="U247" s="403"/>
      <c r="V247" s="403"/>
      <c r="W247" s="403"/>
      <c r="X247" s="403"/>
      <c r="Y247" s="139"/>
    </row>
    <row r="248" spans="12:25" x14ac:dyDescent="0.35">
      <c r="L248" s="403"/>
      <c r="M248" s="403"/>
      <c r="N248" s="403"/>
      <c r="O248" s="403"/>
      <c r="P248" s="403"/>
      <c r="Q248" s="403"/>
      <c r="R248" s="403"/>
      <c r="S248" s="403">
        <v>246</v>
      </c>
      <c r="T248" s="403">
        <v>150</v>
      </c>
      <c r="U248" s="403"/>
      <c r="V248" s="403"/>
      <c r="W248" s="403"/>
      <c r="X248" s="403"/>
      <c r="Y248" s="139"/>
    </row>
    <row r="249" spans="12:25" x14ac:dyDescent="0.35">
      <c r="L249" s="403"/>
      <c r="M249" s="403"/>
      <c r="N249" s="403"/>
      <c r="O249" s="403"/>
      <c r="P249" s="403"/>
      <c r="Q249" s="403"/>
      <c r="R249" s="403"/>
      <c r="S249" s="403">
        <v>247</v>
      </c>
      <c r="T249" s="403">
        <v>150</v>
      </c>
      <c r="U249" s="403"/>
      <c r="V249" s="403"/>
      <c r="W249" s="403"/>
      <c r="X249" s="403"/>
      <c r="Y249" s="139"/>
    </row>
    <row r="250" spans="12:25" x14ac:dyDescent="0.35">
      <c r="L250" s="403"/>
      <c r="M250" s="403"/>
      <c r="N250" s="403"/>
      <c r="O250" s="403"/>
      <c r="P250" s="403"/>
      <c r="Q250" s="403"/>
      <c r="R250" s="403"/>
      <c r="S250" s="403">
        <v>248</v>
      </c>
      <c r="T250" s="403">
        <v>150</v>
      </c>
      <c r="U250" s="403"/>
      <c r="V250" s="403"/>
      <c r="W250" s="403"/>
      <c r="X250" s="403"/>
      <c r="Y250" s="139"/>
    </row>
    <row r="251" spans="12:25" x14ac:dyDescent="0.35">
      <c r="L251" s="403"/>
      <c r="M251" s="403"/>
      <c r="N251" s="403"/>
      <c r="O251" s="403"/>
      <c r="P251" s="403"/>
      <c r="Q251" s="403"/>
      <c r="R251" s="403"/>
      <c r="S251" s="403">
        <v>249</v>
      </c>
      <c r="T251" s="403">
        <v>150</v>
      </c>
      <c r="U251" s="403"/>
      <c r="V251" s="403"/>
      <c r="W251" s="403"/>
      <c r="X251" s="403"/>
      <c r="Y251" s="139"/>
    </row>
    <row r="252" spans="12:25" x14ac:dyDescent="0.35">
      <c r="L252" s="403"/>
      <c r="M252" s="403"/>
      <c r="N252" s="403"/>
      <c r="O252" s="403"/>
      <c r="P252" s="403"/>
      <c r="Q252" s="403"/>
      <c r="R252" s="403"/>
      <c r="S252" s="403">
        <v>250</v>
      </c>
      <c r="T252" s="403">
        <v>150</v>
      </c>
      <c r="U252" s="403"/>
      <c r="V252" s="403"/>
      <c r="W252" s="403"/>
      <c r="X252" s="403"/>
      <c r="Y252" s="139"/>
    </row>
    <row r="253" spans="12:25" x14ac:dyDescent="0.35">
      <c r="L253" s="403"/>
      <c r="M253" s="403"/>
      <c r="N253" s="403"/>
      <c r="O253" s="403"/>
      <c r="P253" s="403"/>
      <c r="Q253" s="403"/>
      <c r="R253" s="403"/>
      <c r="S253" s="403">
        <v>251</v>
      </c>
      <c r="T253" s="403">
        <v>150</v>
      </c>
      <c r="U253" s="403"/>
      <c r="V253" s="403"/>
      <c r="W253" s="403"/>
      <c r="X253" s="403"/>
      <c r="Y253" s="139"/>
    </row>
    <row r="254" spans="12:25" x14ac:dyDescent="0.35">
      <c r="L254" s="403"/>
      <c r="M254" s="403"/>
      <c r="N254" s="403"/>
      <c r="O254" s="403"/>
      <c r="P254" s="403"/>
      <c r="Q254" s="403"/>
      <c r="R254" s="403"/>
      <c r="S254" s="403">
        <v>252</v>
      </c>
      <c r="T254" s="403">
        <v>150</v>
      </c>
      <c r="U254" s="403"/>
      <c r="V254" s="403"/>
      <c r="W254" s="403"/>
      <c r="X254" s="403"/>
      <c r="Y254" s="139"/>
    </row>
    <row r="255" spans="12:25" x14ac:dyDescent="0.35">
      <c r="L255" s="403"/>
      <c r="M255" s="403"/>
      <c r="N255" s="403"/>
      <c r="O255" s="403"/>
      <c r="P255" s="403"/>
      <c r="Q255" s="403"/>
      <c r="R255" s="403"/>
      <c r="S255" s="403">
        <v>253</v>
      </c>
      <c r="T255" s="403">
        <v>150</v>
      </c>
      <c r="U255" s="403"/>
      <c r="V255" s="403"/>
      <c r="W255" s="403"/>
      <c r="X255" s="403"/>
      <c r="Y255" s="139"/>
    </row>
    <row r="256" spans="12:25" x14ac:dyDescent="0.35">
      <c r="L256" s="403"/>
      <c r="M256" s="403"/>
      <c r="N256" s="403"/>
      <c r="O256" s="403"/>
      <c r="P256" s="403"/>
      <c r="Q256" s="403"/>
      <c r="R256" s="403"/>
      <c r="S256" s="403">
        <v>254</v>
      </c>
      <c r="T256" s="403">
        <v>150</v>
      </c>
      <c r="U256" s="403"/>
      <c r="V256" s="403"/>
      <c r="W256" s="403"/>
      <c r="X256" s="403"/>
      <c r="Y256" s="139"/>
    </row>
    <row r="257" spans="12:25" x14ac:dyDescent="0.35">
      <c r="L257" s="403"/>
      <c r="M257" s="403"/>
      <c r="N257" s="403"/>
      <c r="O257" s="403"/>
      <c r="P257" s="403"/>
      <c r="Q257" s="403"/>
      <c r="R257" s="403"/>
      <c r="S257" s="403">
        <v>255</v>
      </c>
      <c r="T257" s="403">
        <v>150</v>
      </c>
      <c r="U257" s="403"/>
      <c r="V257" s="403"/>
      <c r="W257" s="403"/>
      <c r="X257" s="403"/>
      <c r="Y257" s="139"/>
    </row>
    <row r="258" spans="12:25" x14ac:dyDescent="0.35">
      <c r="L258" s="403"/>
      <c r="M258" s="403"/>
      <c r="N258" s="403"/>
      <c r="O258" s="403"/>
      <c r="P258" s="403"/>
      <c r="Q258" s="403"/>
      <c r="R258" s="403"/>
      <c r="S258" s="403">
        <v>256</v>
      </c>
      <c r="T258" s="403">
        <v>150</v>
      </c>
      <c r="U258" s="403"/>
      <c r="V258" s="403"/>
      <c r="W258" s="403"/>
      <c r="X258" s="403"/>
      <c r="Y258" s="139"/>
    </row>
    <row r="259" spans="12:25" x14ac:dyDescent="0.35">
      <c r="L259" s="403"/>
      <c r="M259" s="403"/>
      <c r="N259" s="403"/>
      <c r="O259" s="403"/>
      <c r="P259" s="403"/>
      <c r="Q259" s="403"/>
      <c r="R259" s="403"/>
      <c r="S259" s="403">
        <v>257</v>
      </c>
      <c r="T259" s="403">
        <v>150</v>
      </c>
      <c r="U259" s="403"/>
      <c r="V259" s="403"/>
      <c r="W259" s="403"/>
      <c r="X259" s="403"/>
      <c r="Y259" s="139"/>
    </row>
    <row r="260" spans="12:25" x14ac:dyDescent="0.35">
      <c r="L260" s="403"/>
      <c r="M260" s="403"/>
      <c r="N260" s="403"/>
      <c r="O260" s="403"/>
      <c r="P260" s="403"/>
      <c r="Q260" s="403"/>
      <c r="R260" s="403"/>
      <c r="S260" s="403">
        <v>258</v>
      </c>
      <c r="T260" s="403">
        <v>150</v>
      </c>
      <c r="U260" s="403"/>
      <c r="V260" s="403"/>
      <c r="W260" s="403"/>
      <c r="X260" s="403"/>
      <c r="Y260" s="139"/>
    </row>
    <row r="261" spans="12:25" x14ac:dyDescent="0.35">
      <c r="L261" s="403"/>
      <c r="M261" s="403"/>
      <c r="N261" s="403"/>
      <c r="O261" s="403"/>
      <c r="P261" s="403"/>
      <c r="Q261" s="403"/>
      <c r="R261" s="403"/>
      <c r="S261" s="403">
        <v>259</v>
      </c>
      <c r="T261" s="403">
        <v>150</v>
      </c>
      <c r="U261" s="403"/>
      <c r="V261" s="403"/>
      <c r="W261" s="403"/>
      <c r="X261" s="403"/>
      <c r="Y261" s="139"/>
    </row>
    <row r="262" spans="12:25" x14ac:dyDescent="0.35">
      <c r="L262" s="403"/>
      <c r="M262" s="403"/>
      <c r="N262" s="403"/>
      <c r="O262" s="403"/>
      <c r="P262" s="403"/>
      <c r="Q262" s="403"/>
      <c r="R262" s="403"/>
      <c r="S262" s="403">
        <v>260</v>
      </c>
      <c r="T262" s="403">
        <v>150</v>
      </c>
      <c r="U262" s="403"/>
      <c r="V262" s="403"/>
      <c r="W262" s="403"/>
      <c r="X262" s="403"/>
      <c r="Y262" s="139"/>
    </row>
    <row r="263" spans="12:25" x14ac:dyDescent="0.35">
      <c r="L263" s="403"/>
      <c r="M263" s="403"/>
      <c r="N263" s="403"/>
      <c r="O263" s="403"/>
      <c r="P263" s="403"/>
      <c r="Q263" s="403"/>
      <c r="R263" s="403"/>
      <c r="S263" s="403">
        <v>261</v>
      </c>
      <c r="T263" s="403">
        <v>150</v>
      </c>
      <c r="U263" s="403"/>
      <c r="V263" s="403"/>
      <c r="W263" s="403"/>
      <c r="X263" s="403"/>
      <c r="Y263" s="139"/>
    </row>
    <row r="264" spans="12:25" x14ac:dyDescent="0.35">
      <c r="L264" s="403"/>
      <c r="M264" s="403"/>
      <c r="N264" s="403"/>
      <c r="O264" s="403"/>
      <c r="P264" s="403"/>
      <c r="Q264" s="403"/>
      <c r="R264" s="403"/>
      <c r="S264" s="403">
        <v>262</v>
      </c>
      <c r="T264" s="403">
        <v>150</v>
      </c>
      <c r="U264" s="403"/>
      <c r="V264" s="403"/>
      <c r="W264" s="403"/>
      <c r="X264" s="403"/>
      <c r="Y264" s="139"/>
    </row>
    <row r="265" spans="12:25" x14ac:dyDescent="0.35">
      <c r="L265" s="403"/>
      <c r="M265" s="403"/>
      <c r="N265" s="403"/>
      <c r="O265" s="403"/>
      <c r="P265" s="403"/>
      <c r="Q265" s="403"/>
      <c r="R265" s="403"/>
      <c r="S265" s="403">
        <v>263</v>
      </c>
      <c r="T265" s="403">
        <v>150</v>
      </c>
      <c r="U265" s="403"/>
      <c r="V265" s="403"/>
      <c r="W265" s="403"/>
      <c r="X265" s="403"/>
      <c r="Y265" s="139"/>
    </row>
    <row r="266" spans="12:25" x14ac:dyDescent="0.35">
      <c r="L266" s="403"/>
      <c r="M266" s="403"/>
      <c r="N266" s="403"/>
      <c r="O266" s="403"/>
      <c r="P266" s="403"/>
      <c r="Q266" s="403"/>
      <c r="R266" s="403"/>
      <c r="S266" s="403">
        <v>264</v>
      </c>
      <c r="T266" s="403">
        <v>150</v>
      </c>
      <c r="U266" s="403"/>
      <c r="V266" s="403"/>
      <c r="W266" s="403"/>
      <c r="X266" s="403"/>
      <c r="Y266" s="139"/>
    </row>
    <row r="267" spans="12:25" x14ac:dyDescent="0.35">
      <c r="L267" s="403"/>
      <c r="M267" s="403"/>
      <c r="N267" s="403"/>
      <c r="O267" s="403"/>
      <c r="P267" s="403"/>
      <c r="Q267" s="403"/>
      <c r="R267" s="403"/>
      <c r="S267" s="403">
        <v>265</v>
      </c>
      <c r="T267" s="403">
        <v>150</v>
      </c>
      <c r="U267" s="403"/>
      <c r="V267" s="403"/>
      <c r="W267" s="403"/>
      <c r="X267" s="403"/>
      <c r="Y267" s="139"/>
    </row>
    <row r="268" spans="12:25" x14ac:dyDescent="0.35">
      <c r="L268" s="403"/>
      <c r="M268" s="403"/>
      <c r="N268" s="403"/>
      <c r="O268" s="403"/>
      <c r="P268" s="403"/>
      <c r="Q268" s="403"/>
      <c r="R268" s="403"/>
      <c r="S268" s="403">
        <v>266</v>
      </c>
      <c r="T268" s="403">
        <v>150</v>
      </c>
      <c r="U268" s="403"/>
      <c r="V268" s="403"/>
      <c r="W268" s="403"/>
      <c r="X268" s="403"/>
      <c r="Y268" s="139"/>
    </row>
    <row r="269" spans="12:25" x14ac:dyDescent="0.35">
      <c r="L269" s="403"/>
      <c r="M269" s="403"/>
      <c r="N269" s="403"/>
      <c r="O269" s="403"/>
      <c r="P269" s="403"/>
      <c r="Q269" s="403"/>
      <c r="R269" s="403"/>
      <c r="S269" s="403">
        <v>267</v>
      </c>
      <c r="T269" s="403">
        <v>150</v>
      </c>
      <c r="U269" s="403"/>
      <c r="V269" s="403"/>
      <c r="W269" s="403"/>
      <c r="X269" s="403"/>
      <c r="Y269" s="139"/>
    </row>
    <row r="270" spans="12:25" x14ac:dyDescent="0.35">
      <c r="L270" s="403"/>
      <c r="M270" s="403"/>
      <c r="N270" s="403"/>
      <c r="O270" s="403"/>
      <c r="P270" s="403"/>
      <c r="Q270" s="403"/>
      <c r="R270" s="403"/>
      <c r="S270" s="403">
        <v>268</v>
      </c>
      <c r="T270" s="403">
        <v>150</v>
      </c>
      <c r="U270" s="403"/>
      <c r="V270" s="403"/>
      <c r="W270" s="403"/>
      <c r="X270" s="403"/>
      <c r="Y270" s="139"/>
    </row>
    <row r="271" spans="12:25" x14ac:dyDescent="0.35">
      <c r="L271" s="403"/>
      <c r="M271" s="403"/>
      <c r="N271" s="403"/>
      <c r="O271" s="403"/>
      <c r="P271" s="403"/>
      <c r="Q271" s="403"/>
      <c r="R271" s="403"/>
      <c r="S271" s="403">
        <v>269</v>
      </c>
      <c r="T271" s="403">
        <v>150</v>
      </c>
      <c r="U271" s="403"/>
      <c r="V271" s="403"/>
      <c r="W271" s="403"/>
      <c r="X271" s="403"/>
      <c r="Y271" s="139"/>
    </row>
    <row r="272" spans="12:25" x14ac:dyDescent="0.35">
      <c r="L272" s="403"/>
      <c r="M272" s="403"/>
      <c r="N272" s="403"/>
      <c r="O272" s="403"/>
      <c r="P272" s="403"/>
      <c r="Q272" s="403"/>
      <c r="R272" s="403"/>
      <c r="S272" s="403">
        <v>270</v>
      </c>
      <c r="T272" s="403">
        <v>150</v>
      </c>
      <c r="U272" s="403"/>
      <c r="V272" s="403"/>
      <c r="W272" s="403"/>
      <c r="X272" s="403"/>
      <c r="Y272" s="139"/>
    </row>
    <row r="273" spans="12:25" x14ac:dyDescent="0.35">
      <c r="L273" s="403"/>
      <c r="M273" s="403"/>
      <c r="N273" s="403"/>
      <c r="O273" s="403"/>
      <c r="P273" s="403"/>
      <c r="Q273" s="403"/>
      <c r="R273" s="403"/>
      <c r="S273" s="403">
        <v>271</v>
      </c>
      <c r="T273" s="403">
        <v>150</v>
      </c>
      <c r="U273" s="403"/>
      <c r="V273" s="403"/>
      <c r="W273" s="403"/>
      <c r="X273" s="403"/>
      <c r="Y273" s="139"/>
    </row>
    <row r="274" spans="12:25" x14ac:dyDescent="0.35">
      <c r="L274" s="403"/>
      <c r="M274" s="403"/>
      <c r="N274" s="403"/>
      <c r="O274" s="403"/>
      <c r="P274" s="403"/>
      <c r="Q274" s="403"/>
      <c r="R274" s="403"/>
      <c r="S274" s="403">
        <v>272</v>
      </c>
      <c r="T274" s="403">
        <v>150</v>
      </c>
      <c r="U274" s="403"/>
      <c r="V274" s="403"/>
      <c r="W274" s="403"/>
      <c r="X274" s="403"/>
      <c r="Y274" s="139"/>
    </row>
    <row r="275" spans="12:25" x14ac:dyDescent="0.35">
      <c r="L275" s="403"/>
      <c r="M275" s="403"/>
      <c r="N275" s="403"/>
      <c r="O275" s="403"/>
      <c r="P275" s="403"/>
      <c r="Q275" s="403"/>
      <c r="R275" s="403"/>
      <c r="S275" s="403">
        <v>273</v>
      </c>
      <c r="T275" s="403">
        <v>150</v>
      </c>
      <c r="U275" s="403"/>
      <c r="V275" s="403"/>
      <c r="W275" s="403"/>
      <c r="X275" s="403"/>
      <c r="Y275" s="139"/>
    </row>
    <row r="276" spans="12:25" x14ac:dyDescent="0.35">
      <c r="L276" s="403"/>
      <c r="M276" s="403"/>
      <c r="N276" s="403"/>
      <c r="O276" s="403"/>
      <c r="P276" s="403"/>
      <c r="Q276" s="403"/>
      <c r="R276" s="403"/>
      <c r="S276" s="403">
        <v>274</v>
      </c>
      <c r="T276" s="403">
        <v>150</v>
      </c>
      <c r="U276" s="403"/>
      <c r="V276" s="403"/>
      <c r="W276" s="403"/>
      <c r="X276" s="403"/>
      <c r="Y276" s="139"/>
    </row>
    <row r="277" spans="12:25" x14ac:dyDescent="0.35">
      <c r="L277" s="403"/>
      <c r="M277" s="403"/>
      <c r="N277" s="403"/>
      <c r="O277" s="403"/>
      <c r="P277" s="403"/>
      <c r="Q277" s="403"/>
      <c r="R277" s="403"/>
      <c r="S277" s="403">
        <v>275</v>
      </c>
      <c r="T277" s="403">
        <v>150</v>
      </c>
      <c r="U277" s="403"/>
      <c r="V277" s="403"/>
      <c r="W277" s="403"/>
      <c r="X277" s="403"/>
      <c r="Y277" s="139"/>
    </row>
    <row r="278" spans="12:25" x14ac:dyDescent="0.35">
      <c r="L278" s="403"/>
      <c r="M278" s="403"/>
      <c r="N278" s="403"/>
      <c r="O278" s="403"/>
      <c r="P278" s="403"/>
      <c r="Q278" s="403"/>
      <c r="R278" s="403"/>
      <c r="S278" s="403">
        <v>276</v>
      </c>
      <c r="T278" s="403">
        <v>150</v>
      </c>
      <c r="U278" s="403"/>
      <c r="V278" s="403"/>
      <c r="W278" s="403"/>
      <c r="X278" s="403"/>
      <c r="Y278" s="139"/>
    </row>
    <row r="279" spans="12:25" x14ac:dyDescent="0.35">
      <c r="L279" s="403"/>
      <c r="M279" s="403"/>
      <c r="N279" s="403"/>
      <c r="O279" s="403"/>
      <c r="P279" s="403"/>
      <c r="Q279" s="403"/>
      <c r="R279" s="403"/>
      <c r="S279" s="403">
        <v>277</v>
      </c>
      <c r="T279" s="403">
        <v>150</v>
      </c>
      <c r="U279" s="403"/>
      <c r="V279" s="403"/>
      <c r="W279" s="403"/>
      <c r="X279" s="403"/>
      <c r="Y279" s="139"/>
    </row>
    <row r="280" spans="12:25" x14ac:dyDescent="0.35">
      <c r="L280" s="403"/>
      <c r="M280" s="403"/>
      <c r="N280" s="403"/>
      <c r="O280" s="403"/>
      <c r="P280" s="403"/>
      <c r="Q280" s="403"/>
      <c r="R280" s="403"/>
      <c r="S280" s="403">
        <v>278</v>
      </c>
      <c r="T280" s="403">
        <v>150</v>
      </c>
      <c r="U280" s="403"/>
      <c r="V280" s="403"/>
      <c r="W280" s="403"/>
      <c r="X280" s="403"/>
      <c r="Y280" s="139"/>
    </row>
    <row r="281" spans="12:25" x14ac:dyDescent="0.35">
      <c r="L281" s="403"/>
      <c r="M281" s="403"/>
      <c r="N281" s="403"/>
      <c r="O281" s="403"/>
      <c r="P281" s="403"/>
      <c r="Q281" s="403"/>
      <c r="R281" s="403"/>
      <c r="S281" s="403">
        <v>279</v>
      </c>
      <c r="T281" s="403">
        <v>150</v>
      </c>
      <c r="U281" s="403"/>
      <c r="V281" s="403"/>
      <c r="W281" s="403"/>
      <c r="X281" s="403"/>
      <c r="Y281" s="139"/>
    </row>
    <row r="282" spans="12:25" x14ac:dyDescent="0.35">
      <c r="L282" s="403"/>
      <c r="M282" s="403"/>
      <c r="N282" s="403"/>
      <c r="O282" s="403"/>
      <c r="P282" s="403"/>
      <c r="Q282" s="403"/>
      <c r="R282" s="403"/>
      <c r="S282" s="403">
        <v>280</v>
      </c>
      <c r="T282" s="403">
        <v>150</v>
      </c>
      <c r="U282" s="403"/>
      <c r="V282" s="403"/>
      <c r="W282" s="403"/>
      <c r="X282" s="403"/>
      <c r="Y282" s="139"/>
    </row>
    <row r="283" spans="12:25" x14ac:dyDescent="0.35">
      <c r="L283" s="403"/>
      <c r="M283" s="403"/>
      <c r="N283" s="403"/>
      <c r="O283" s="403"/>
      <c r="P283" s="403"/>
      <c r="Q283" s="403"/>
      <c r="R283" s="403"/>
      <c r="S283" s="403">
        <v>281</v>
      </c>
      <c r="T283" s="403">
        <v>150</v>
      </c>
      <c r="U283" s="403"/>
      <c r="V283" s="403"/>
      <c r="W283" s="403"/>
      <c r="X283" s="403"/>
      <c r="Y283" s="139"/>
    </row>
    <row r="284" spans="12:25" x14ac:dyDescent="0.35">
      <c r="L284" s="403"/>
      <c r="M284" s="403"/>
      <c r="N284" s="403"/>
      <c r="O284" s="403"/>
      <c r="P284" s="403"/>
      <c r="Q284" s="403"/>
      <c r="R284" s="403"/>
      <c r="S284" s="403">
        <v>282</v>
      </c>
      <c r="T284" s="403">
        <v>150</v>
      </c>
      <c r="U284" s="403"/>
      <c r="V284" s="403"/>
      <c r="W284" s="403"/>
      <c r="X284" s="403"/>
      <c r="Y284" s="139"/>
    </row>
    <row r="285" spans="12:25" x14ac:dyDescent="0.35">
      <c r="L285" s="403"/>
      <c r="M285" s="403"/>
      <c r="N285" s="403"/>
      <c r="O285" s="403"/>
      <c r="P285" s="403"/>
      <c r="Q285" s="403"/>
      <c r="R285" s="403"/>
      <c r="S285" s="403">
        <v>283</v>
      </c>
      <c r="T285" s="403">
        <v>150</v>
      </c>
      <c r="U285" s="403"/>
      <c r="V285" s="403"/>
      <c r="W285" s="403"/>
      <c r="X285" s="403"/>
      <c r="Y285" s="139"/>
    </row>
    <row r="286" spans="12:25" x14ac:dyDescent="0.35">
      <c r="L286" s="403"/>
      <c r="M286" s="403"/>
      <c r="N286" s="403"/>
      <c r="O286" s="403"/>
      <c r="P286" s="403"/>
      <c r="Q286" s="403"/>
      <c r="R286" s="403"/>
      <c r="S286" s="403">
        <v>284</v>
      </c>
      <c r="T286" s="403">
        <v>150</v>
      </c>
      <c r="U286" s="403"/>
      <c r="V286" s="403"/>
      <c r="W286" s="403"/>
      <c r="X286" s="403"/>
      <c r="Y286" s="139"/>
    </row>
    <row r="287" spans="12:25" x14ac:dyDescent="0.35">
      <c r="L287" s="403"/>
      <c r="M287" s="403"/>
      <c r="N287" s="403"/>
      <c r="O287" s="403"/>
      <c r="P287" s="403"/>
      <c r="Q287" s="403"/>
      <c r="R287" s="403"/>
      <c r="S287" s="403">
        <v>285</v>
      </c>
      <c r="T287" s="403">
        <v>150</v>
      </c>
      <c r="U287" s="403"/>
      <c r="V287" s="403"/>
      <c r="W287" s="403"/>
      <c r="X287" s="403"/>
      <c r="Y287" s="139"/>
    </row>
    <row r="288" spans="12:25" x14ac:dyDescent="0.35">
      <c r="L288" s="403"/>
      <c r="M288" s="403"/>
      <c r="N288" s="403"/>
      <c r="O288" s="403"/>
      <c r="P288" s="403"/>
      <c r="Q288" s="403"/>
      <c r="R288" s="403"/>
      <c r="S288" s="403">
        <v>286</v>
      </c>
      <c r="T288" s="403">
        <v>150</v>
      </c>
      <c r="U288" s="403"/>
      <c r="V288" s="403"/>
      <c r="W288" s="403"/>
      <c r="X288" s="403"/>
      <c r="Y288" s="139"/>
    </row>
    <row r="289" spans="12:25" x14ac:dyDescent="0.35">
      <c r="L289" s="403"/>
      <c r="M289" s="403"/>
      <c r="N289" s="403"/>
      <c r="O289" s="403"/>
      <c r="P289" s="403"/>
      <c r="Q289" s="403"/>
      <c r="R289" s="403"/>
      <c r="S289" s="403">
        <v>287</v>
      </c>
      <c r="T289" s="403">
        <v>150</v>
      </c>
      <c r="U289" s="403"/>
      <c r="V289" s="403"/>
      <c r="W289" s="403"/>
      <c r="X289" s="403"/>
      <c r="Y289" s="139"/>
    </row>
    <row r="290" spans="12:25" x14ac:dyDescent="0.35">
      <c r="L290" s="403"/>
      <c r="M290" s="403"/>
      <c r="N290" s="403"/>
      <c r="O290" s="403"/>
      <c r="P290" s="403"/>
      <c r="Q290" s="403"/>
      <c r="R290" s="403"/>
      <c r="S290" s="403">
        <v>288</v>
      </c>
      <c r="T290" s="403">
        <v>150</v>
      </c>
      <c r="U290" s="403"/>
      <c r="V290" s="403"/>
      <c r="W290" s="403"/>
      <c r="X290" s="403"/>
      <c r="Y290" s="139"/>
    </row>
    <row r="291" spans="12:25" x14ac:dyDescent="0.35">
      <c r="L291" s="403"/>
      <c r="M291" s="403"/>
      <c r="N291" s="403"/>
      <c r="O291" s="403"/>
      <c r="P291" s="403"/>
      <c r="Q291" s="403"/>
      <c r="R291" s="403"/>
      <c r="S291" s="403">
        <v>289</v>
      </c>
      <c r="T291" s="403">
        <v>150</v>
      </c>
      <c r="U291" s="403"/>
      <c r="V291" s="403"/>
      <c r="W291" s="403"/>
      <c r="X291" s="403"/>
      <c r="Y291" s="139"/>
    </row>
    <row r="292" spans="12:25" x14ac:dyDescent="0.35">
      <c r="L292" s="403"/>
      <c r="M292" s="403"/>
      <c r="N292" s="403"/>
      <c r="O292" s="403"/>
      <c r="P292" s="403"/>
      <c r="Q292" s="403"/>
      <c r="R292" s="403"/>
      <c r="S292" s="403">
        <v>290</v>
      </c>
      <c r="T292" s="403">
        <v>150</v>
      </c>
      <c r="U292" s="403"/>
      <c r="V292" s="403"/>
      <c r="W292" s="403"/>
      <c r="X292" s="403"/>
      <c r="Y292" s="139"/>
    </row>
    <row r="293" spans="12:25" x14ac:dyDescent="0.35">
      <c r="L293" s="403"/>
      <c r="M293" s="403"/>
      <c r="N293" s="403"/>
      <c r="O293" s="403"/>
      <c r="P293" s="403"/>
      <c r="Q293" s="403"/>
      <c r="R293" s="403"/>
      <c r="S293" s="403">
        <v>291</v>
      </c>
      <c r="T293" s="403">
        <v>150</v>
      </c>
      <c r="U293" s="403"/>
      <c r="V293" s="403"/>
      <c r="W293" s="403"/>
      <c r="X293" s="403"/>
      <c r="Y293" s="139"/>
    </row>
    <row r="294" spans="12:25" x14ac:dyDescent="0.35">
      <c r="L294" s="403"/>
      <c r="M294" s="403"/>
      <c r="N294" s="403"/>
      <c r="O294" s="403"/>
      <c r="P294" s="403"/>
      <c r="Q294" s="403"/>
      <c r="R294" s="403"/>
      <c r="S294" s="403">
        <v>292</v>
      </c>
      <c r="T294" s="403">
        <v>150</v>
      </c>
      <c r="U294" s="403"/>
      <c r="V294" s="403"/>
      <c r="W294" s="403"/>
      <c r="X294" s="403"/>
      <c r="Y294" s="139"/>
    </row>
    <row r="295" spans="12:25" x14ac:dyDescent="0.35">
      <c r="L295" s="403"/>
      <c r="M295" s="403"/>
      <c r="N295" s="403"/>
      <c r="O295" s="403"/>
      <c r="P295" s="403"/>
      <c r="Q295" s="403"/>
      <c r="R295" s="403"/>
      <c r="S295" s="403">
        <v>293</v>
      </c>
      <c r="T295" s="403">
        <v>150</v>
      </c>
      <c r="U295" s="403"/>
      <c r="V295" s="403"/>
      <c r="W295" s="403"/>
      <c r="X295" s="403"/>
      <c r="Y295" s="139"/>
    </row>
    <row r="296" spans="12:25" x14ac:dyDescent="0.35">
      <c r="L296" s="403"/>
      <c r="M296" s="403"/>
      <c r="N296" s="403"/>
      <c r="O296" s="403"/>
      <c r="P296" s="403"/>
      <c r="Q296" s="403"/>
      <c r="R296" s="403"/>
      <c r="S296" s="403">
        <v>294</v>
      </c>
      <c r="T296" s="403">
        <v>150</v>
      </c>
      <c r="U296" s="403"/>
      <c r="V296" s="403"/>
      <c r="W296" s="403"/>
      <c r="X296" s="403"/>
      <c r="Y296" s="139"/>
    </row>
    <row r="297" spans="12:25" x14ac:dyDescent="0.35">
      <c r="L297" s="403"/>
      <c r="M297" s="403"/>
      <c r="N297" s="403"/>
      <c r="O297" s="403"/>
      <c r="P297" s="403"/>
      <c r="Q297" s="403"/>
      <c r="R297" s="403"/>
      <c r="S297" s="403">
        <v>295</v>
      </c>
      <c r="T297" s="403">
        <v>150</v>
      </c>
      <c r="U297" s="403"/>
      <c r="V297" s="403"/>
      <c r="W297" s="403"/>
      <c r="X297" s="403"/>
      <c r="Y297" s="139"/>
    </row>
    <row r="298" spans="12:25" x14ac:dyDescent="0.35">
      <c r="L298" s="403"/>
      <c r="M298" s="403"/>
      <c r="N298" s="403"/>
      <c r="O298" s="403"/>
      <c r="P298" s="403"/>
      <c r="Q298" s="403"/>
      <c r="R298" s="403"/>
      <c r="S298" s="403">
        <v>296</v>
      </c>
      <c r="T298" s="403">
        <v>150</v>
      </c>
      <c r="U298" s="403"/>
      <c r="V298" s="403"/>
      <c r="W298" s="403"/>
      <c r="X298" s="403"/>
      <c r="Y298" s="139"/>
    </row>
    <row r="299" spans="12:25" x14ac:dyDescent="0.35">
      <c r="L299" s="403"/>
      <c r="M299" s="403"/>
      <c r="N299" s="403"/>
      <c r="O299" s="403"/>
      <c r="P299" s="403"/>
      <c r="Q299" s="403"/>
      <c r="R299" s="403"/>
      <c r="S299" s="403">
        <v>297</v>
      </c>
      <c r="T299" s="403">
        <v>150</v>
      </c>
      <c r="U299" s="403"/>
      <c r="V299" s="403"/>
      <c r="W299" s="403"/>
      <c r="X299" s="403"/>
      <c r="Y299" s="139"/>
    </row>
    <row r="300" spans="12:25" x14ac:dyDescent="0.35">
      <c r="L300" s="403"/>
      <c r="M300" s="403"/>
      <c r="N300" s="403"/>
      <c r="O300" s="403"/>
      <c r="P300" s="403"/>
      <c r="Q300" s="403"/>
      <c r="R300" s="403"/>
      <c r="S300" s="403">
        <v>298</v>
      </c>
      <c r="T300" s="403">
        <v>150</v>
      </c>
      <c r="U300" s="403"/>
      <c r="V300" s="403"/>
      <c r="W300" s="403"/>
      <c r="X300" s="403"/>
      <c r="Y300" s="139"/>
    </row>
    <row r="301" spans="12:25" x14ac:dyDescent="0.35">
      <c r="L301" s="403"/>
      <c r="M301" s="403"/>
      <c r="N301" s="403"/>
      <c r="O301" s="403"/>
      <c r="P301" s="403"/>
      <c r="Q301" s="403"/>
      <c r="R301" s="403"/>
      <c r="S301" s="403">
        <v>299</v>
      </c>
      <c r="T301" s="403">
        <v>150</v>
      </c>
      <c r="U301" s="403"/>
      <c r="V301" s="403"/>
      <c r="W301" s="403"/>
      <c r="X301" s="403"/>
      <c r="Y301" s="139"/>
    </row>
    <row r="302" spans="12:25" x14ac:dyDescent="0.35">
      <c r="L302" s="403"/>
      <c r="M302" s="403"/>
      <c r="N302" s="403"/>
      <c r="O302" s="403"/>
      <c r="P302" s="403"/>
      <c r="Q302" s="403"/>
      <c r="R302" s="403"/>
      <c r="S302" s="403">
        <v>300</v>
      </c>
      <c r="T302" s="403">
        <v>150</v>
      </c>
      <c r="U302" s="403">
        <v>300</v>
      </c>
      <c r="V302" s="403"/>
      <c r="W302" s="403"/>
      <c r="X302" s="403"/>
      <c r="Y302" s="139"/>
    </row>
    <row r="303" spans="12:25" x14ac:dyDescent="0.35">
      <c r="L303" s="403"/>
      <c r="M303" s="403"/>
      <c r="N303" s="403"/>
      <c r="O303" s="403"/>
      <c r="P303" s="403"/>
      <c r="Q303" s="403"/>
      <c r="R303" s="403"/>
      <c r="S303" s="403">
        <v>301</v>
      </c>
      <c r="T303" s="403">
        <v>150</v>
      </c>
      <c r="U303" s="403"/>
      <c r="V303" s="403"/>
      <c r="W303" s="403"/>
      <c r="X303" s="403"/>
      <c r="Y303" s="139"/>
    </row>
    <row r="304" spans="12:25" x14ac:dyDescent="0.35">
      <c r="L304" s="403"/>
      <c r="M304" s="403"/>
      <c r="N304" s="403"/>
      <c r="O304" s="403"/>
      <c r="P304" s="403"/>
      <c r="Q304" s="403"/>
      <c r="R304" s="403"/>
      <c r="S304" s="403">
        <v>302</v>
      </c>
      <c r="T304" s="403">
        <v>150</v>
      </c>
      <c r="U304" s="403"/>
      <c r="V304" s="403"/>
      <c r="W304" s="403"/>
      <c r="X304" s="403"/>
      <c r="Y304" s="139"/>
    </row>
    <row r="305" spans="12:25" x14ac:dyDescent="0.35">
      <c r="L305" s="403"/>
      <c r="M305" s="403"/>
      <c r="N305" s="403"/>
      <c r="O305" s="403"/>
      <c r="P305" s="403"/>
      <c r="Q305" s="403"/>
      <c r="R305" s="403"/>
      <c r="S305" s="403">
        <v>303</v>
      </c>
      <c r="T305" s="403">
        <v>150</v>
      </c>
      <c r="U305" s="403"/>
      <c r="V305" s="403"/>
      <c r="W305" s="403"/>
      <c r="X305" s="403"/>
      <c r="Y305" s="139"/>
    </row>
    <row r="306" spans="12:25" x14ac:dyDescent="0.35">
      <c r="L306" s="403"/>
      <c r="M306" s="403"/>
      <c r="N306" s="403"/>
      <c r="O306" s="403"/>
      <c r="P306" s="403"/>
      <c r="Q306" s="403"/>
      <c r="R306" s="403"/>
      <c r="S306" s="403">
        <v>304</v>
      </c>
      <c r="T306" s="403">
        <v>150</v>
      </c>
      <c r="U306" s="403"/>
      <c r="V306" s="403"/>
      <c r="W306" s="403"/>
      <c r="X306" s="403"/>
      <c r="Y306" s="139"/>
    </row>
    <row r="307" spans="12:25" x14ac:dyDescent="0.35">
      <c r="L307" s="403"/>
      <c r="M307" s="403"/>
      <c r="N307" s="403"/>
      <c r="O307" s="403"/>
      <c r="P307" s="403"/>
      <c r="Q307" s="403"/>
      <c r="R307" s="403"/>
      <c r="S307" s="403">
        <v>305</v>
      </c>
      <c r="T307" s="403">
        <v>150</v>
      </c>
      <c r="U307" s="403"/>
      <c r="V307" s="403"/>
      <c r="W307" s="403"/>
      <c r="X307" s="403"/>
      <c r="Y307" s="139"/>
    </row>
    <row r="308" spans="12:25" x14ac:dyDescent="0.35">
      <c r="L308" s="403"/>
      <c r="M308" s="403"/>
      <c r="N308" s="403"/>
      <c r="O308" s="403"/>
      <c r="P308" s="403"/>
      <c r="Q308" s="403"/>
      <c r="R308" s="403"/>
      <c r="S308" s="403">
        <v>306</v>
      </c>
      <c r="T308" s="403">
        <v>150</v>
      </c>
      <c r="U308" s="403"/>
      <c r="V308" s="403"/>
      <c r="W308" s="403"/>
      <c r="X308" s="403"/>
      <c r="Y308" s="139"/>
    </row>
    <row r="309" spans="12:25" x14ac:dyDescent="0.35">
      <c r="L309" s="403"/>
      <c r="M309" s="403"/>
      <c r="N309" s="403"/>
      <c r="O309" s="403"/>
      <c r="P309" s="403"/>
      <c r="Q309" s="403"/>
      <c r="R309" s="403"/>
      <c r="S309" s="403">
        <v>307</v>
      </c>
      <c r="T309" s="403">
        <v>150</v>
      </c>
      <c r="U309" s="403"/>
      <c r="V309" s="403"/>
      <c r="W309" s="403"/>
      <c r="X309" s="403"/>
      <c r="Y309" s="139"/>
    </row>
    <row r="310" spans="12:25" x14ac:dyDescent="0.35">
      <c r="L310" s="403"/>
      <c r="M310" s="403"/>
      <c r="N310" s="403"/>
      <c r="O310" s="403"/>
      <c r="P310" s="403"/>
      <c r="Q310" s="403"/>
      <c r="R310" s="403"/>
      <c r="S310" s="403">
        <v>308</v>
      </c>
      <c r="T310" s="403">
        <v>150</v>
      </c>
      <c r="U310" s="403"/>
      <c r="V310" s="403"/>
      <c r="W310" s="403"/>
      <c r="X310" s="403"/>
      <c r="Y310" s="139"/>
    </row>
    <row r="311" spans="12:25" x14ac:dyDescent="0.35">
      <c r="L311" s="403"/>
      <c r="M311" s="403"/>
      <c r="N311" s="403"/>
      <c r="O311" s="403"/>
      <c r="P311" s="403"/>
      <c r="Q311" s="403"/>
      <c r="R311" s="403"/>
      <c r="S311" s="403">
        <v>309</v>
      </c>
      <c r="T311" s="403">
        <v>150</v>
      </c>
      <c r="U311" s="403"/>
      <c r="V311" s="403"/>
      <c r="W311" s="403"/>
      <c r="X311" s="403"/>
      <c r="Y311" s="139"/>
    </row>
    <row r="312" spans="12:25" x14ac:dyDescent="0.35">
      <c r="L312" s="403"/>
      <c r="M312" s="403"/>
      <c r="N312" s="403"/>
      <c r="O312" s="403"/>
      <c r="P312" s="403"/>
      <c r="Q312" s="403"/>
      <c r="R312" s="403"/>
      <c r="S312" s="403">
        <v>310</v>
      </c>
      <c r="T312" s="403">
        <v>150</v>
      </c>
      <c r="U312" s="403"/>
      <c r="V312" s="403"/>
      <c r="W312" s="403"/>
      <c r="X312" s="403"/>
      <c r="Y312" s="139"/>
    </row>
    <row r="313" spans="12:25" x14ac:dyDescent="0.35">
      <c r="L313" s="403"/>
      <c r="M313" s="403"/>
      <c r="N313" s="403"/>
      <c r="O313" s="403"/>
      <c r="P313" s="403"/>
      <c r="Q313" s="403"/>
      <c r="R313" s="403"/>
      <c r="S313" s="403">
        <v>311</v>
      </c>
      <c r="T313" s="403">
        <v>150</v>
      </c>
      <c r="U313" s="403"/>
      <c r="V313" s="403"/>
      <c r="W313" s="403"/>
      <c r="X313" s="403"/>
      <c r="Y313" s="139"/>
    </row>
    <row r="314" spans="12:25" x14ac:dyDescent="0.35">
      <c r="L314" s="403"/>
      <c r="M314" s="403"/>
      <c r="N314" s="403"/>
      <c r="O314" s="403"/>
      <c r="P314" s="403"/>
      <c r="Q314" s="403"/>
      <c r="R314" s="403"/>
      <c r="S314" s="403">
        <v>312</v>
      </c>
      <c r="T314" s="403">
        <v>150</v>
      </c>
      <c r="U314" s="403"/>
      <c r="V314" s="403"/>
      <c r="W314" s="403"/>
      <c r="X314" s="403"/>
      <c r="Y314" s="139"/>
    </row>
    <row r="315" spans="12:25" x14ac:dyDescent="0.35">
      <c r="L315" s="403"/>
      <c r="M315" s="403"/>
      <c r="N315" s="403"/>
      <c r="O315" s="403"/>
      <c r="P315" s="403"/>
      <c r="Q315" s="403"/>
      <c r="R315" s="403"/>
      <c r="S315" s="403">
        <v>313</v>
      </c>
      <c r="T315" s="403">
        <v>150</v>
      </c>
      <c r="U315" s="403"/>
      <c r="V315" s="403"/>
      <c r="W315" s="403"/>
      <c r="X315" s="403"/>
      <c r="Y315" s="139"/>
    </row>
    <row r="316" spans="12:25" x14ac:dyDescent="0.35">
      <c r="L316" s="403"/>
      <c r="M316" s="403"/>
      <c r="N316" s="403"/>
      <c r="O316" s="403"/>
      <c r="P316" s="403"/>
      <c r="Q316" s="403"/>
      <c r="R316" s="403"/>
      <c r="S316" s="403">
        <v>314</v>
      </c>
      <c r="T316" s="403">
        <v>150</v>
      </c>
      <c r="U316" s="403"/>
      <c r="V316" s="403"/>
      <c r="W316" s="403"/>
      <c r="X316" s="403"/>
      <c r="Y316" s="139"/>
    </row>
    <row r="317" spans="12:25" x14ac:dyDescent="0.35">
      <c r="L317" s="403"/>
      <c r="M317" s="403"/>
      <c r="N317" s="403"/>
      <c r="O317" s="403"/>
      <c r="P317" s="403"/>
      <c r="Q317" s="403"/>
      <c r="R317" s="403"/>
      <c r="S317" s="403">
        <v>315</v>
      </c>
      <c r="T317" s="403">
        <v>150</v>
      </c>
      <c r="U317" s="403"/>
      <c r="V317" s="403"/>
      <c r="W317" s="403"/>
      <c r="X317" s="403"/>
      <c r="Y317" s="139"/>
    </row>
    <row r="318" spans="12:25" x14ac:dyDescent="0.35">
      <c r="L318" s="403"/>
      <c r="M318" s="403"/>
      <c r="N318" s="403"/>
      <c r="O318" s="403"/>
      <c r="P318" s="403"/>
      <c r="Q318" s="403"/>
      <c r="R318" s="403"/>
      <c r="S318" s="403">
        <v>316</v>
      </c>
      <c r="T318" s="403">
        <v>150</v>
      </c>
      <c r="U318" s="403"/>
      <c r="V318" s="403"/>
      <c r="W318" s="403"/>
      <c r="X318" s="403"/>
      <c r="Y318" s="139"/>
    </row>
    <row r="319" spans="12:25" x14ac:dyDescent="0.35">
      <c r="L319" s="403"/>
      <c r="M319" s="403"/>
      <c r="N319" s="403"/>
      <c r="O319" s="403"/>
      <c r="P319" s="403"/>
      <c r="Q319" s="403"/>
      <c r="R319" s="403"/>
      <c r="S319" s="403">
        <v>317</v>
      </c>
      <c r="T319" s="403">
        <v>150</v>
      </c>
      <c r="U319" s="403"/>
      <c r="V319" s="403"/>
      <c r="W319" s="403"/>
      <c r="X319" s="403"/>
      <c r="Y319" s="139"/>
    </row>
    <row r="320" spans="12:25" x14ac:dyDescent="0.35">
      <c r="L320" s="403"/>
      <c r="M320" s="403"/>
      <c r="N320" s="403"/>
      <c r="O320" s="403"/>
      <c r="P320" s="403"/>
      <c r="Q320" s="403"/>
      <c r="R320" s="403"/>
      <c r="S320" s="403">
        <v>318</v>
      </c>
      <c r="T320" s="403">
        <v>150</v>
      </c>
      <c r="U320" s="403"/>
      <c r="V320" s="403"/>
      <c r="W320" s="403"/>
      <c r="X320" s="403"/>
      <c r="Y320" s="139"/>
    </row>
    <row r="321" spans="12:25" x14ac:dyDescent="0.35">
      <c r="L321" s="403"/>
      <c r="M321" s="403"/>
      <c r="N321" s="403"/>
      <c r="O321" s="403"/>
      <c r="P321" s="403"/>
      <c r="Q321" s="403"/>
      <c r="R321" s="403"/>
      <c r="S321" s="403">
        <v>319</v>
      </c>
      <c r="T321" s="403">
        <v>150</v>
      </c>
      <c r="U321" s="403"/>
      <c r="V321" s="403"/>
      <c r="W321" s="403"/>
      <c r="X321" s="403"/>
      <c r="Y321" s="139"/>
    </row>
    <row r="322" spans="12:25" x14ac:dyDescent="0.35">
      <c r="L322" s="403"/>
      <c r="M322" s="403"/>
      <c r="N322" s="403"/>
      <c r="O322" s="403"/>
      <c r="P322" s="403"/>
      <c r="Q322" s="403"/>
      <c r="R322" s="403"/>
      <c r="S322" s="403">
        <v>320</v>
      </c>
      <c r="T322" s="403">
        <v>150</v>
      </c>
      <c r="U322" s="403"/>
      <c r="V322" s="403"/>
      <c r="W322" s="403"/>
      <c r="X322" s="403"/>
      <c r="Y322" s="139"/>
    </row>
    <row r="323" spans="12:25" x14ac:dyDescent="0.35">
      <c r="L323" s="403"/>
      <c r="M323" s="403"/>
      <c r="N323" s="403"/>
      <c r="O323" s="403"/>
      <c r="P323" s="403"/>
      <c r="Q323" s="403"/>
      <c r="R323" s="403"/>
      <c r="S323" s="403">
        <v>321</v>
      </c>
      <c r="T323" s="403">
        <v>150</v>
      </c>
      <c r="U323" s="403"/>
      <c r="V323" s="403"/>
      <c r="W323" s="403"/>
      <c r="X323" s="403"/>
      <c r="Y323" s="139"/>
    </row>
    <row r="324" spans="12:25" x14ac:dyDescent="0.35">
      <c r="L324" s="403"/>
      <c r="M324" s="403"/>
      <c r="N324" s="403"/>
      <c r="O324" s="403"/>
      <c r="P324" s="403"/>
      <c r="Q324" s="403"/>
      <c r="R324" s="403"/>
      <c r="S324" s="403">
        <v>322</v>
      </c>
      <c r="T324" s="403">
        <v>150</v>
      </c>
      <c r="U324" s="403"/>
      <c r="V324" s="403"/>
      <c r="W324" s="403"/>
      <c r="X324" s="403"/>
      <c r="Y324" s="139"/>
    </row>
    <row r="325" spans="12:25" x14ac:dyDescent="0.35">
      <c r="L325" s="403"/>
      <c r="M325" s="403"/>
      <c r="N325" s="403"/>
      <c r="O325" s="403"/>
      <c r="P325" s="403"/>
      <c r="Q325" s="403"/>
      <c r="R325" s="403"/>
      <c r="S325" s="403">
        <v>323</v>
      </c>
      <c r="T325" s="403">
        <v>150</v>
      </c>
      <c r="U325" s="403"/>
      <c r="V325" s="403"/>
      <c r="W325" s="403"/>
      <c r="X325" s="403"/>
      <c r="Y325" s="139"/>
    </row>
    <row r="326" spans="12:25" x14ac:dyDescent="0.35">
      <c r="L326" s="403"/>
      <c r="M326" s="403"/>
      <c r="N326" s="403"/>
      <c r="O326" s="403"/>
      <c r="P326" s="403"/>
      <c r="Q326" s="403"/>
      <c r="R326" s="403"/>
      <c r="S326" s="403">
        <v>324</v>
      </c>
      <c r="T326" s="403">
        <v>150</v>
      </c>
      <c r="U326" s="403"/>
      <c r="V326" s="403"/>
      <c r="W326" s="403"/>
      <c r="X326" s="403"/>
      <c r="Y326" s="139"/>
    </row>
    <row r="327" spans="12:25" x14ac:dyDescent="0.35">
      <c r="L327" s="403"/>
      <c r="M327" s="403"/>
      <c r="N327" s="403"/>
      <c r="O327" s="403"/>
      <c r="P327" s="403"/>
      <c r="Q327" s="403"/>
      <c r="R327" s="403"/>
      <c r="S327" s="403">
        <v>325</v>
      </c>
      <c r="T327" s="403">
        <v>150</v>
      </c>
      <c r="U327" s="403"/>
      <c r="V327" s="403"/>
      <c r="W327" s="403"/>
      <c r="X327" s="403"/>
      <c r="Y327" s="139"/>
    </row>
    <row r="328" spans="12:25" x14ac:dyDescent="0.35">
      <c r="L328" s="403"/>
      <c r="M328" s="403"/>
      <c r="N328" s="403"/>
      <c r="O328" s="403"/>
      <c r="P328" s="403"/>
      <c r="Q328" s="403"/>
      <c r="R328" s="403"/>
      <c r="S328" s="403">
        <v>326</v>
      </c>
      <c r="T328" s="403">
        <v>150</v>
      </c>
      <c r="U328" s="403"/>
      <c r="V328" s="403"/>
      <c r="W328" s="403"/>
      <c r="X328" s="403"/>
      <c r="Y328" s="139"/>
    </row>
    <row r="329" spans="12:25" x14ac:dyDescent="0.35">
      <c r="L329" s="403"/>
      <c r="M329" s="403"/>
      <c r="N329" s="403"/>
      <c r="O329" s="403"/>
      <c r="P329" s="403"/>
      <c r="Q329" s="403"/>
      <c r="R329" s="403"/>
      <c r="S329" s="403">
        <v>327</v>
      </c>
      <c r="T329" s="403">
        <v>150</v>
      </c>
      <c r="U329" s="403"/>
      <c r="V329" s="403"/>
      <c r="W329" s="403"/>
      <c r="X329" s="403"/>
      <c r="Y329" s="139"/>
    </row>
    <row r="330" spans="12:25" x14ac:dyDescent="0.35">
      <c r="L330" s="403"/>
      <c r="M330" s="403"/>
      <c r="N330" s="403"/>
      <c r="O330" s="403"/>
      <c r="P330" s="403"/>
      <c r="Q330" s="403"/>
      <c r="R330" s="403"/>
      <c r="S330" s="403">
        <v>328</v>
      </c>
      <c r="T330" s="403">
        <v>150</v>
      </c>
      <c r="U330" s="403"/>
      <c r="V330" s="403"/>
      <c r="W330" s="403"/>
      <c r="X330" s="403"/>
      <c r="Y330" s="139"/>
    </row>
    <row r="331" spans="12:25" x14ac:dyDescent="0.35">
      <c r="L331" s="403"/>
      <c r="M331" s="403"/>
      <c r="N331" s="403"/>
      <c r="O331" s="403"/>
      <c r="P331" s="403"/>
      <c r="Q331" s="403"/>
      <c r="R331" s="403"/>
      <c r="S331" s="403">
        <v>329</v>
      </c>
      <c r="T331" s="403">
        <v>150</v>
      </c>
      <c r="U331" s="403"/>
      <c r="V331" s="403"/>
      <c r="W331" s="403"/>
      <c r="X331" s="403"/>
      <c r="Y331" s="139"/>
    </row>
    <row r="332" spans="12:25" x14ac:dyDescent="0.35">
      <c r="L332" s="403"/>
      <c r="M332" s="403"/>
      <c r="N332" s="403"/>
      <c r="O332" s="403"/>
      <c r="P332" s="403"/>
      <c r="Q332" s="403"/>
      <c r="R332" s="403"/>
      <c r="S332" s="403">
        <v>330</v>
      </c>
      <c r="T332" s="403">
        <v>150</v>
      </c>
      <c r="U332" s="403"/>
      <c r="V332" s="403"/>
      <c r="W332" s="403"/>
      <c r="X332" s="403"/>
      <c r="Y332" s="139"/>
    </row>
    <row r="333" spans="12:25" x14ac:dyDescent="0.35">
      <c r="L333" s="403"/>
      <c r="M333" s="403"/>
      <c r="N333" s="403"/>
      <c r="O333" s="403"/>
      <c r="P333" s="403"/>
      <c r="Q333" s="403"/>
      <c r="R333" s="403"/>
      <c r="S333" s="403">
        <v>331</v>
      </c>
      <c r="T333" s="403">
        <v>150</v>
      </c>
      <c r="U333" s="403"/>
      <c r="V333" s="403"/>
      <c r="W333" s="403"/>
      <c r="X333" s="403"/>
      <c r="Y333" s="139"/>
    </row>
    <row r="334" spans="12:25" x14ac:dyDescent="0.35">
      <c r="L334" s="403"/>
      <c r="M334" s="403"/>
      <c r="N334" s="403"/>
      <c r="O334" s="403"/>
      <c r="P334" s="403"/>
      <c r="Q334" s="403"/>
      <c r="R334" s="403"/>
      <c r="S334" s="403">
        <v>332</v>
      </c>
      <c r="T334" s="403">
        <v>150</v>
      </c>
      <c r="U334" s="403"/>
      <c r="V334" s="403"/>
      <c r="W334" s="403"/>
      <c r="X334" s="403"/>
      <c r="Y334" s="139"/>
    </row>
    <row r="335" spans="12:25" x14ac:dyDescent="0.35">
      <c r="L335" s="403"/>
      <c r="M335" s="403"/>
      <c r="N335" s="403"/>
      <c r="O335" s="403"/>
      <c r="P335" s="403"/>
      <c r="Q335" s="403"/>
      <c r="R335" s="403"/>
      <c r="S335" s="403">
        <v>333</v>
      </c>
      <c r="T335" s="403">
        <v>150</v>
      </c>
      <c r="U335" s="403"/>
      <c r="V335" s="403"/>
      <c r="W335" s="403"/>
      <c r="X335" s="403"/>
      <c r="Y335" s="139"/>
    </row>
    <row r="336" spans="12:25" x14ac:dyDescent="0.35">
      <c r="L336" s="403"/>
      <c r="M336" s="403"/>
      <c r="N336" s="403"/>
      <c r="O336" s="403"/>
      <c r="P336" s="403"/>
      <c r="Q336" s="403"/>
      <c r="R336" s="403"/>
      <c r="S336" s="403">
        <v>334</v>
      </c>
      <c r="T336" s="403">
        <v>150</v>
      </c>
      <c r="U336" s="403"/>
      <c r="V336" s="403"/>
      <c r="W336" s="403"/>
      <c r="X336" s="403"/>
      <c r="Y336" s="139"/>
    </row>
    <row r="337" spans="12:25" x14ac:dyDescent="0.35">
      <c r="L337" s="403"/>
      <c r="M337" s="403"/>
      <c r="N337" s="403"/>
      <c r="O337" s="403"/>
      <c r="P337" s="403"/>
      <c r="Q337" s="403"/>
      <c r="R337" s="403"/>
      <c r="S337" s="403">
        <v>335</v>
      </c>
      <c r="T337" s="403">
        <v>150</v>
      </c>
      <c r="U337" s="403"/>
      <c r="V337" s="403"/>
      <c r="W337" s="403"/>
      <c r="X337" s="403"/>
      <c r="Y337" s="139"/>
    </row>
    <row r="338" spans="12:25" x14ac:dyDescent="0.35">
      <c r="L338" s="403"/>
      <c r="M338" s="403"/>
      <c r="N338" s="403"/>
      <c r="O338" s="403"/>
      <c r="P338" s="403"/>
      <c r="Q338" s="403"/>
      <c r="R338" s="403"/>
      <c r="S338" s="403">
        <v>336</v>
      </c>
      <c r="T338" s="403">
        <v>150</v>
      </c>
      <c r="U338" s="403"/>
      <c r="V338" s="403"/>
      <c r="W338" s="403"/>
      <c r="X338" s="403"/>
      <c r="Y338" s="139"/>
    </row>
    <row r="339" spans="12:25" x14ac:dyDescent="0.35">
      <c r="L339" s="403"/>
      <c r="M339" s="403"/>
      <c r="N339" s="403"/>
      <c r="O339" s="403"/>
      <c r="P339" s="403"/>
      <c r="Q339" s="403"/>
      <c r="R339" s="403"/>
      <c r="S339" s="403">
        <v>337</v>
      </c>
      <c r="T339" s="403">
        <v>150</v>
      </c>
      <c r="U339" s="403"/>
      <c r="V339" s="403"/>
      <c r="W339" s="403"/>
      <c r="X339" s="403"/>
      <c r="Y339" s="139"/>
    </row>
    <row r="340" spans="12:25" x14ac:dyDescent="0.35">
      <c r="L340" s="403"/>
      <c r="M340" s="403"/>
      <c r="N340" s="403"/>
      <c r="O340" s="403"/>
      <c r="P340" s="403"/>
      <c r="Q340" s="403"/>
      <c r="R340" s="403"/>
      <c r="S340" s="403">
        <v>338</v>
      </c>
      <c r="T340" s="403">
        <v>150</v>
      </c>
      <c r="U340" s="403"/>
      <c r="V340" s="403"/>
      <c r="W340" s="403"/>
      <c r="X340" s="403"/>
      <c r="Y340" s="139"/>
    </row>
    <row r="341" spans="12:25" x14ac:dyDescent="0.35">
      <c r="L341" s="403"/>
      <c r="M341" s="403"/>
      <c r="N341" s="403"/>
      <c r="O341" s="403"/>
      <c r="P341" s="403"/>
      <c r="Q341" s="403"/>
      <c r="R341" s="403"/>
      <c r="S341" s="403">
        <v>339</v>
      </c>
      <c r="T341" s="403">
        <v>150</v>
      </c>
      <c r="U341" s="403"/>
      <c r="V341" s="403"/>
      <c r="W341" s="403"/>
      <c r="X341" s="403"/>
      <c r="Y341" s="139"/>
    </row>
    <row r="342" spans="12:25" x14ac:dyDescent="0.35">
      <c r="L342" s="403"/>
      <c r="M342" s="403"/>
      <c r="N342" s="403"/>
      <c r="O342" s="403"/>
      <c r="P342" s="403"/>
      <c r="Q342" s="403"/>
      <c r="R342" s="403"/>
      <c r="S342" s="403">
        <v>340</v>
      </c>
      <c r="T342" s="403">
        <v>150</v>
      </c>
      <c r="U342" s="403"/>
      <c r="V342" s="403"/>
      <c r="W342" s="403"/>
      <c r="X342" s="403"/>
      <c r="Y342" s="139"/>
    </row>
    <row r="343" spans="12:25" x14ac:dyDescent="0.35">
      <c r="L343" s="403"/>
      <c r="M343" s="403"/>
      <c r="N343" s="403"/>
      <c r="O343" s="403"/>
      <c r="P343" s="403"/>
      <c r="Q343" s="403"/>
      <c r="R343" s="403"/>
      <c r="S343" s="403">
        <v>341</v>
      </c>
      <c r="T343" s="403">
        <v>150</v>
      </c>
      <c r="U343" s="403"/>
      <c r="V343" s="403"/>
      <c r="W343" s="403"/>
      <c r="X343" s="403"/>
      <c r="Y343" s="139"/>
    </row>
    <row r="344" spans="12:25" x14ac:dyDescent="0.35">
      <c r="L344" s="403"/>
      <c r="M344" s="403"/>
      <c r="N344" s="403"/>
      <c r="O344" s="403"/>
      <c r="P344" s="403"/>
      <c r="Q344" s="403"/>
      <c r="R344" s="403"/>
      <c r="S344" s="403">
        <v>342</v>
      </c>
      <c r="T344" s="403">
        <v>150</v>
      </c>
      <c r="U344" s="403"/>
      <c r="V344" s="403"/>
      <c r="W344" s="403"/>
      <c r="X344" s="403"/>
      <c r="Y344" s="139"/>
    </row>
    <row r="345" spans="12:25" x14ac:dyDescent="0.35">
      <c r="L345" s="403"/>
      <c r="M345" s="403"/>
      <c r="N345" s="403"/>
      <c r="O345" s="403"/>
      <c r="P345" s="403"/>
      <c r="Q345" s="403"/>
      <c r="R345" s="403"/>
      <c r="S345" s="403">
        <v>343</v>
      </c>
      <c r="T345" s="403">
        <v>150</v>
      </c>
      <c r="U345" s="403"/>
      <c r="V345" s="403"/>
      <c r="W345" s="403"/>
      <c r="X345" s="403"/>
      <c r="Y345" s="139"/>
    </row>
    <row r="346" spans="12:25" x14ac:dyDescent="0.35">
      <c r="L346" s="403"/>
      <c r="M346" s="403"/>
      <c r="N346" s="403"/>
      <c r="O346" s="403"/>
      <c r="P346" s="403"/>
      <c r="Q346" s="403"/>
      <c r="R346" s="403"/>
      <c r="S346" s="403">
        <v>344</v>
      </c>
      <c r="T346" s="403">
        <v>150</v>
      </c>
      <c r="U346" s="403"/>
      <c r="V346" s="403"/>
      <c r="W346" s="403"/>
      <c r="X346" s="403"/>
      <c r="Y346" s="139"/>
    </row>
    <row r="347" spans="12:25" x14ac:dyDescent="0.35">
      <c r="L347" s="403"/>
      <c r="M347" s="403"/>
      <c r="N347" s="403"/>
      <c r="O347" s="403"/>
      <c r="P347" s="403"/>
      <c r="Q347" s="403"/>
      <c r="R347" s="403"/>
      <c r="S347" s="403">
        <v>345</v>
      </c>
      <c r="T347" s="403">
        <v>150</v>
      </c>
      <c r="U347" s="403"/>
      <c r="V347" s="403"/>
      <c r="W347" s="403"/>
      <c r="X347" s="403"/>
      <c r="Y347" s="139"/>
    </row>
    <row r="348" spans="12:25" x14ac:dyDescent="0.35">
      <c r="L348" s="403"/>
      <c r="M348" s="403"/>
      <c r="N348" s="403"/>
      <c r="O348" s="403"/>
      <c r="P348" s="403"/>
      <c r="Q348" s="403"/>
      <c r="R348" s="403"/>
      <c r="S348" s="403">
        <v>346</v>
      </c>
      <c r="T348" s="403">
        <v>150</v>
      </c>
      <c r="U348" s="403"/>
      <c r="V348" s="403"/>
      <c r="W348" s="403"/>
      <c r="X348" s="403"/>
      <c r="Y348" s="139"/>
    </row>
    <row r="349" spans="12:25" x14ac:dyDescent="0.35">
      <c r="L349" s="403"/>
      <c r="M349" s="403"/>
      <c r="N349" s="403"/>
      <c r="O349" s="403"/>
      <c r="P349" s="403"/>
      <c r="Q349" s="403"/>
      <c r="R349" s="403"/>
      <c r="S349" s="403">
        <v>347</v>
      </c>
      <c r="T349" s="403">
        <v>150</v>
      </c>
      <c r="U349" s="403"/>
      <c r="V349" s="403"/>
      <c r="W349" s="403"/>
      <c r="X349" s="403"/>
      <c r="Y349" s="139"/>
    </row>
    <row r="350" spans="12:25" x14ac:dyDescent="0.35">
      <c r="L350" s="403"/>
      <c r="M350" s="403"/>
      <c r="N350" s="403"/>
      <c r="O350" s="403"/>
      <c r="P350" s="403"/>
      <c r="Q350" s="403"/>
      <c r="R350" s="403"/>
      <c r="S350" s="403">
        <v>348</v>
      </c>
      <c r="T350" s="403">
        <v>150</v>
      </c>
      <c r="U350" s="403"/>
      <c r="V350" s="403"/>
      <c r="W350" s="403"/>
      <c r="X350" s="403"/>
      <c r="Y350" s="139"/>
    </row>
    <row r="351" spans="12:25" x14ac:dyDescent="0.35">
      <c r="L351" s="403"/>
      <c r="M351" s="403"/>
      <c r="N351" s="403"/>
      <c r="O351" s="403"/>
      <c r="P351" s="403"/>
      <c r="Q351" s="403"/>
      <c r="R351" s="403"/>
      <c r="S351" s="403">
        <v>349</v>
      </c>
      <c r="T351" s="403">
        <v>150</v>
      </c>
      <c r="U351" s="403"/>
      <c r="V351" s="403"/>
      <c r="W351" s="403"/>
      <c r="X351" s="403"/>
      <c r="Y351" s="139"/>
    </row>
    <row r="352" spans="12:25" x14ac:dyDescent="0.35">
      <c r="L352" s="403"/>
      <c r="M352" s="403"/>
      <c r="N352" s="403"/>
      <c r="O352" s="403"/>
      <c r="P352" s="403"/>
      <c r="Q352" s="403"/>
      <c r="R352" s="403"/>
      <c r="S352" s="403">
        <v>350</v>
      </c>
      <c r="T352" s="403">
        <v>150</v>
      </c>
      <c r="U352" s="403"/>
      <c r="V352" s="403"/>
      <c r="W352" s="403"/>
      <c r="X352" s="403"/>
      <c r="Y352" s="139"/>
    </row>
    <row r="353" spans="12:25" x14ac:dyDescent="0.35">
      <c r="L353" s="403"/>
      <c r="M353" s="403"/>
      <c r="N353" s="403"/>
      <c r="O353" s="403"/>
      <c r="P353" s="403"/>
      <c r="Q353" s="403"/>
      <c r="R353" s="403"/>
      <c r="S353" s="403">
        <v>351</v>
      </c>
      <c r="T353" s="403">
        <v>150</v>
      </c>
      <c r="U353" s="403"/>
      <c r="V353" s="403"/>
      <c r="W353" s="403"/>
      <c r="X353" s="403"/>
      <c r="Y353" s="139"/>
    </row>
    <row r="354" spans="12:25" x14ac:dyDescent="0.35">
      <c r="L354" s="403"/>
      <c r="M354" s="403"/>
      <c r="N354" s="403"/>
      <c r="O354" s="403"/>
      <c r="P354" s="403"/>
      <c r="Q354" s="403"/>
      <c r="R354" s="403"/>
      <c r="S354" s="403">
        <v>352</v>
      </c>
      <c r="T354" s="403">
        <v>150</v>
      </c>
      <c r="U354" s="403"/>
      <c r="V354" s="403"/>
      <c r="W354" s="403"/>
      <c r="X354" s="403"/>
      <c r="Y354" s="139"/>
    </row>
    <row r="355" spans="12:25" x14ac:dyDescent="0.35">
      <c r="L355" s="403"/>
      <c r="M355" s="403"/>
      <c r="N355" s="403"/>
      <c r="O355" s="403"/>
      <c r="P355" s="403"/>
      <c r="Q355" s="403"/>
      <c r="R355" s="403"/>
      <c r="S355" s="403">
        <v>353</v>
      </c>
      <c r="T355" s="403">
        <v>150</v>
      </c>
      <c r="U355" s="403"/>
      <c r="V355" s="403"/>
      <c r="W355" s="403"/>
      <c r="X355" s="403"/>
      <c r="Y355" s="139"/>
    </row>
    <row r="356" spans="12:25" x14ac:dyDescent="0.35">
      <c r="L356" s="403"/>
      <c r="M356" s="403"/>
      <c r="N356" s="403"/>
      <c r="O356" s="403"/>
      <c r="P356" s="403"/>
      <c r="Q356" s="403"/>
      <c r="R356" s="403"/>
      <c r="S356" s="403">
        <v>354</v>
      </c>
      <c r="T356" s="403">
        <v>150</v>
      </c>
      <c r="U356" s="403"/>
      <c r="V356" s="403"/>
      <c r="W356" s="403"/>
      <c r="X356" s="403"/>
      <c r="Y356" s="139"/>
    </row>
    <row r="357" spans="12:25" x14ac:dyDescent="0.35">
      <c r="L357" s="403"/>
      <c r="M357" s="403"/>
      <c r="N357" s="403"/>
      <c r="O357" s="403"/>
      <c r="P357" s="403"/>
      <c r="Q357" s="403"/>
      <c r="R357" s="403"/>
      <c r="S357" s="403">
        <v>355</v>
      </c>
      <c r="T357" s="403">
        <v>150</v>
      </c>
      <c r="U357" s="403"/>
      <c r="V357" s="403"/>
      <c r="W357" s="403"/>
      <c r="X357" s="403"/>
      <c r="Y357" s="139"/>
    </row>
    <row r="358" spans="12:25" x14ac:dyDescent="0.35">
      <c r="L358" s="403"/>
      <c r="M358" s="403"/>
      <c r="N358" s="403"/>
      <c r="O358" s="403"/>
      <c r="P358" s="403"/>
      <c r="Q358" s="403"/>
      <c r="R358" s="403"/>
      <c r="S358" s="403">
        <v>356</v>
      </c>
      <c r="T358" s="403">
        <v>150</v>
      </c>
      <c r="U358" s="403"/>
      <c r="V358" s="403"/>
      <c r="W358" s="403"/>
      <c r="X358" s="403"/>
      <c r="Y358" s="139"/>
    </row>
    <row r="359" spans="12:25" x14ac:dyDescent="0.35">
      <c r="L359" s="403"/>
      <c r="M359" s="403"/>
      <c r="N359" s="403"/>
      <c r="O359" s="403"/>
      <c r="P359" s="403"/>
      <c r="Q359" s="403"/>
      <c r="R359" s="403"/>
      <c r="S359" s="403">
        <v>357</v>
      </c>
      <c r="T359" s="403">
        <v>150</v>
      </c>
      <c r="U359" s="403"/>
      <c r="V359" s="403"/>
      <c r="W359" s="403"/>
      <c r="X359" s="403"/>
      <c r="Y359" s="139"/>
    </row>
    <row r="360" spans="12:25" x14ac:dyDescent="0.35">
      <c r="L360" s="403"/>
      <c r="M360" s="403"/>
      <c r="N360" s="403"/>
      <c r="O360" s="403"/>
      <c r="P360" s="403"/>
      <c r="Q360" s="403"/>
      <c r="R360" s="403"/>
      <c r="S360" s="403">
        <v>358</v>
      </c>
      <c r="T360" s="403">
        <v>150</v>
      </c>
      <c r="U360" s="403"/>
      <c r="V360" s="403"/>
      <c r="W360" s="403"/>
      <c r="X360" s="403"/>
      <c r="Y360" s="139"/>
    </row>
    <row r="361" spans="12:25" x14ac:dyDescent="0.35">
      <c r="L361" s="403"/>
      <c r="M361" s="403"/>
      <c r="N361" s="403"/>
      <c r="O361" s="403"/>
      <c r="P361" s="403"/>
      <c r="Q361" s="403"/>
      <c r="R361" s="403"/>
      <c r="S361" s="403">
        <v>359</v>
      </c>
      <c r="T361" s="403">
        <v>150</v>
      </c>
      <c r="U361" s="403"/>
      <c r="V361" s="403"/>
      <c r="W361" s="403"/>
      <c r="X361" s="403"/>
      <c r="Y361" s="139"/>
    </row>
    <row r="362" spans="12:25" x14ac:dyDescent="0.35">
      <c r="L362" s="403"/>
      <c r="M362" s="403"/>
      <c r="N362" s="403"/>
      <c r="O362" s="403"/>
      <c r="P362" s="403"/>
      <c r="Q362" s="403"/>
      <c r="R362" s="403"/>
      <c r="S362" s="403">
        <v>360</v>
      </c>
      <c r="T362" s="403">
        <v>150</v>
      </c>
      <c r="U362" s="403">
        <v>360</v>
      </c>
      <c r="V362" s="403"/>
      <c r="W362" s="403"/>
      <c r="X362" s="403"/>
      <c r="Y362" s="139"/>
    </row>
    <row r="363" spans="12:25" x14ac:dyDescent="0.35"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2:25" x14ac:dyDescent="0.35"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2:25" x14ac:dyDescent="0.35"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2:25" x14ac:dyDescent="0.35"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2:25" x14ac:dyDescent="0.35"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2:25" x14ac:dyDescent="0.35"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2:25" x14ac:dyDescent="0.35"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2:25" x14ac:dyDescent="0.35"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2:25" x14ac:dyDescent="0.35"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2:25" x14ac:dyDescent="0.35"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2:25" x14ac:dyDescent="0.35"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2:25" x14ac:dyDescent="0.35"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2:25" x14ac:dyDescent="0.35"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2:25" x14ac:dyDescent="0.35"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2:25" x14ac:dyDescent="0.35"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2:25" x14ac:dyDescent="0.35"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2:25" x14ac:dyDescent="0.35"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2:25" x14ac:dyDescent="0.35"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2:25" x14ac:dyDescent="0.35"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2:25" x14ac:dyDescent="0.35"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2:25" x14ac:dyDescent="0.35"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2:25" x14ac:dyDescent="0.35"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2:25" x14ac:dyDescent="0.35"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2:25" x14ac:dyDescent="0.35"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2:25" x14ac:dyDescent="0.35"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2:25" x14ac:dyDescent="0.35"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2:25" x14ac:dyDescent="0.35"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2:25" x14ac:dyDescent="0.35"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2:25" x14ac:dyDescent="0.35"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2:25" x14ac:dyDescent="0.35"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2:25" x14ac:dyDescent="0.35"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2:25" x14ac:dyDescent="0.35"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2:25" x14ac:dyDescent="0.35"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2:25" x14ac:dyDescent="0.35"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2:25" x14ac:dyDescent="0.35"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2:25" x14ac:dyDescent="0.35"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2:25" x14ac:dyDescent="0.35"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2:25" x14ac:dyDescent="0.35"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2:25" x14ac:dyDescent="0.35"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2:25" x14ac:dyDescent="0.35"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</row>
    <row r="403" spans="12:25" x14ac:dyDescent="0.35"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</row>
    <row r="404" spans="12:25" x14ac:dyDescent="0.35"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</row>
    <row r="405" spans="12:25" x14ac:dyDescent="0.35"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</row>
    <row r="406" spans="12:25" x14ac:dyDescent="0.35"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</row>
    <row r="407" spans="12:25" x14ac:dyDescent="0.35"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</row>
    <row r="408" spans="12:25" x14ac:dyDescent="0.35"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</row>
    <row r="409" spans="12:25" x14ac:dyDescent="0.35"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</row>
    <row r="410" spans="12:25" x14ac:dyDescent="0.35"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</row>
    <row r="411" spans="12:25" x14ac:dyDescent="0.35"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</row>
    <row r="412" spans="12:25" x14ac:dyDescent="0.35"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</row>
    <row r="413" spans="12:25" x14ac:dyDescent="0.35"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</row>
    <row r="414" spans="12:25" x14ac:dyDescent="0.35"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</row>
    <row r="415" spans="12:25" x14ac:dyDescent="0.35"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</row>
    <row r="416" spans="12:25" x14ac:dyDescent="0.35"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</row>
    <row r="417" spans="12:25" x14ac:dyDescent="0.35"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</row>
    <row r="418" spans="12:25" x14ac:dyDescent="0.35"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</row>
    <row r="419" spans="12:25" x14ac:dyDescent="0.35"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</row>
    <row r="420" spans="12:25" x14ac:dyDescent="0.35"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</row>
    <row r="421" spans="12:25" x14ac:dyDescent="0.35"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</row>
    <row r="422" spans="12:25" x14ac:dyDescent="0.35"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</row>
    <row r="423" spans="12:25" x14ac:dyDescent="0.35"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</row>
    <row r="424" spans="12:25" x14ac:dyDescent="0.35"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</row>
    <row r="425" spans="12:25" x14ac:dyDescent="0.35"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</row>
    <row r="426" spans="12:25" x14ac:dyDescent="0.35"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</row>
    <row r="427" spans="12:25" x14ac:dyDescent="0.35"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</row>
    <row r="428" spans="12:25" x14ac:dyDescent="0.35"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</row>
    <row r="429" spans="12:25" x14ac:dyDescent="0.35"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</row>
    <row r="430" spans="12:25" x14ac:dyDescent="0.35"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</row>
    <row r="431" spans="12:25" x14ac:dyDescent="0.35"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</row>
    <row r="432" spans="12:25" x14ac:dyDescent="0.35"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</row>
    <row r="433" spans="12:25" x14ac:dyDescent="0.35"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</row>
    <row r="434" spans="12:25" x14ac:dyDescent="0.35"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</row>
    <row r="435" spans="12:25" x14ac:dyDescent="0.35"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</row>
    <row r="436" spans="12:25" x14ac:dyDescent="0.35"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</row>
    <row r="437" spans="12:25" x14ac:dyDescent="0.35"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</row>
    <row r="438" spans="12:25" x14ac:dyDescent="0.35"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</row>
    <row r="439" spans="12:25" x14ac:dyDescent="0.35"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</row>
    <row r="440" spans="12:25" x14ac:dyDescent="0.35"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</row>
    <row r="441" spans="12:25" x14ac:dyDescent="0.35"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</row>
    <row r="442" spans="12:25" x14ac:dyDescent="0.35"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</row>
    <row r="443" spans="12:25" x14ac:dyDescent="0.35"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</row>
    <row r="444" spans="12:25" x14ac:dyDescent="0.35"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</row>
    <row r="445" spans="12:25" x14ac:dyDescent="0.35"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</row>
    <row r="446" spans="12:25" x14ac:dyDescent="0.35"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</row>
    <row r="447" spans="12:25" x14ac:dyDescent="0.35"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</row>
    <row r="448" spans="12:25" x14ac:dyDescent="0.35"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</row>
    <row r="449" spans="12:25" x14ac:dyDescent="0.35"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</row>
    <row r="450" spans="12:25" x14ac:dyDescent="0.35"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</row>
    <row r="451" spans="12:25" x14ac:dyDescent="0.35">
      <c r="Y451" s="139"/>
    </row>
    <row r="452" spans="12:25" x14ac:dyDescent="0.35">
      <c r="Y452" s="139"/>
    </row>
  </sheetData>
  <sheetProtection algorithmName="SHA-512" hashValue="gfvD6G1PxL3Kj09sov/Wfk+LKqOJBFzVSkRuZNQD3lAIuCHFLAIZfM8t7MW7livkzxPuHVeWOmNAySoJ2fOLkA==" saltValue="D8O6jquK7jbsVT8CVbDPTg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442" t="s">
        <v>21</v>
      </c>
      <c r="B1" t="s">
        <v>23</v>
      </c>
      <c r="C1" t="s">
        <v>24</v>
      </c>
    </row>
    <row r="2" spans="1:4" x14ac:dyDescent="0.35">
      <c r="A2" s="22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435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442" t="s">
        <v>21</v>
      </c>
      <c r="B1" s="22" t="s">
        <v>21</v>
      </c>
      <c r="C1" s="22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42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42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42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43">
        <f t="shared" si="0"/>
        <v>4.99</v>
      </c>
    </row>
    <row r="6" spans="1:20" x14ac:dyDescent="0.35">
      <c r="A6" s="43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43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43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43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43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43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43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43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43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43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43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43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43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43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43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43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43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43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43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43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43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43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43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43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43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43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43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43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43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43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43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43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43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43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43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43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43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43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43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43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43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43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43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43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43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563" customWidth="1"/>
    <col min="2" max="2" width="2.59765625" style="562" customWidth="1"/>
    <col min="3" max="3" width="14" style="563" customWidth="1"/>
    <col min="4" max="5" width="11.265625" style="563" customWidth="1"/>
    <col min="6" max="6" width="10.73046875" style="563" customWidth="1"/>
    <col min="7" max="10" width="11.265625" style="563" customWidth="1"/>
    <col min="11" max="11" width="10.73046875" style="563" customWidth="1"/>
    <col min="12" max="12" width="10.73046875" style="564" customWidth="1"/>
    <col min="13" max="16384" width="10.73046875" style="563"/>
  </cols>
  <sheetData>
    <row r="1" spans="1:12" ht="12.65" customHeight="1" x14ac:dyDescent="0.3">
      <c r="A1" s="561"/>
    </row>
    <row r="2" spans="1:12" ht="12.65" customHeight="1" x14ac:dyDescent="0.3">
      <c r="B2" s="565"/>
      <c r="C2" s="566" t="s">
        <v>485</v>
      </c>
      <c r="D2" s="567">
        <f ca="1">TODAY()</f>
        <v>42739</v>
      </c>
      <c r="E2" s="566" t="s">
        <v>486</v>
      </c>
      <c r="F2" s="892" t="str">
        <f>__2_AchterNaam&amp;", "&amp;__3_VoorNaam</f>
        <v xml:space="preserve">, </v>
      </c>
      <c r="G2" s="892"/>
      <c r="H2" s="568" t="s">
        <v>295</v>
      </c>
      <c r="I2" s="563" t="str">
        <f>_Pat_Gewicht/10&amp;" kg"</f>
        <v>10 kg</v>
      </c>
      <c r="J2" s="559"/>
      <c r="L2" s="569"/>
    </row>
    <row r="3" spans="1:12" ht="12.65" customHeight="1" x14ac:dyDescent="0.3">
      <c r="B3" s="565"/>
      <c r="C3" s="566" t="s">
        <v>221</v>
      </c>
      <c r="D3" s="570">
        <f ca="1">Var_AfspraakDatum-_Pat_OpnDatum+1</f>
        <v>370</v>
      </c>
      <c r="E3" s="566" t="s">
        <v>484</v>
      </c>
      <c r="F3" s="571">
        <f>__4_GebDatum</f>
        <v>0</v>
      </c>
      <c r="G3" s="559"/>
      <c r="H3" s="568" t="s">
        <v>142</v>
      </c>
      <c r="I3" s="563" t="str">
        <f>_Pat_Lengte&amp;" cm"</f>
        <v>80 cm</v>
      </c>
      <c r="J3" s="559"/>
      <c r="L3" s="569"/>
    </row>
    <row r="4" spans="1:12" ht="12" customHeight="1" x14ac:dyDescent="0.3">
      <c r="B4" s="565"/>
      <c r="C4" s="566" t="s">
        <v>548</v>
      </c>
      <c r="D4" s="570">
        <f>__1_Bed</f>
        <v>0</v>
      </c>
      <c r="F4" s="559"/>
      <c r="H4" s="568" t="s">
        <v>143</v>
      </c>
      <c r="I4" s="563" t="str">
        <f>ROUND(POWER(_Pat_Gewicht/10,0.425)*POWER(((_Pat_Lengte/100)*100),0.725)*0.007184,2)&amp;" m2"</f>
        <v>0,46 m2</v>
      </c>
    </row>
    <row r="5" spans="1:12" ht="14.15" customHeight="1" x14ac:dyDescent="0.3">
      <c r="A5" s="572"/>
      <c r="B5" s="573" t="str">
        <f>PedGuiEntTPN!C8</f>
        <v>Voeding</v>
      </c>
      <c r="C5" s="572"/>
      <c r="D5" s="572"/>
      <c r="E5" s="572"/>
      <c r="F5" s="572"/>
      <c r="G5" s="572"/>
      <c r="H5" s="572"/>
      <c r="I5" s="572"/>
      <c r="J5" s="572"/>
      <c r="K5" s="562"/>
    </row>
    <row r="6" spans="1:12" ht="14.15" customHeight="1" x14ac:dyDescent="0.3">
      <c r="A6" s="561"/>
      <c r="B6" s="565"/>
      <c r="C6" s="568" t="s">
        <v>259</v>
      </c>
      <c r="F6" s="568"/>
      <c r="G6" s="563" t="str">
        <f>INDEX(tblSonde,PedBerEnt!O2,1)</f>
        <v>Enteraal voeding</v>
      </c>
      <c r="K6" s="562"/>
    </row>
    <row r="7" spans="1:12" ht="14.15" customHeight="1" x14ac:dyDescent="0.3">
      <c r="C7" s="563">
        <f>IF(G7&lt;&gt;"",INDEX(tblVoedingPO,_Ped_Ent_Keuze_1,1),)</f>
        <v>0</v>
      </c>
      <c r="F7" s="563" t="str">
        <f>PedGuiEntTPN!G9</f>
        <v/>
      </c>
      <c r="G7" s="563" t="str">
        <f>PedGuiEntTPN!C9&amp;" "&amp;PedGuiEntTPN!D9</f>
        <v xml:space="preserve"> </v>
      </c>
      <c r="K7" s="562"/>
      <c r="L7" s="569"/>
    </row>
    <row r="8" spans="1:12" ht="12.65" customHeight="1" x14ac:dyDescent="0.3">
      <c r="B8" s="565"/>
      <c r="C8" s="568"/>
      <c r="D8" s="574" t="str">
        <f>IF(_Ped_Ent_Keuze_2&gt;1,"met "&amp;PedGuiEntTPN!C11&amp;" "&amp;PedGuiEntTPN!D11&amp;" "&amp;INDEX(tblPO_poederlijst,_Ped_Ent_Keuze_2,1),"")</f>
        <v/>
      </c>
      <c r="H8" s="563" t="str">
        <f>PedGuiEntTPN!I11</f>
        <v/>
      </c>
      <c r="K8" s="562"/>
      <c r="L8" s="569"/>
    </row>
    <row r="9" spans="1:12" ht="12.65" customHeight="1" x14ac:dyDescent="0.3">
      <c r="B9" s="565"/>
      <c r="C9" s="568"/>
      <c r="D9" s="574" t="str">
        <f>IF(_Ped_Ent_Keuze_3&gt;1,"met "&amp;PedGuiEntTPN!C12&amp;" "&amp;PedGuiEntTPN!D12&amp;" "&amp;INDEX(tblPO_poederlijst,_Ped_Ent_Keuze_3,1),"")</f>
        <v/>
      </c>
      <c r="H9" s="563" t="str">
        <f>PedGuiEntTPN!I12</f>
        <v/>
      </c>
      <c r="K9" s="562"/>
      <c r="L9" s="569"/>
    </row>
    <row r="10" spans="1:12" ht="12.65" customHeight="1" x14ac:dyDescent="0.3">
      <c r="B10" s="565"/>
      <c r="C10" s="568"/>
      <c r="D10" s="574" t="str">
        <f>IF(_Ped_Ent_Keuze_4&gt;1,"met "&amp;PedGuiEntTPN!C13&amp;" "&amp;PedGuiEntTPN!D13&amp;" "&amp;INDEX(tblPO_poederlijst,_Ped_Ent_Keuze_4,1),"")</f>
        <v/>
      </c>
      <c r="H10" s="563" t="str">
        <f>PedGuiEntTPN!I13</f>
        <v/>
      </c>
      <c r="K10" s="575"/>
      <c r="L10" s="569"/>
    </row>
    <row r="11" spans="1:12" ht="12.65" customHeight="1" x14ac:dyDescent="0.3">
      <c r="K11" s="575"/>
      <c r="L11" s="569"/>
    </row>
    <row r="12" spans="1:12" ht="12.65" customHeight="1" x14ac:dyDescent="0.3">
      <c r="A12" s="572"/>
      <c r="B12" s="576"/>
      <c r="C12" s="577" t="s">
        <v>313</v>
      </c>
      <c r="D12" s="895">
        <f>GlobBerOpm!C6</f>
        <v>0</v>
      </c>
      <c r="E12" s="896"/>
      <c r="F12" s="896"/>
      <c r="G12" s="896"/>
      <c r="H12" s="896"/>
      <c r="I12" s="896"/>
      <c r="J12" s="896"/>
      <c r="K12" s="575"/>
      <c r="L12" s="569"/>
    </row>
    <row r="13" spans="1:12" ht="12.65" customHeight="1" x14ac:dyDescent="0.3">
      <c r="L13" s="569"/>
    </row>
    <row r="14" spans="1:12" ht="12.65" customHeight="1" x14ac:dyDescent="0.3">
      <c r="A14" s="572"/>
      <c r="B14" s="573" t="s">
        <v>128</v>
      </c>
      <c r="C14" s="572"/>
      <c r="D14" s="572"/>
      <c r="E14" s="572"/>
      <c r="F14" s="572"/>
      <c r="G14" s="572"/>
      <c r="H14" s="572"/>
      <c r="I14" s="572"/>
      <c r="J14" s="572"/>
      <c r="L14" s="569"/>
    </row>
    <row r="15" spans="1:12" ht="12.65" customHeight="1" x14ac:dyDescent="0.3">
      <c r="B15" s="568"/>
      <c r="C15" s="568" t="s">
        <v>402</v>
      </c>
      <c r="D15" s="89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98"/>
      <c r="F15" s="898"/>
      <c r="G15" s="898"/>
      <c r="H15" s="898"/>
      <c r="I15" s="898"/>
      <c r="J15" s="898"/>
      <c r="L15" s="569"/>
    </row>
    <row r="16" spans="1:12" ht="12.65" customHeight="1" x14ac:dyDescent="0.3">
      <c r="B16" s="568"/>
      <c r="C16" s="568" t="s">
        <v>475</v>
      </c>
      <c r="D16" s="89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94"/>
      <c r="F16" s="894"/>
      <c r="G16" s="894"/>
      <c r="H16" s="894"/>
      <c r="I16" s="894"/>
      <c r="J16" s="894"/>
      <c r="L16" s="569"/>
    </row>
    <row r="17" spans="1:12" ht="12.65" customHeight="1" x14ac:dyDescent="0.3">
      <c r="B17" s="568"/>
      <c r="C17" s="568" t="s">
        <v>476</v>
      </c>
      <c r="D17" s="89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99"/>
      <c r="F17" s="899"/>
      <c r="G17" s="899"/>
      <c r="H17" s="899"/>
      <c r="I17" s="899"/>
      <c r="J17" s="899"/>
      <c r="L17" s="569"/>
    </row>
    <row r="18" spans="1:12" ht="12.65" customHeight="1" x14ac:dyDescent="0.3">
      <c r="B18" s="568"/>
      <c r="C18" s="568" t="s">
        <v>160</v>
      </c>
      <c r="D18" s="89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99"/>
      <c r="F18" s="899"/>
      <c r="G18" s="899"/>
      <c r="H18" s="899"/>
      <c r="I18" s="899"/>
      <c r="J18" s="899"/>
      <c r="L18" s="569"/>
    </row>
    <row r="19" spans="1:12" ht="12.65" customHeight="1" x14ac:dyDescent="0.3">
      <c r="B19" s="568"/>
      <c r="C19" s="578" t="s">
        <v>18</v>
      </c>
      <c r="D19" s="89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00"/>
      <c r="F19" s="900"/>
      <c r="G19" s="900"/>
      <c r="H19" s="900"/>
      <c r="I19" s="900"/>
      <c r="J19" s="900"/>
      <c r="L19" s="569"/>
    </row>
    <row r="20" spans="1:12" ht="12.65" customHeight="1" x14ac:dyDescent="0.3">
      <c r="B20" s="568"/>
      <c r="C20" s="578" t="s">
        <v>313</v>
      </c>
      <c r="D20" s="888">
        <f>GlobBerOpm!C5</f>
        <v>0</v>
      </c>
      <c r="E20" s="889"/>
      <c r="F20" s="889"/>
      <c r="G20" s="889"/>
      <c r="H20" s="889"/>
      <c r="I20" s="889"/>
      <c r="J20" s="889"/>
      <c r="L20" s="569"/>
    </row>
    <row r="21" spans="1:12" ht="12.65" customHeight="1" x14ac:dyDescent="0.3">
      <c r="A21" s="572"/>
      <c r="B21" s="577"/>
      <c r="C21" s="579"/>
      <c r="D21" s="890"/>
      <c r="E21" s="890"/>
      <c r="F21" s="890"/>
      <c r="G21" s="890"/>
      <c r="H21" s="890"/>
      <c r="I21" s="890"/>
      <c r="J21" s="890"/>
      <c r="L21" s="569"/>
    </row>
    <row r="22" spans="1:12" ht="12.65" customHeight="1" x14ac:dyDescent="0.3">
      <c r="L22" s="569"/>
    </row>
    <row r="23" spans="1:12" ht="12.65" customHeight="1" x14ac:dyDescent="0.3">
      <c r="A23" s="572"/>
      <c r="B23" s="573" t="s">
        <v>74</v>
      </c>
      <c r="C23" s="580"/>
      <c r="D23" s="572"/>
      <c r="E23" s="572"/>
      <c r="F23" s="572"/>
      <c r="G23" s="572"/>
      <c r="H23" s="572"/>
      <c r="I23" s="572"/>
      <c r="J23" s="572"/>
      <c r="L23" s="569"/>
    </row>
    <row r="24" spans="1:12" ht="12.65" customHeight="1" x14ac:dyDescent="0.3">
      <c r="B24" s="562" t="s">
        <v>307</v>
      </c>
      <c r="C24" s="581" t="s">
        <v>778</v>
      </c>
      <c r="D24" s="581" t="str">
        <f>IFERROR(LEFT(Var_Ped_AfsprControles,LEN(Var_Ped_AfsprControles)-3),"")</f>
        <v/>
      </c>
      <c r="L24" s="569"/>
    </row>
    <row r="25" spans="1:12" ht="12.65" customHeight="1" x14ac:dyDescent="0.3">
      <c r="B25" s="562" t="s">
        <v>308</v>
      </c>
      <c r="C25" s="581" t="s">
        <v>784</v>
      </c>
      <c r="D25" s="581" t="str">
        <f>IFERROR(LEFT(Var_Ped_AfsprOnderzoeken,LEN(Var_Ped_AfsprOnderzoeken)-3),"")</f>
        <v/>
      </c>
      <c r="L25" s="569"/>
    </row>
    <row r="26" spans="1:12" ht="12.65" customHeight="1" x14ac:dyDescent="0.3">
      <c r="B26" s="562" t="s">
        <v>309</v>
      </c>
      <c r="C26" s="581" t="s">
        <v>1022</v>
      </c>
      <c r="D26" s="581" t="str">
        <f>IFERROR(LEFT(Var_Ped_AfsprInstellingen,LEN(Var_Ped_AfsprInstellingen)-3),"")</f>
        <v/>
      </c>
      <c r="L26" s="569"/>
    </row>
    <row r="27" spans="1:12" ht="12.65" customHeight="1" x14ac:dyDescent="0.3">
      <c r="B27" s="562" t="s">
        <v>310</v>
      </c>
      <c r="C27" s="581" t="s">
        <v>762</v>
      </c>
      <c r="D27" s="581" t="str">
        <f>IFERROR(LEFT(Var_Ped_AfsprOverig,LEN(Var_Ped_AfsprOverig)-3),"")</f>
        <v/>
      </c>
      <c r="L27" s="569"/>
    </row>
    <row r="28" spans="1:12" ht="12.65" customHeight="1" x14ac:dyDescent="0.3">
      <c r="C28" s="582"/>
      <c r="D28" s="583"/>
      <c r="E28" s="583"/>
      <c r="F28" s="583"/>
      <c r="G28" s="583"/>
      <c r="H28" s="583"/>
      <c r="I28" s="583"/>
      <c r="J28" s="583"/>
      <c r="L28" s="569"/>
    </row>
    <row r="29" spans="1:12" ht="12.65" customHeight="1" x14ac:dyDescent="0.3">
      <c r="C29" s="584"/>
      <c r="D29" s="583"/>
      <c r="E29" s="583"/>
      <c r="F29" s="583"/>
      <c r="G29" s="583"/>
      <c r="H29" s="583"/>
      <c r="I29" s="583"/>
      <c r="J29" s="583"/>
      <c r="L29" s="569"/>
    </row>
    <row r="30" spans="1:12" ht="12.65" customHeight="1" x14ac:dyDescent="0.3">
      <c r="C30" s="582"/>
      <c r="D30" s="583"/>
      <c r="E30" s="583"/>
      <c r="F30" s="583"/>
      <c r="G30" s="583"/>
      <c r="H30" s="583"/>
      <c r="I30" s="583"/>
      <c r="J30" s="583"/>
      <c r="L30" s="569"/>
    </row>
    <row r="31" spans="1:12" ht="12.65" customHeight="1" x14ac:dyDescent="0.3">
      <c r="C31" s="582"/>
      <c r="D31" s="583"/>
      <c r="E31" s="583"/>
      <c r="F31" s="583"/>
      <c r="G31" s="583"/>
      <c r="H31" s="583"/>
      <c r="I31" s="583"/>
      <c r="J31" s="583"/>
      <c r="L31" s="569"/>
    </row>
    <row r="32" spans="1:12" ht="12.65" customHeight="1" x14ac:dyDescent="0.3">
      <c r="B32" s="585" t="s">
        <v>85</v>
      </c>
      <c r="C32" s="572"/>
      <c r="D32" s="572"/>
      <c r="F32" s="572" t="s">
        <v>474</v>
      </c>
      <c r="G32" s="572"/>
      <c r="H32" s="572"/>
      <c r="I32" s="572"/>
      <c r="L32" s="569"/>
    </row>
    <row r="33" spans="1:12" ht="12.65" customHeight="1" x14ac:dyDescent="0.3">
      <c r="L33" s="569"/>
    </row>
    <row r="34" spans="1:12" ht="12.65" customHeight="1" x14ac:dyDescent="0.3">
      <c r="B34" s="565"/>
      <c r="C34" s="566" t="s">
        <v>485</v>
      </c>
      <c r="D34" s="567">
        <f ca="1">TODAY()</f>
        <v>42739</v>
      </c>
      <c r="E34" s="566" t="s">
        <v>486</v>
      </c>
      <c r="F34" s="892" t="str">
        <f>__2_AchterNaam&amp;", "&amp;__3_VoorNaam</f>
        <v xml:space="preserve">, </v>
      </c>
      <c r="G34" s="892"/>
      <c r="H34" s="568" t="s">
        <v>295</v>
      </c>
      <c r="I34" s="563" t="str">
        <f>_Pat_Gewicht/10&amp;" kg"</f>
        <v>10 kg</v>
      </c>
      <c r="J34" s="559"/>
      <c r="L34" s="569"/>
    </row>
    <row r="35" spans="1:12" ht="12.65" customHeight="1" x14ac:dyDescent="0.3">
      <c r="B35" s="565"/>
      <c r="C35" s="566" t="s">
        <v>221</v>
      </c>
      <c r="D35" s="570">
        <f ca="1">Var_AfspraakDatum-_Pat_OpnDatum+1</f>
        <v>370</v>
      </c>
      <c r="E35" s="566" t="s">
        <v>484</v>
      </c>
      <c r="F35" s="571">
        <f>__4_GebDatum</f>
        <v>0</v>
      </c>
      <c r="G35" s="559"/>
      <c r="H35" s="568" t="s">
        <v>142</v>
      </c>
      <c r="I35" s="563" t="str">
        <f>_Pat_Lengte&amp;" cm"</f>
        <v>80 cm</v>
      </c>
      <c r="J35" s="559"/>
      <c r="L35" s="569"/>
    </row>
    <row r="36" spans="1:12" ht="12.65" customHeight="1" x14ac:dyDescent="0.3">
      <c r="D36" s="559"/>
      <c r="F36" s="559"/>
      <c r="H36" s="568" t="s">
        <v>143</v>
      </c>
      <c r="I36" s="563" t="str">
        <f>ROUND(POWER(_Pat_Gewicht/10,0.425)*POWER(((_Pat_Lengte/100)*100),0.725)*0.007184,2)&amp;" m2"</f>
        <v>0,46 m2</v>
      </c>
      <c r="L36" s="569"/>
    </row>
    <row r="37" spans="1:12" ht="12.65" customHeight="1" x14ac:dyDescent="0.3">
      <c r="D37" s="559"/>
      <c r="F37" s="559"/>
      <c r="L37" s="569"/>
    </row>
    <row r="38" spans="1:12" ht="12.65" customHeight="1" x14ac:dyDescent="0.3">
      <c r="A38" s="572"/>
      <c r="B38" s="573" t="s">
        <v>25</v>
      </c>
      <c r="C38" s="580"/>
      <c r="D38" s="572"/>
      <c r="E38" s="572"/>
      <c r="F38" s="572"/>
      <c r="G38" s="572"/>
      <c r="H38" s="572"/>
      <c r="I38" s="572"/>
      <c r="J38" s="572"/>
      <c r="L38" s="569"/>
    </row>
    <row r="39" spans="1:12" ht="12.65" customHeight="1" x14ac:dyDescent="0.3">
      <c r="B39" s="562">
        <v>1</v>
      </c>
      <c r="C39" s="563">
        <f>INDEX(tblInfusen,PedBerIVenPM!B2,1)</f>
        <v>0</v>
      </c>
      <c r="L39" s="569" t="str">
        <f t="shared" ref="L39:L44" si="0">IF(C39=0,"D","")</f>
        <v>D</v>
      </c>
    </row>
    <row r="40" spans="1:12" ht="12.65" customHeight="1" x14ac:dyDescent="0.3">
      <c r="B40" s="562">
        <v>2</v>
      </c>
      <c r="C40" s="563">
        <f>INDEX(tblInfusen,PedBerIVenPM!B3,1)</f>
        <v>0</v>
      </c>
      <c r="L40" s="569" t="str">
        <f t="shared" si="0"/>
        <v>D</v>
      </c>
    </row>
    <row r="41" spans="1:12" ht="12.65" customHeight="1" x14ac:dyDescent="0.3">
      <c r="B41" s="562">
        <v>3</v>
      </c>
      <c r="C41" s="563">
        <f>INDEX(tblInfusen,PedBerIVenPM!B4,1)</f>
        <v>0</v>
      </c>
      <c r="L41" s="569" t="str">
        <f t="shared" si="0"/>
        <v>D</v>
      </c>
    </row>
    <row r="42" spans="1:12" ht="12.65" customHeight="1" x14ac:dyDescent="0.3">
      <c r="B42" s="562">
        <v>4</v>
      </c>
      <c r="C42" s="563">
        <f>INDEX(tblInfusen,PedBerIVenPM!B5,1)</f>
        <v>0</v>
      </c>
      <c r="L42" s="569" t="str">
        <f t="shared" si="0"/>
        <v>D</v>
      </c>
    </row>
    <row r="43" spans="1:12" ht="12.65" customHeight="1" x14ac:dyDescent="0.3">
      <c r="B43" s="562">
        <v>5</v>
      </c>
      <c r="C43" s="563">
        <f>INDEX(tblInfusen,PedBerIVenPM!B6,1)</f>
        <v>0</v>
      </c>
      <c r="L43" s="569" t="str">
        <f t="shared" si="0"/>
        <v>D</v>
      </c>
    </row>
    <row r="44" spans="1:12" ht="12.65" customHeight="1" x14ac:dyDescent="0.3">
      <c r="B44" s="562">
        <v>6</v>
      </c>
      <c r="C44" s="563">
        <f>INDEX(tblInfusen,PedBerIVenPM!B7,1)</f>
        <v>0</v>
      </c>
      <c r="L44" s="569" t="str">
        <f t="shared" si="0"/>
        <v>D</v>
      </c>
    </row>
    <row r="45" spans="1:12" ht="12.65" customHeight="1" x14ac:dyDescent="0.3">
      <c r="L45" s="569"/>
    </row>
    <row r="46" spans="1:12" ht="12.65" customHeight="1" x14ac:dyDescent="0.3">
      <c r="A46" s="572"/>
      <c r="B46" s="576"/>
      <c r="C46" s="577" t="s">
        <v>313</v>
      </c>
      <c r="D46" s="895">
        <f>GlobBerOpm!C2</f>
        <v>0</v>
      </c>
      <c r="E46" s="896"/>
      <c r="F46" s="896"/>
      <c r="G46" s="896"/>
      <c r="H46" s="896"/>
      <c r="I46" s="896"/>
      <c r="J46" s="896"/>
      <c r="L46" s="569"/>
    </row>
    <row r="47" spans="1:12" ht="12.65" customHeight="1" x14ac:dyDescent="0.3">
      <c r="L47" s="569"/>
    </row>
    <row r="48" spans="1:12" ht="12.65" customHeight="1" x14ac:dyDescent="0.3">
      <c r="L48" s="569"/>
    </row>
    <row r="49" spans="1:12" ht="12.65" customHeight="1" x14ac:dyDescent="0.3">
      <c r="A49" s="572"/>
      <c r="B49" s="573" t="s">
        <v>314</v>
      </c>
      <c r="C49" s="572"/>
      <c r="D49" s="572"/>
      <c r="E49" s="572"/>
      <c r="F49" s="572"/>
      <c r="G49" s="572"/>
      <c r="H49" s="572"/>
      <c r="I49" s="572"/>
      <c r="J49" s="572"/>
      <c r="L49" s="569"/>
    </row>
    <row r="50" spans="1:12" ht="12.65" customHeight="1" x14ac:dyDescent="0.3">
      <c r="B50" s="565"/>
      <c r="C50" s="568" t="s">
        <v>321</v>
      </c>
      <c r="D50" s="568"/>
      <c r="E50" s="568" t="s">
        <v>95</v>
      </c>
      <c r="F50" s="568"/>
      <c r="G50" s="568" t="s">
        <v>322</v>
      </c>
      <c r="H50" s="568"/>
      <c r="I50" s="568"/>
      <c r="J50" s="568" t="s">
        <v>202</v>
      </c>
      <c r="L50" s="569"/>
    </row>
    <row r="51" spans="1:12" ht="12.65" customHeight="1" x14ac:dyDescent="0.3">
      <c r="B51" s="562">
        <v>1</v>
      </c>
      <c r="C51" s="563">
        <f>PedGuiMedIV!C9</f>
        <v>0</v>
      </c>
      <c r="E51" s="563" t="str">
        <f>IF(C51&lt;&gt;0,PedGuiMedIV!D9&amp;" in "&amp;PedGuiMedIV!E9&amp;IF(AND(PedBerMedIV!D5&lt;&gt;4,PedGuiMedIV!F9&lt;&gt;0)," "&amp;PedGuiMedIV!F9,""),"")</f>
        <v/>
      </c>
      <c r="G51" s="563" t="str">
        <f>IF(C51&lt;&gt;0,PedGuiMedIV!G9&amp;" (="&amp;PedGuiMedIV!H9&amp;" " &amp; PedGuiMedIV!I9 &amp;")","")</f>
        <v/>
      </c>
      <c r="J51" s="563" t="str">
        <f>PedGuiMedIV!J9</f>
        <v/>
      </c>
      <c r="L51" s="569" t="str">
        <f t="shared" ref="L51:L65" si="1">IF(C51=0,"D","")</f>
        <v>D</v>
      </c>
    </row>
    <row r="52" spans="1:12" ht="12.65" customHeight="1" x14ac:dyDescent="0.3">
      <c r="B52" s="562">
        <v>2</v>
      </c>
      <c r="C52" s="563">
        <f>PedGuiMedIV!C10</f>
        <v>0</v>
      </c>
      <c r="E52" s="563" t="str">
        <f>IF(C52&lt;&gt;0,PedGuiMedIV!D10&amp;" in "&amp;PedGuiMedIV!E10&amp;IF(AND(PedBerMedIV!D6&lt;&gt;4,PedGuiMedIV!F10&lt;&gt;0)," "&amp;PedGuiMedIV!F10,""),"")</f>
        <v/>
      </c>
      <c r="G52" s="563" t="str">
        <f>IF(C52&lt;&gt;0,PedGuiMedIV!G10&amp;" (="&amp;PedGuiMedIV!H10&amp;" " &amp; PedGuiMedIV!I10 &amp;")","")</f>
        <v/>
      </c>
      <c r="J52" s="563" t="str">
        <f>PedGuiMedIV!J10</f>
        <v/>
      </c>
      <c r="L52" s="569" t="str">
        <f t="shared" si="1"/>
        <v>D</v>
      </c>
    </row>
    <row r="53" spans="1:12" ht="12.65" customHeight="1" x14ac:dyDescent="0.3">
      <c r="B53" s="562">
        <v>3</v>
      </c>
      <c r="C53" s="563">
        <f>PedGuiMedIV!C11</f>
        <v>0</v>
      </c>
      <c r="E53" s="563" t="str">
        <f>IF(C53&lt;&gt;0,PedGuiMedIV!D11&amp;" in "&amp;PedGuiMedIV!E11&amp;IF(AND(PedBerMedIV!D7&lt;&gt;4,PedGuiMedIV!F11&lt;&gt;0)," "&amp;PedGuiMedIV!F11,""),"")</f>
        <v/>
      </c>
      <c r="G53" s="563" t="str">
        <f>IF(C53&lt;&gt;0,PedGuiMedIV!G11&amp;" (="&amp;PedGuiMedIV!H11&amp;" " &amp; PedGuiMedIV!I11 &amp;")","")</f>
        <v/>
      </c>
      <c r="J53" s="563" t="str">
        <f>PedGuiMedIV!J11</f>
        <v/>
      </c>
      <c r="L53" s="569" t="str">
        <f t="shared" si="1"/>
        <v>D</v>
      </c>
    </row>
    <row r="54" spans="1:12" ht="12.65" customHeight="1" x14ac:dyDescent="0.3">
      <c r="B54" s="562">
        <v>4</v>
      </c>
      <c r="C54" s="563">
        <f>PedGuiMedIV!C12</f>
        <v>0</v>
      </c>
      <c r="E54" s="563" t="str">
        <f>IF(C54&lt;&gt;0,PedGuiMedIV!D12&amp;" in "&amp;PedGuiMedIV!E12&amp;IF(AND(PedBerMedIV!D8&lt;&gt;4,PedGuiMedIV!F12&lt;&gt;0)," "&amp;PedGuiMedIV!F12,""),"")</f>
        <v/>
      </c>
      <c r="G54" s="563" t="str">
        <f>IF(C54&lt;&gt;0,PedGuiMedIV!G12&amp;" (="&amp;PedGuiMedIV!H12&amp;" " &amp; PedGuiMedIV!I12 &amp;")","")</f>
        <v/>
      </c>
      <c r="J54" s="563" t="str">
        <f>PedGuiMedIV!J12</f>
        <v/>
      </c>
      <c r="L54" s="569" t="str">
        <f t="shared" si="1"/>
        <v>D</v>
      </c>
    </row>
    <row r="55" spans="1:12" ht="12.65" customHeight="1" x14ac:dyDescent="0.3">
      <c r="B55" s="562">
        <v>5</v>
      </c>
      <c r="C55" s="563">
        <f>PedGuiMedIV!C13</f>
        <v>0</v>
      </c>
      <c r="E55" s="563" t="str">
        <f>IF(C55&lt;&gt;0,PedGuiMedIV!D13&amp;" in "&amp;PedGuiMedIV!E13&amp;IF(AND(PedBerMedIV!D9&lt;&gt;4,PedGuiMedIV!F13&lt;&gt;0)," "&amp;PedGuiMedIV!F13,""),"")</f>
        <v/>
      </c>
      <c r="G55" s="563" t="str">
        <f>IF(C55&lt;&gt;0,PedGuiMedIV!G13&amp;" (="&amp;PedGuiMedIV!H13&amp;" " &amp; PedGuiMedIV!I13 &amp;")","")</f>
        <v/>
      </c>
      <c r="J55" s="563" t="str">
        <f>PedGuiMedIV!J13</f>
        <v/>
      </c>
      <c r="L55" s="569" t="str">
        <f t="shared" si="1"/>
        <v>D</v>
      </c>
    </row>
    <row r="56" spans="1:12" ht="12.65" customHeight="1" x14ac:dyDescent="0.3">
      <c r="B56" s="562">
        <v>6</v>
      </c>
      <c r="C56" s="563">
        <f>PedGuiMedIV!C14</f>
        <v>0</v>
      </c>
      <c r="E56" s="563" t="str">
        <f>IF(C56&lt;&gt;0,PedGuiMedIV!D14&amp;" in "&amp;PedGuiMedIV!E14&amp;IF(AND(PedBerMedIV!D10&lt;&gt;4,PedGuiMedIV!F14&lt;&gt;0)," "&amp;PedGuiMedIV!F14,""),"")</f>
        <v/>
      </c>
      <c r="G56" s="563" t="str">
        <f>IF(C56&lt;&gt;0,PedGuiMedIV!G14&amp;" (="&amp;PedGuiMedIV!H14&amp;" " &amp; PedGuiMedIV!I14 &amp;")","")</f>
        <v/>
      </c>
      <c r="J56" s="563" t="str">
        <f>PedGuiMedIV!J14</f>
        <v/>
      </c>
      <c r="L56" s="569" t="str">
        <f t="shared" si="1"/>
        <v>D</v>
      </c>
    </row>
    <row r="57" spans="1:12" ht="12.65" customHeight="1" x14ac:dyDescent="0.3">
      <c r="B57" s="562">
        <v>7</v>
      </c>
      <c r="C57" s="563">
        <f>PedGuiMedIV!C15</f>
        <v>0</v>
      </c>
      <c r="E57" s="563" t="str">
        <f>IF(C57&lt;&gt;0,PedGuiMedIV!D15&amp;" in "&amp;PedGuiMedIV!E15&amp;IF(AND(PedBerMedIV!D11&lt;&gt;4,PedGuiMedIV!F15&lt;&gt;0)," "&amp;PedGuiMedIV!F15,""),"")</f>
        <v/>
      </c>
      <c r="G57" s="563" t="str">
        <f>IF(C57&lt;&gt;0,PedGuiMedIV!G15&amp;" (="&amp;PedGuiMedIV!H15&amp;" " &amp; PedGuiMedIV!I15 &amp;")","")</f>
        <v/>
      </c>
      <c r="J57" s="563" t="str">
        <f>PedGuiMedIV!J15</f>
        <v/>
      </c>
      <c r="L57" s="569" t="str">
        <f t="shared" si="1"/>
        <v>D</v>
      </c>
    </row>
    <row r="58" spans="1:12" ht="12.65" customHeight="1" x14ac:dyDescent="0.3">
      <c r="B58" s="562">
        <v>8</v>
      </c>
      <c r="C58" s="563">
        <f>PedGuiMedIV!C16</f>
        <v>0</v>
      </c>
      <c r="E58" s="563" t="str">
        <f>IF(C58&lt;&gt;0,PedGuiMedIV!D16&amp;" in "&amp;PedGuiMedIV!E16&amp;IF(AND(PedBerMedIV!D12&lt;&gt;4,PedGuiMedIV!F16&lt;&gt;0)," "&amp;PedGuiMedIV!F16,""),"")</f>
        <v/>
      </c>
      <c r="G58" s="563" t="str">
        <f>IF(C58&lt;&gt;0,PedGuiMedIV!G16&amp;" (="&amp;PedGuiMedIV!H16&amp;" " &amp; PedGuiMedIV!I16 &amp;")","")</f>
        <v/>
      </c>
      <c r="J58" s="563" t="str">
        <f>PedGuiMedIV!J16</f>
        <v/>
      </c>
      <c r="L58" s="569" t="str">
        <f t="shared" si="1"/>
        <v>D</v>
      </c>
    </row>
    <row r="59" spans="1:12" ht="12.65" customHeight="1" x14ac:dyDescent="0.3">
      <c r="B59" s="562">
        <v>9</v>
      </c>
      <c r="C59" s="563">
        <f>PedGuiMedIV!C17</f>
        <v>0</v>
      </c>
      <c r="E59" s="563" t="str">
        <f>IF(C59&lt;&gt;0,PedGuiMedIV!D17&amp;" in "&amp;PedGuiMedIV!E17&amp;IF(AND(PedBerMedIV!D13&lt;&gt;4,PedGuiMedIV!F17&lt;&gt;0)," "&amp;PedGuiMedIV!F17,""),"")</f>
        <v/>
      </c>
      <c r="G59" s="563" t="str">
        <f>IF(C59&lt;&gt;0,PedGuiMedIV!G17&amp;" (="&amp;PedGuiMedIV!H17&amp;" " &amp; PedGuiMedIV!I17 &amp;")","")</f>
        <v/>
      </c>
      <c r="J59" s="563" t="str">
        <f>PedGuiMedIV!J17</f>
        <v/>
      </c>
      <c r="L59" s="569" t="str">
        <f t="shared" si="1"/>
        <v>D</v>
      </c>
    </row>
    <row r="60" spans="1:12" ht="12.65" customHeight="1" x14ac:dyDescent="0.3">
      <c r="B60" s="562">
        <v>10</v>
      </c>
      <c r="C60" s="563">
        <f>PedGuiMedIV!C18</f>
        <v>0</v>
      </c>
      <c r="E60" s="563" t="str">
        <f>IF(C60&lt;&gt;0,PedGuiMedIV!D18&amp;" in "&amp;PedGuiMedIV!E18&amp;IF(AND(PedBerMedIV!D14&lt;&gt;4,PedGuiMedIV!F18&lt;&gt;0)," "&amp;PedGuiMedIV!F18,""),"")</f>
        <v/>
      </c>
      <c r="G60" s="563" t="str">
        <f>IF(C60&lt;&gt;0,PedGuiMedIV!G18&amp;" (="&amp;PedGuiMedIV!H18&amp;" " &amp; PedGuiMedIV!I18 &amp;")","")</f>
        <v/>
      </c>
      <c r="J60" s="563" t="str">
        <f>PedGuiMedIV!J18</f>
        <v/>
      </c>
      <c r="L60" s="569" t="str">
        <f t="shared" si="1"/>
        <v>D</v>
      </c>
    </row>
    <row r="61" spans="1:12" ht="12.65" customHeight="1" x14ac:dyDescent="0.3">
      <c r="B61" s="562">
        <v>11</v>
      </c>
      <c r="C61" s="563">
        <f>PedGuiMedIV!C20</f>
        <v>0</v>
      </c>
      <c r="E61" s="563" t="str">
        <f>IF(C61&lt;&gt;0,PedGuiMedIV!D20&amp;" in "&amp;PedGuiMedIV!E20&amp;IF(AND(PedBerMedIV!D15&lt;&gt;4,PedGuiMedIV!F20&lt;&gt;0)," "&amp;PedGuiMedIV!F20,""),"")</f>
        <v/>
      </c>
      <c r="G61" s="563" t="str">
        <f>IF(C61&lt;&gt;0,PedGuiMedIV!G20,"")</f>
        <v/>
      </c>
      <c r="J61" s="563" t="str">
        <f>PedGuiMedIV!J20</f>
        <v/>
      </c>
      <c r="L61" s="569" t="str">
        <f t="shared" si="1"/>
        <v>D</v>
      </c>
    </row>
    <row r="62" spans="1:12" ht="12.65" customHeight="1" x14ac:dyDescent="0.3">
      <c r="B62" s="562">
        <v>12</v>
      </c>
      <c r="C62" s="563">
        <f>PedGuiMedIV!C21</f>
        <v>0</v>
      </c>
      <c r="E62" s="563" t="str">
        <f>IF(C62&lt;&gt;0,PedGuiMedIV!D21&amp;" in "&amp;PedGuiMedIV!E21&amp;IF(AND(PedBerMedIV!D16&lt;&gt;4,PedGuiMedIV!F21&lt;&gt;0)," "&amp;PedGuiMedIV!F21,""),"")</f>
        <v/>
      </c>
      <c r="G62" s="563" t="str">
        <f>IF(C62&lt;&gt;0,PedGuiMedIV!G21,"")</f>
        <v/>
      </c>
      <c r="J62" s="563" t="str">
        <f>PedGuiMedIV!J21</f>
        <v/>
      </c>
      <c r="L62" s="569" t="str">
        <f t="shared" si="1"/>
        <v>D</v>
      </c>
    </row>
    <row r="63" spans="1:12" ht="12.65" customHeight="1" x14ac:dyDescent="0.3">
      <c r="B63" s="562">
        <v>13</v>
      </c>
      <c r="C63" s="563">
        <f>PedGuiMedIV!C22</f>
        <v>0</v>
      </c>
      <c r="E63" s="563" t="str">
        <f>IF(C63&lt;&gt;0,PedGuiMedIV!D22&amp;" in "&amp;PedGuiMedIV!E22&amp;IF(AND(PedBerMedIV!D17&lt;&gt;4,PedGuiMedIV!F22&lt;&gt;0)," "&amp;PedGuiMedIV!F22,""),"")</f>
        <v/>
      </c>
      <c r="G63" s="563" t="str">
        <f>IF(C63&lt;&gt;0,PedGuiMedIV!G22,"")</f>
        <v/>
      </c>
      <c r="J63" s="563" t="str">
        <f>PedGuiMedIV!J22</f>
        <v/>
      </c>
      <c r="L63" s="569" t="str">
        <f t="shared" si="1"/>
        <v>D</v>
      </c>
    </row>
    <row r="64" spans="1:12" ht="12.65" customHeight="1" x14ac:dyDescent="0.3">
      <c r="B64" s="562">
        <v>14</v>
      </c>
      <c r="C64" s="563">
        <f>PedGuiMedIV!C23</f>
        <v>0</v>
      </c>
      <c r="E64" s="563" t="str">
        <f>IF(C64&lt;&gt;0,PedGuiMedIV!D23&amp;" in "&amp;PedGuiMedIV!E23&amp;IF(AND(PedBerMedIV!D18&lt;&gt;4,PedGuiMedIV!F23&lt;&gt;0)," "&amp;PedGuiMedIV!F23,""),"")</f>
        <v/>
      </c>
      <c r="G64" s="563" t="str">
        <f>IF(C64&lt;&gt;0,PedGuiMedIV!G23,"")</f>
        <v/>
      </c>
      <c r="J64" s="563" t="str">
        <f>PedGuiMedIV!J23</f>
        <v/>
      </c>
      <c r="L64" s="569" t="str">
        <f t="shared" si="1"/>
        <v>D</v>
      </c>
    </row>
    <row r="65" spans="1:12" ht="12.65" customHeight="1" x14ac:dyDescent="0.3">
      <c r="B65" s="562">
        <v>15</v>
      </c>
      <c r="C65" s="563">
        <f>PedGuiMedIV!C24</f>
        <v>0</v>
      </c>
      <c r="E65" s="563" t="str">
        <f>IF(C65&lt;&gt;0,PedGuiMedIV!D24&amp;" in "&amp;PedGuiMedIV!E24&amp;IF(AND(PedBerMedIV!D19&lt;&gt;4,PedGuiMedIV!F24&lt;&gt;0)," "&amp;PedGuiMedIV!F24,""),"")</f>
        <v/>
      </c>
      <c r="G65" s="563" t="str">
        <f>IF(C65&lt;&gt;0,PedGuiMedIV!G24,"")</f>
        <v/>
      </c>
      <c r="J65" s="563" t="str">
        <f>PedGuiMedIV!J24</f>
        <v/>
      </c>
      <c r="L65" s="569" t="str">
        <f t="shared" si="1"/>
        <v>D</v>
      </c>
    </row>
    <row r="66" spans="1:12" ht="12.65" customHeight="1" x14ac:dyDescent="0.3">
      <c r="L66" s="569"/>
    </row>
    <row r="67" spans="1:12" ht="12.65" customHeight="1" x14ac:dyDescent="0.3">
      <c r="B67" s="565"/>
      <c r="C67" s="568" t="s">
        <v>313</v>
      </c>
      <c r="D67" s="888">
        <f>GlobBerOpm!C3</f>
        <v>0</v>
      </c>
      <c r="E67" s="888"/>
      <c r="F67" s="888"/>
      <c r="G67" s="888"/>
      <c r="H67" s="888"/>
      <c r="I67" s="888"/>
      <c r="J67" s="888"/>
      <c r="L67" s="569"/>
    </row>
    <row r="68" spans="1:12" ht="12.65" customHeight="1" x14ac:dyDescent="0.3">
      <c r="D68" s="891"/>
      <c r="E68" s="891"/>
      <c r="F68" s="891"/>
      <c r="G68" s="891"/>
      <c r="H68" s="891"/>
      <c r="I68" s="891"/>
      <c r="J68" s="891"/>
      <c r="L68" s="569"/>
    </row>
    <row r="69" spans="1:12" ht="12.65" customHeight="1" x14ac:dyDescent="0.3">
      <c r="A69" s="572"/>
      <c r="B69" s="573" t="str">
        <f>PedGuiEntTPN!C16</f>
        <v>Infuus</v>
      </c>
      <c r="C69" s="580"/>
      <c r="D69" s="572"/>
      <c r="E69" s="572"/>
      <c r="F69" s="572"/>
      <c r="G69" s="572"/>
      <c r="H69" s="572"/>
      <c r="I69" s="572"/>
      <c r="J69" s="572"/>
      <c r="L69" s="569"/>
    </row>
    <row r="70" spans="1:12" ht="12.65" customHeight="1" x14ac:dyDescent="0.3">
      <c r="B70" s="565"/>
      <c r="C70" s="568"/>
      <c r="D70" s="586">
        <f>IF(E70&lt;&gt;"",PedGuiEntTPN!C17,)</f>
        <v>0</v>
      </c>
      <c r="E70" s="587" t="str">
        <f>IF(PedPrtTPN2tot6!G21&lt;&gt;0,PedPrtTPN2tot6!A14&amp;" ml","")</f>
        <v/>
      </c>
      <c r="F70" s="587" t="str">
        <f>IF(PedPrtTPN2tot6!G21&lt;&gt;0,PedPrtTPN2tot6!G21&amp;" ml","")</f>
        <v/>
      </c>
      <c r="G70" s="588"/>
      <c r="H70" s="586">
        <f>IF(I70&lt;&gt;"",PedGuiEntTPN!H17,)</f>
        <v>0</v>
      </c>
      <c r="I70" s="587" t="str">
        <f>PedGuiEntTPN!I17</f>
        <v/>
      </c>
      <c r="J70" s="587" t="str">
        <f>PedGuiEntTPN!J17</f>
        <v/>
      </c>
      <c r="L70" s="569"/>
    </row>
    <row r="71" spans="1:12" ht="12.65" customHeight="1" x14ac:dyDescent="0.3">
      <c r="B71" s="565"/>
      <c r="C71" s="568"/>
      <c r="D71" s="566" t="str">
        <f>IF(F71&lt;&gt;"",PedBerTPN!A28,"")</f>
        <v/>
      </c>
      <c r="E71" s="563" t="str">
        <f>IF(PedBerTPN!B4=4,ROUND(PedBerTPN!D4,1)&amp;" ml/uur","")</f>
        <v/>
      </c>
      <c r="F71" s="563" t="str">
        <f>PedGuiEntTPN!E18</f>
        <v/>
      </c>
      <c r="G71" s="568"/>
      <c r="H71" s="566">
        <f>IF(J71&lt;&gt;"",INDEX(tblSSTGlucose,_Ped_TPN_SST2Keuze,1),)</f>
        <v>0</v>
      </c>
      <c r="J71" s="563" t="str">
        <f>PedGuiEntTPN!J19</f>
        <v/>
      </c>
      <c r="L71" s="569" t="str">
        <f>IF(AND(D71="",H71=0),"D","")</f>
        <v>D</v>
      </c>
    </row>
    <row r="72" spans="1:12" ht="12.65" customHeight="1" x14ac:dyDescent="0.3">
      <c r="B72" s="565"/>
      <c r="C72" s="568"/>
      <c r="D72" s="566" t="str">
        <f>IF(PedGuiEntTPN!G18&lt;&gt;"","Peditrace","")</f>
        <v/>
      </c>
      <c r="E72" s="559" t="str">
        <f>IF(PedGuiEntTPN!G18&lt;&gt;"",PedGuiEntTPN!G18&amp;" "&amp;PedGuiEntTPN!F19,"")</f>
        <v/>
      </c>
      <c r="F72" s="560"/>
      <c r="G72" s="568"/>
      <c r="H72" s="566">
        <f>IF(J72&lt;&gt;"",PedGuiEntTPN!H20,)</f>
        <v>0</v>
      </c>
      <c r="J72" s="563" t="str">
        <f>PedGuiEntTPN!J20</f>
        <v/>
      </c>
      <c r="L72" s="569" t="str">
        <f>IF(AND(D72="",H72=0),"D","")</f>
        <v>D</v>
      </c>
    </row>
    <row r="73" spans="1:12" ht="12.65" customHeight="1" x14ac:dyDescent="0.3">
      <c r="B73" s="565"/>
      <c r="C73" s="568"/>
      <c r="D73" s="566">
        <f>IF(F73&lt;&gt;"",INDEX(tblSSTGlucose,_Ped_TPN_SST1Keuze,1),)</f>
        <v>0</v>
      </c>
      <c r="F73" s="563" t="str">
        <f>IF(AND(_Ped_TPN_Keuze=2,_Ped_TPN_SST1Keuze&lt;11,_Pat_Gewicht/10&lt;=50),ROUND(PedBerTPN!F6,0)&amp;" ml","")</f>
        <v/>
      </c>
      <c r="G73" s="568"/>
      <c r="H73" s="566">
        <f>IF(J73&lt;&gt;"",PedGuiEntTPN!H21,)</f>
        <v>0</v>
      </c>
      <c r="J73" s="563" t="str">
        <f>PedGuiEntTPN!J21</f>
        <v/>
      </c>
      <c r="L73" s="569" t="str">
        <f>IF(AND(D73="",H73=0),"D","")</f>
        <v/>
      </c>
    </row>
    <row r="74" spans="1:12" ht="12.65" customHeight="1" x14ac:dyDescent="0.3">
      <c r="B74" s="565"/>
      <c r="C74" s="568"/>
      <c r="D74" s="566">
        <f>IF(F74&lt;&gt;"",PedGuiEntTPN!C20,)</f>
        <v>0</v>
      </c>
      <c r="F74" s="563" t="str">
        <f>IF(AND(PedPrtTPN2tot6!G14&lt;&gt;"",PedBerTPN!$F$4&gt;0),PedPrtTPN2tot6!G14&amp;" ml","")</f>
        <v/>
      </c>
      <c r="L74" s="569" t="str">
        <f>IF(D74=0,"D","")</f>
        <v>D</v>
      </c>
    </row>
    <row r="75" spans="1:12" ht="12.65" customHeight="1" x14ac:dyDescent="0.3">
      <c r="B75" s="565"/>
      <c r="C75" s="568"/>
      <c r="D75" s="566">
        <f>IF(F75&lt;&gt;"",PedGuiEntTPN!C21,)</f>
        <v>0</v>
      </c>
      <c r="F75" s="563" t="str">
        <f>IF(AND(PedPrtTPN2tot6!G15&lt;&gt;"",PedBerTPN!$F$4&gt;0),PedPrtTPN2tot6!G15&amp;" ml","")</f>
        <v/>
      </c>
      <c r="L75" s="569" t="str">
        <f>IF(D75=0,"D","")</f>
        <v>D</v>
      </c>
    </row>
    <row r="76" spans="1:12" ht="12.65" customHeight="1" x14ac:dyDescent="0.3">
      <c r="D76" s="589"/>
      <c r="H76" s="589"/>
      <c r="L76" s="569"/>
    </row>
    <row r="77" spans="1:12" ht="12.65" customHeight="1" x14ac:dyDescent="0.3">
      <c r="B77" s="565"/>
      <c r="C77" s="568"/>
      <c r="D77" s="590" t="str">
        <f>IF(F77&lt;&gt;"","Electrolyt/Glucose mengsel","")</f>
        <v/>
      </c>
      <c r="E77" s="572" t="str">
        <f>IF(AND(_Pat_Gewicht/10&gt;50,PedPrtTPN50!A27&lt;&gt;""),PedPrtTPN50!A27,PedPrtTPN2tot6!A29)</f>
        <v/>
      </c>
      <c r="F77" s="572" t="str">
        <f>IF(AND(_Pat_Gewicht/10&gt;50,PedPrtTPN50!G35&lt;&gt;0),PedPrtTPN50!G35&amp;" ml",IF(PedPrtTPN2tot6!G36&lt;&gt;0,PedPrtTPN2tot6!G36&amp;" ml",""))</f>
        <v/>
      </c>
      <c r="G77" s="572"/>
      <c r="H77" s="591"/>
      <c r="I77" s="572"/>
      <c r="J77" s="572"/>
      <c r="L77" s="569"/>
    </row>
    <row r="78" spans="1:12" ht="12.65" customHeight="1" x14ac:dyDescent="0.3">
      <c r="B78" s="565"/>
      <c r="C78" s="568"/>
      <c r="D78" s="566">
        <f>IF(F78&lt;&gt;"",INDEX(tblSSTGlucose,_Ped_TPN_SST1Keuze,1),)</f>
        <v>0</v>
      </c>
      <c r="E78" s="592"/>
      <c r="F78" s="563" t="str">
        <f>IF(AND(OR(_Ped_TPN_Keuze=1,AND(_Ped_TPN_Keuze=2,_Ped_TPN_SST1Keuze&gt;10),_Pat_Gewicht/10&gt;50),ROUND(PedBerTPN!F6,0)&lt;&gt;0,_Ped_TPN_SST1Keuze&lt;&gt;2),ROUND(PedBerTPN!F6,0)&amp;" ml","")</f>
        <v/>
      </c>
      <c r="L78" s="569" t="str">
        <f>IF(D78=0,"D","")</f>
        <v>D</v>
      </c>
    </row>
    <row r="79" spans="1:12" ht="12.65" customHeight="1" x14ac:dyDescent="0.3">
      <c r="B79" s="565"/>
      <c r="C79" s="568"/>
      <c r="D79" s="566">
        <f>IF(F79&lt;&gt;"","CaGluc 10%",)</f>
        <v>0</v>
      </c>
      <c r="F79" s="563" t="str">
        <f>PedGuiEntTPN!E23</f>
        <v/>
      </c>
      <c r="L79" s="569" t="str">
        <f t="shared" ref="L79:L85" si="2">IF(D79=0,"D","")</f>
        <v>D</v>
      </c>
    </row>
    <row r="80" spans="1:12" ht="12.65" customHeight="1" x14ac:dyDescent="0.3">
      <c r="B80" s="565"/>
      <c r="C80" s="568"/>
      <c r="D80" s="566">
        <f>IF(F80&lt;&gt;"","MgCl 10%",)</f>
        <v>0</v>
      </c>
      <c r="F80" s="563" t="str">
        <f>PedGuiEntTPN!E24</f>
        <v/>
      </c>
      <c r="L80" s="569" t="str">
        <f t="shared" si="2"/>
        <v>D</v>
      </c>
    </row>
    <row r="81" spans="1:12" ht="12.65" customHeight="1" x14ac:dyDescent="0.3">
      <c r="B81" s="565"/>
      <c r="C81" s="568"/>
      <c r="D81" s="566">
        <f>IF(F81&lt;&gt;"",PedGuiEntTPN!C20,)</f>
        <v>0</v>
      </c>
      <c r="F81" s="563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589"/>
      <c r="L81" s="569" t="str">
        <f t="shared" si="2"/>
        <v>D</v>
      </c>
    </row>
    <row r="82" spans="1:12" ht="12.65" customHeight="1" x14ac:dyDescent="0.3">
      <c r="B82" s="565"/>
      <c r="C82" s="568"/>
      <c r="D82" s="566">
        <f>IF(F82&lt;&gt;"",PedGuiEntTPN!C21,)</f>
        <v>0</v>
      </c>
      <c r="F82" s="563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589"/>
      <c r="L82" s="569" t="str">
        <f t="shared" si="2"/>
        <v>D</v>
      </c>
    </row>
    <row r="83" spans="1:12" ht="12.65" customHeight="1" x14ac:dyDescent="0.3">
      <c r="B83" s="565"/>
      <c r="C83" s="568"/>
      <c r="D83" s="566" t="str">
        <f>IF(F83&lt;&gt;"","Glucose 10%","")</f>
        <v/>
      </c>
      <c r="F83" s="563" t="str">
        <f>IF(AND(_Pat_Gewicht/10&gt;51,PedPrtTPN50!G31&lt;&gt;0),PedPrtTPN50!G31&amp;" ml",IF(AND(PedPrtTPN2tot6!G33&lt;&gt;0,_Pat_Gewicht/10&lt;=50),PedPrtTPN2tot6!G33&amp;" ml",""))</f>
        <v/>
      </c>
      <c r="H83" s="589"/>
      <c r="L83" s="569" t="str">
        <f t="shared" si="2"/>
        <v/>
      </c>
    </row>
    <row r="84" spans="1:12" ht="12.65" customHeight="1" x14ac:dyDescent="0.3">
      <c r="L84" s="569"/>
    </row>
    <row r="85" spans="1:12" ht="12.65" customHeight="1" x14ac:dyDescent="0.3">
      <c r="B85" s="565"/>
      <c r="C85" s="568"/>
      <c r="D85" s="593">
        <f>IF(E85&lt;&gt;" ","KNaFosfaat",)</f>
        <v>0</v>
      </c>
      <c r="E85" s="572" t="str">
        <f>PedGuiEntTPN!E26&amp;" "&amp;PedGuiEntTPN!H26</f>
        <v xml:space="preserve"> </v>
      </c>
      <c r="F85" s="572"/>
      <c r="L85" s="569" t="str">
        <f t="shared" si="2"/>
        <v>D</v>
      </c>
    </row>
    <row r="86" spans="1:12" ht="12.65" customHeight="1" x14ac:dyDescent="0.3">
      <c r="L86" s="569"/>
    </row>
    <row r="87" spans="1:12" ht="12.65" customHeight="1" x14ac:dyDescent="0.3">
      <c r="B87" s="565"/>
      <c r="C87" s="568"/>
      <c r="D87" s="594">
        <f>IF(E87&lt;&gt;"",PedGuiEntTPN!C27,)</f>
        <v>0</v>
      </c>
      <c r="E87" s="572" t="str">
        <f>PedGuiEntTPN!D27</f>
        <v/>
      </c>
      <c r="F87" s="572" t="str">
        <f>IF(ROUND(PedBerTPN!F12,0)&gt;0,ROUND(PedBerTPN!F12,0)&amp;" ml","")</f>
        <v/>
      </c>
      <c r="H87" s="559"/>
      <c r="L87" s="569"/>
    </row>
    <row r="88" spans="1:12" ht="12.65" customHeight="1" x14ac:dyDescent="0.3">
      <c r="B88" s="565"/>
      <c r="C88" s="568"/>
      <c r="D88" s="566">
        <f>IF(F88&lt;&gt;"","Intralipid 20%",)</f>
        <v>0</v>
      </c>
      <c r="F88" s="563" t="str">
        <f>PedGuiEntTPN!E28</f>
        <v/>
      </c>
      <c r="H88" s="589"/>
      <c r="L88" s="569" t="str">
        <f>IF(D88=0,"D","")</f>
        <v>D</v>
      </c>
    </row>
    <row r="89" spans="1:12" ht="12.65" customHeight="1" x14ac:dyDescent="0.3">
      <c r="B89" s="565"/>
      <c r="C89" s="568"/>
      <c r="D89" s="566">
        <f>IF(F89&lt;&gt;"","Vitintra Infant",)</f>
        <v>0</v>
      </c>
      <c r="F89" s="563" t="str">
        <f>PedGuiEntTPN!E29</f>
        <v/>
      </c>
      <c r="H89" s="589"/>
      <c r="L89" s="569" t="str">
        <f>IF(D89=0,"D","")</f>
        <v>D</v>
      </c>
    </row>
    <row r="90" spans="1:12" ht="12.65" customHeight="1" x14ac:dyDescent="0.3">
      <c r="B90" s="565"/>
      <c r="C90" s="568"/>
      <c r="D90" s="566">
        <f>IF(F90&lt;&gt;"","Soluvit",)</f>
        <v>0</v>
      </c>
      <c r="F90" s="563" t="str">
        <f>PedGuiEntTPN!E30</f>
        <v/>
      </c>
      <c r="H90" s="589"/>
      <c r="L90" s="569" t="str">
        <f>IF(D90=0,"D","")</f>
        <v>D</v>
      </c>
    </row>
    <row r="91" spans="1:12" ht="12.65" customHeight="1" x14ac:dyDescent="0.3">
      <c r="C91" s="589"/>
      <c r="L91" s="569"/>
    </row>
    <row r="92" spans="1:12" ht="12.65" customHeight="1" x14ac:dyDescent="0.3">
      <c r="A92" s="572"/>
      <c r="B92" s="576"/>
      <c r="C92" s="577" t="s">
        <v>313</v>
      </c>
      <c r="D92" s="895">
        <f>GlobBerOpm!C4</f>
        <v>0</v>
      </c>
      <c r="E92" s="896"/>
      <c r="F92" s="896"/>
      <c r="G92" s="896"/>
      <c r="H92" s="896"/>
      <c r="I92" s="896"/>
      <c r="J92" s="896"/>
      <c r="L92" s="569"/>
    </row>
    <row r="93" spans="1:12" ht="12.65" customHeight="1" x14ac:dyDescent="0.3">
      <c r="L93" s="569"/>
    </row>
    <row r="94" spans="1:12" ht="12.65" customHeight="1" x14ac:dyDescent="0.3">
      <c r="L94" s="569"/>
    </row>
    <row r="95" spans="1:12" ht="12.65" customHeight="1" x14ac:dyDescent="0.3">
      <c r="A95" s="572"/>
      <c r="B95" s="573" t="s">
        <v>379</v>
      </c>
      <c r="C95" s="580"/>
      <c r="D95" s="572"/>
      <c r="E95" s="572"/>
      <c r="F95" s="572"/>
      <c r="G95" s="572"/>
      <c r="H95" s="572"/>
      <c r="I95" s="572"/>
      <c r="J95" s="572"/>
      <c r="L95" s="569"/>
    </row>
    <row r="96" spans="1:12" ht="12.65" customHeight="1" x14ac:dyDescent="0.3">
      <c r="B96" s="565"/>
      <c r="C96" s="566" t="str">
        <f>PedGuiEntTPN!B34</f>
        <v>Vocht</v>
      </c>
      <c r="D96" s="563" t="str">
        <f>PedGuiEntTPN!D34</f>
        <v>0 ml/kg</v>
      </c>
      <c r="E96" s="566" t="str">
        <f>PedGuiEntTPN!B35</f>
        <v>Calorieen</v>
      </c>
      <c r="F96" s="563" t="str">
        <f>PedGuiEntTPN!D35</f>
        <v>0 kCal/kg</v>
      </c>
      <c r="G96" s="566" t="str">
        <f>PedGuiEntTPN!B38</f>
        <v>Kalium</v>
      </c>
      <c r="H96" s="563" t="str">
        <f>PedGuiEntTPN!D38</f>
        <v>0 mmol/kg</v>
      </c>
      <c r="I96" s="566" t="str">
        <f>PedGuiEntTPN!B37</f>
        <v xml:space="preserve">Natrium </v>
      </c>
      <c r="J96" s="563" t="str">
        <f>PedGuiEntTPN!D37</f>
        <v>0 mmol/kg</v>
      </c>
      <c r="L96" s="569"/>
    </row>
    <row r="97" spans="1:12" ht="12.65" customHeight="1" x14ac:dyDescent="0.3">
      <c r="B97" s="565"/>
      <c r="C97" s="566" t="str">
        <f>PedGuiEntTPN!H34</f>
        <v>Eiwit</v>
      </c>
      <c r="D97" s="563" t="str">
        <f>PedGuiEntTPN!I34</f>
        <v>0  gram/kg</v>
      </c>
      <c r="E97" s="566" t="str">
        <f>PedGuiEntTPN!H35</f>
        <v>Vet</v>
      </c>
      <c r="F97" s="563" t="str">
        <f>PedGuiEntTPN!I35</f>
        <v>0 gram/kg</v>
      </c>
      <c r="G97" s="566" t="str">
        <f>PedGuiEntTPN!H36</f>
        <v>Calcium</v>
      </c>
      <c r="H97" s="563" t="str">
        <f>PedGuiEntTPN!I36</f>
        <v>0 mmol/kg</v>
      </c>
      <c r="I97" s="566" t="str">
        <f>PedGuiEntTPN!H38</f>
        <v>Fosfaat</v>
      </c>
      <c r="J97" s="563" t="str">
        <f>PedGuiEntTPN!I38</f>
        <v>0 mmol/kg</v>
      </c>
      <c r="L97" s="569"/>
    </row>
    <row r="98" spans="1:12" ht="12.65" customHeight="1" x14ac:dyDescent="0.3">
      <c r="A98" s="572"/>
      <c r="B98" s="576"/>
      <c r="C98" s="595" t="str">
        <f>PedGuiEntTPN!B36</f>
        <v>Glucose/KH</v>
      </c>
      <c r="D98" s="572" t="str">
        <f>PedGuiEntTPN!D36</f>
        <v>0 g/kg</v>
      </c>
      <c r="E98" s="577"/>
      <c r="F98" s="572"/>
      <c r="G98" s="595" t="s">
        <v>338</v>
      </c>
      <c r="H98" s="572" t="str">
        <f>PedGuiEntTPN!I37</f>
        <v>0 mmol/kg</v>
      </c>
      <c r="I98" s="577"/>
      <c r="J98" s="572"/>
      <c r="L98" s="569"/>
    </row>
    <row r="99" spans="1:12" ht="12.65" customHeight="1" x14ac:dyDescent="0.3">
      <c r="B99" s="565"/>
      <c r="C99" s="566" t="s">
        <v>485</v>
      </c>
      <c r="D99" s="567">
        <f ca="1">TODAY()</f>
        <v>42739</v>
      </c>
      <c r="E99" s="566" t="s">
        <v>486</v>
      </c>
      <c r="F99" s="892" t="str">
        <f>__2_AchterNaam&amp;", "&amp;__3_VoorNaam</f>
        <v xml:space="preserve">, </v>
      </c>
      <c r="G99" s="892"/>
      <c r="H99" s="568" t="s">
        <v>295</v>
      </c>
      <c r="I99" s="563" t="str">
        <f>_Pat_Gewicht/10&amp;" kg"</f>
        <v>10 kg</v>
      </c>
      <c r="J99" s="559"/>
      <c r="L99" s="569"/>
    </row>
    <row r="100" spans="1:12" ht="12.65" customHeight="1" x14ac:dyDescent="0.3">
      <c r="B100" s="565"/>
      <c r="C100" s="566" t="s">
        <v>221</v>
      </c>
      <c r="D100" s="570">
        <f ca="1">Var_AfspraakDatum-_Pat_OpnDatum+1</f>
        <v>370</v>
      </c>
      <c r="E100" s="566" t="s">
        <v>484</v>
      </c>
      <c r="F100" s="571">
        <f>__4_GebDatum</f>
        <v>0</v>
      </c>
      <c r="G100" s="559"/>
      <c r="H100" s="568" t="s">
        <v>142</v>
      </c>
      <c r="I100" s="563" t="str">
        <f>_Pat_Lengte&amp;" cm"</f>
        <v>80 cm</v>
      </c>
      <c r="J100" s="559"/>
      <c r="L100" s="569"/>
    </row>
    <row r="101" spans="1:12" ht="12.65" customHeight="1" x14ac:dyDescent="0.3">
      <c r="D101" s="559"/>
      <c r="F101" s="559"/>
      <c r="H101" s="568" t="s">
        <v>143</v>
      </c>
      <c r="I101" s="563" t="str">
        <f>ROUND(POWER(_Pat_Gewicht/10,0.425)*POWER(((_Pat_Lengte/100)*100),0.725)*0.007184,2)&amp;" m2"</f>
        <v>0,46 m2</v>
      </c>
      <c r="L101" s="569"/>
    </row>
    <row r="102" spans="1:12" ht="12.65" customHeight="1" x14ac:dyDescent="0.3">
      <c r="D102" s="559"/>
      <c r="F102" s="559"/>
      <c r="L102" s="569"/>
    </row>
    <row r="103" spans="1:12" ht="12.65" customHeight="1" x14ac:dyDescent="0.3">
      <c r="D103" s="559"/>
      <c r="F103" s="559"/>
      <c r="L103" s="569"/>
    </row>
    <row r="104" spans="1:12" ht="12.65" customHeight="1" x14ac:dyDescent="0.3">
      <c r="D104" s="559"/>
      <c r="F104" s="559"/>
      <c r="L104" s="569"/>
    </row>
    <row r="105" spans="1:12" ht="12.65" customHeight="1" x14ac:dyDescent="0.3">
      <c r="B105" s="573" t="s">
        <v>30</v>
      </c>
      <c r="C105" s="572"/>
      <c r="D105" s="585"/>
      <c r="E105" s="572"/>
      <c r="F105" s="573" t="e">
        <f>IF(Comfort,"Ja","Nee")</f>
        <v>#NAME?</v>
      </c>
      <c r="L105" s="569"/>
    </row>
    <row r="106" spans="1:12" ht="12.65" customHeight="1" x14ac:dyDescent="0.3">
      <c r="L106" s="569"/>
    </row>
    <row r="107" spans="1:12" ht="12.65" customHeight="1" x14ac:dyDescent="0.3">
      <c r="D107" s="596" t="s">
        <v>292</v>
      </c>
      <c r="G107" s="596" t="s">
        <v>137</v>
      </c>
      <c r="L107" s="569"/>
    </row>
    <row r="108" spans="1:12" ht="25" customHeight="1" x14ac:dyDescent="0.3">
      <c r="A108" s="901" t="s">
        <v>135</v>
      </c>
      <c r="B108" s="902"/>
      <c r="C108" s="597" t="s">
        <v>136</v>
      </c>
      <c r="D108" s="597" t="s">
        <v>138</v>
      </c>
      <c r="E108" s="901" t="s">
        <v>140</v>
      </c>
      <c r="F108" s="902"/>
      <c r="G108" s="597" t="s">
        <v>138</v>
      </c>
      <c r="H108" s="901" t="s">
        <v>139</v>
      </c>
      <c r="I108" s="902"/>
      <c r="J108" s="597" t="s">
        <v>262</v>
      </c>
      <c r="K108" s="562"/>
      <c r="L108" s="569"/>
    </row>
    <row r="109" spans="1:12" ht="20.100000000000001" customHeight="1" x14ac:dyDescent="0.3">
      <c r="A109" s="598"/>
      <c r="B109" s="599"/>
      <c r="C109" s="597"/>
      <c r="D109" s="597"/>
      <c r="E109" s="598"/>
      <c r="F109" s="599"/>
      <c r="G109" s="600"/>
      <c r="H109" s="598"/>
      <c r="I109" s="601"/>
      <c r="J109" s="597"/>
      <c r="K109" s="562"/>
      <c r="L109" s="569"/>
    </row>
    <row r="110" spans="1:12" ht="20.100000000000001" customHeight="1" x14ac:dyDescent="0.3">
      <c r="A110" s="598"/>
      <c r="B110" s="599"/>
      <c r="C110" s="597"/>
      <c r="D110" s="597"/>
      <c r="E110" s="598"/>
      <c r="F110" s="599"/>
      <c r="G110" s="600"/>
      <c r="H110" s="598"/>
      <c r="I110" s="601"/>
      <c r="J110" s="597"/>
      <c r="K110" s="562"/>
      <c r="L110" s="569"/>
    </row>
    <row r="111" spans="1:12" ht="20.100000000000001" customHeight="1" x14ac:dyDescent="0.3">
      <c r="A111" s="598"/>
      <c r="B111" s="599"/>
      <c r="C111" s="597"/>
      <c r="D111" s="597"/>
      <c r="E111" s="598"/>
      <c r="F111" s="599"/>
      <c r="G111" s="600"/>
      <c r="H111" s="598"/>
      <c r="I111" s="601"/>
      <c r="J111" s="597"/>
      <c r="K111" s="562"/>
      <c r="L111" s="569"/>
    </row>
    <row r="112" spans="1:12" ht="20.100000000000001" customHeight="1" x14ac:dyDescent="0.3">
      <c r="A112" s="598"/>
      <c r="B112" s="599"/>
      <c r="C112" s="597"/>
      <c r="D112" s="597"/>
      <c r="E112" s="598"/>
      <c r="F112" s="599"/>
      <c r="G112" s="600"/>
      <c r="H112" s="598"/>
      <c r="I112" s="601"/>
      <c r="J112" s="597"/>
      <c r="K112" s="562"/>
      <c r="L112" s="569"/>
    </row>
    <row r="113" spans="1:13" ht="20.100000000000001" customHeight="1" x14ac:dyDescent="0.3">
      <c r="A113" s="598"/>
      <c r="B113" s="599"/>
      <c r="C113" s="597"/>
      <c r="D113" s="597"/>
      <c r="E113" s="598"/>
      <c r="F113" s="599"/>
      <c r="G113" s="600"/>
      <c r="H113" s="598"/>
      <c r="I113" s="601"/>
      <c r="J113" s="597"/>
      <c r="K113" s="562"/>
      <c r="L113" s="569"/>
    </row>
    <row r="114" spans="1:13" ht="20.100000000000001" customHeight="1" x14ac:dyDescent="0.3">
      <c r="A114" s="598"/>
      <c r="B114" s="599"/>
      <c r="C114" s="597"/>
      <c r="D114" s="597"/>
      <c r="E114" s="598"/>
      <c r="F114" s="599"/>
      <c r="G114" s="600"/>
      <c r="H114" s="598"/>
      <c r="I114" s="601"/>
      <c r="J114" s="597"/>
      <c r="K114" s="562"/>
      <c r="L114" s="569"/>
    </row>
    <row r="115" spans="1:13" ht="20.100000000000001" customHeight="1" x14ac:dyDescent="0.3">
      <c r="A115" s="598"/>
      <c r="B115" s="599"/>
      <c r="C115" s="597"/>
      <c r="D115" s="597"/>
      <c r="E115" s="598"/>
      <c r="F115" s="599"/>
      <c r="G115" s="600"/>
      <c r="H115" s="598"/>
      <c r="I115" s="601"/>
      <c r="J115" s="597"/>
      <c r="K115" s="562"/>
      <c r="L115" s="569"/>
    </row>
    <row r="116" spans="1:13" ht="20.100000000000001" customHeight="1" x14ac:dyDescent="0.3">
      <c r="A116" s="598"/>
      <c r="B116" s="599"/>
      <c r="C116" s="597"/>
      <c r="D116" s="597"/>
      <c r="E116" s="598"/>
      <c r="F116" s="599"/>
      <c r="G116" s="600"/>
      <c r="H116" s="598"/>
      <c r="I116" s="601"/>
      <c r="J116" s="597"/>
      <c r="K116" s="562"/>
      <c r="L116" s="569"/>
    </row>
    <row r="117" spans="1:13" ht="20.100000000000001" customHeight="1" x14ac:dyDescent="0.3">
      <c r="A117" s="598"/>
      <c r="B117" s="599"/>
      <c r="C117" s="597"/>
      <c r="D117" s="597"/>
      <c r="E117" s="598"/>
      <c r="F117" s="599"/>
      <c r="G117" s="600"/>
      <c r="H117" s="598"/>
      <c r="I117" s="601"/>
      <c r="J117" s="597"/>
      <c r="K117" s="562"/>
      <c r="L117" s="569"/>
    </row>
    <row r="118" spans="1:13" ht="20.100000000000001" customHeight="1" x14ac:dyDescent="0.3">
      <c r="A118" s="598"/>
      <c r="B118" s="599"/>
      <c r="C118" s="597"/>
      <c r="D118" s="597"/>
      <c r="E118" s="598"/>
      <c r="F118" s="599"/>
      <c r="G118" s="600"/>
      <c r="H118" s="598"/>
      <c r="I118" s="601"/>
      <c r="J118" s="597"/>
      <c r="K118" s="15"/>
      <c r="L118" s="569"/>
      <c r="M118" s="564"/>
    </row>
    <row r="119" spans="1:13" ht="20.100000000000001" customHeight="1" x14ac:dyDescent="0.3">
      <c r="A119" s="598"/>
      <c r="B119" s="599"/>
      <c r="C119" s="597"/>
      <c r="D119" s="597"/>
      <c r="E119" s="598"/>
      <c r="F119" s="599"/>
      <c r="G119" s="600"/>
      <c r="H119" s="598"/>
      <c r="I119" s="601"/>
      <c r="J119" s="597"/>
      <c r="K119" s="15"/>
      <c r="L119" s="569"/>
      <c r="M119" s="564"/>
    </row>
    <row r="120" spans="1:13" ht="20.100000000000001" customHeight="1" x14ac:dyDescent="0.3">
      <c r="A120" s="598"/>
      <c r="B120" s="599"/>
      <c r="C120" s="597"/>
      <c r="D120" s="597"/>
      <c r="E120" s="598"/>
      <c r="F120" s="599"/>
      <c r="G120" s="600"/>
      <c r="H120" s="598"/>
      <c r="I120" s="601"/>
      <c r="J120" s="597"/>
      <c r="K120" s="15"/>
      <c r="L120" s="569"/>
      <c r="M120" s="564"/>
    </row>
    <row r="121" spans="1:13" ht="20.100000000000001" customHeight="1" x14ac:dyDescent="0.3">
      <c r="A121" s="598"/>
      <c r="B121" s="599"/>
      <c r="C121" s="597"/>
      <c r="D121" s="597"/>
      <c r="E121" s="598"/>
      <c r="F121" s="599"/>
      <c r="G121" s="600"/>
      <c r="H121" s="598"/>
      <c r="I121" s="601"/>
      <c r="J121" s="597"/>
      <c r="K121" s="15"/>
      <c r="L121" s="569"/>
      <c r="M121" s="564"/>
    </row>
    <row r="122" spans="1:13" ht="20.100000000000001" customHeight="1" x14ac:dyDescent="0.3">
      <c r="A122" s="598"/>
      <c r="B122" s="599"/>
      <c r="C122" s="597"/>
      <c r="D122" s="597"/>
      <c r="E122" s="598"/>
      <c r="F122" s="599"/>
      <c r="G122" s="600"/>
      <c r="H122" s="598"/>
      <c r="I122" s="601"/>
      <c r="J122" s="597"/>
      <c r="K122" s="15"/>
      <c r="L122" s="569"/>
      <c r="M122" s="564"/>
    </row>
    <row r="123" spans="1:13" ht="20.100000000000001" customHeight="1" x14ac:dyDescent="0.3">
      <c r="A123" s="598"/>
      <c r="B123" s="599"/>
      <c r="C123" s="597"/>
      <c r="D123" s="597"/>
      <c r="E123" s="598"/>
      <c r="F123" s="599"/>
      <c r="G123" s="600"/>
      <c r="H123" s="598"/>
      <c r="I123" s="601"/>
      <c r="J123" s="597"/>
      <c r="K123" s="15"/>
      <c r="L123" s="569"/>
      <c r="M123" s="564"/>
    </row>
    <row r="124" spans="1:13" ht="20.100000000000001" customHeight="1" x14ac:dyDescent="0.3">
      <c r="A124" s="598"/>
      <c r="B124" s="599"/>
      <c r="C124" s="597"/>
      <c r="D124" s="597"/>
      <c r="E124" s="598"/>
      <c r="F124" s="599"/>
      <c r="G124" s="600"/>
      <c r="H124" s="598"/>
      <c r="I124" s="601"/>
      <c r="J124" s="597"/>
      <c r="K124" s="15"/>
      <c r="L124" s="569"/>
      <c r="M124" s="564"/>
    </row>
    <row r="125" spans="1:13" ht="20.100000000000001" customHeight="1" x14ac:dyDescent="0.3">
      <c r="A125" s="598"/>
      <c r="B125" s="599"/>
      <c r="C125" s="597"/>
      <c r="D125" s="597"/>
      <c r="E125" s="598"/>
      <c r="F125" s="599"/>
      <c r="G125" s="600"/>
      <c r="H125" s="598"/>
      <c r="I125" s="601"/>
      <c r="J125" s="597"/>
      <c r="K125" s="15"/>
      <c r="L125" s="569"/>
      <c r="M125" s="564"/>
    </row>
    <row r="126" spans="1:13" ht="30" customHeight="1" x14ac:dyDescent="0.3">
      <c r="A126" s="602" t="s">
        <v>141</v>
      </c>
      <c r="B126" s="603"/>
      <c r="C126" s="602"/>
      <c r="D126" s="602"/>
      <c r="E126" s="602"/>
      <c r="F126" s="603"/>
      <c r="G126" s="603"/>
      <c r="H126" s="602"/>
      <c r="I126" s="602"/>
      <c r="J126" s="602"/>
      <c r="K126" s="15"/>
      <c r="L126" s="569"/>
      <c r="M126" s="564"/>
    </row>
    <row r="127" spans="1:13" ht="30" customHeight="1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564"/>
    </row>
    <row r="128" spans="1:13" ht="30" customHeight="1" x14ac:dyDescent="0.3">
      <c r="A128" s="15"/>
      <c r="B128" s="15"/>
      <c r="C128" s="584"/>
      <c r="D128" s="583"/>
      <c r="E128" s="583"/>
      <c r="F128" s="583"/>
      <c r="G128" s="15"/>
      <c r="H128" s="15"/>
      <c r="I128" s="15"/>
      <c r="J128" s="15"/>
      <c r="K128" s="15"/>
      <c r="L128" s="15"/>
      <c r="M128" s="564"/>
    </row>
    <row r="129" spans="1:13" ht="30" customHeigh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564"/>
    </row>
    <row r="130" spans="1:13" ht="30" customHeight="1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564"/>
    </row>
    <row r="131" spans="1:13" ht="30" customHeight="1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564"/>
    </row>
    <row r="132" spans="1:13" ht="30" customHeight="1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564"/>
    </row>
    <row r="133" spans="1:13" ht="30" customHeight="1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564"/>
    </row>
    <row r="134" spans="1:13" ht="30" customHeight="1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3">
      <c r="B140" s="563"/>
      <c r="L140" s="569"/>
    </row>
    <row r="141" spans="1:13" ht="30" customHeight="1" x14ac:dyDescent="0.3">
      <c r="B141" s="563"/>
      <c r="L141" s="569"/>
    </row>
    <row r="142" spans="1:13" ht="30" customHeight="1" x14ac:dyDescent="0.3">
      <c r="B142" s="563"/>
      <c r="L142" s="569"/>
    </row>
    <row r="143" spans="1:13" ht="30" customHeight="1" x14ac:dyDescent="0.3">
      <c r="B143" s="563"/>
      <c r="L143" s="569"/>
    </row>
    <row r="144" spans="1:13" ht="30" customHeight="1" x14ac:dyDescent="0.3">
      <c r="B144" s="563"/>
      <c r="L144" s="569"/>
    </row>
    <row r="145" spans="2:12" ht="30" customHeight="1" x14ac:dyDescent="0.3">
      <c r="B145" s="563"/>
      <c r="L145" s="569"/>
    </row>
    <row r="146" spans="2:12" ht="30" customHeight="1" x14ac:dyDescent="0.3">
      <c r="B146" s="563"/>
      <c r="L146" s="569"/>
    </row>
    <row r="147" spans="2:12" ht="30" customHeight="1" x14ac:dyDescent="0.3">
      <c r="B147" s="563"/>
      <c r="L147" s="569"/>
    </row>
    <row r="148" spans="2:12" ht="30" customHeight="1" x14ac:dyDescent="0.3">
      <c r="B148" s="563"/>
      <c r="L148" s="569"/>
    </row>
    <row r="149" spans="2:12" ht="30" customHeight="1" x14ac:dyDescent="0.3">
      <c r="B149" s="563"/>
      <c r="L149" s="569"/>
    </row>
    <row r="150" spans="2:12" ht="10.199999999999999" x14ac:dyDescent="0.3">
      <c r="B150" s="563"/>
      <c r="L150" s="569"/>
    </row>
    <row r="151" spans="2:12" ht="10.199999999999999" x14ac:dyDescent="0.3">
      <c r="B151" s="563"/>
      <c r="L151" s="569"/>
    </row>
    <row r="152" spans="2:12" ht="10.199999999999999" x14ac:dyDescent="0.3">
      <c r="B152" s="563"/>
      <c r="L152" s="569"/>
    </row>
    <row r="153" spans="2:12" ht="10.199999999999999" x14ac:dyDescent="0.3">
      <c r="B153" s="563"/>
      <c r="L153" s="569"/>
    </row>
    <row r="154" spans="2:12" ht="10.199999999999999" x14ac:dyDescent="0.3">
      <c r="B154" s="563"/>
      <c r="L154" s="569"/>
    </row>
    <row r="155" spans="2:12" ht="12.65" customHeight="1" x14ac:dyDescent="0.3">
      <c r="B155" s="563"/>
      <c r="L155" s="569"/>
    </row>
    <row r="156" spans="2:12" ht="12.65" customHeight="1" x14ac:dyDescent="0.3">
      <c r="B156" s="563"/>
      <c r="L156" s="569"/>
    </row>
    <row r="157" spans="2:12" ht="12.65" customHeight="1" x14ac:dyDescent="0.3">
      <c r="B157" s="563"/>
      <c r="L157" s="569" t="str">
        <f>IF(C24=0,"D","")</f>
        <v/>
      </c>
    </row>
    <row r="158" spans="2:12" ht="12.65" customHeight="1" x14ac:dyDescent="0.3">
      <c r="B158" s="563"/>
      <c r="L158" s="569" t="str">
        <f>IF(C25=0,"D","")</f>
        <v/>
      </c>
    </row>
    <row r="159" spans="2:12" ht="12.65" customHeight="1" x14ac:dyDescent="0.3">
      <c r="B159" s="563"/>
      <c r="L159" s="569" t="str">
        <f>IF(C26=0,"D","")</f>
        <v/>
      </c>
    </row>
    <row r="160" spans="2:12" ht="12.65" customHeight="1" x14ac:dyDescent="0.3">
      <c r="B160" s="563"/>
      <c r="L160" s="569" t="str">
        <f>IF(C27=0,"D","")</f>
        <v/>
      </c>
    </row>
    <row r="161" spans="2:12" ht="12.65" customHeight="1" x14ac:dyDescent="0.3">
      <c r="B161" s="563"/>
      <c r="L161" s="569" t="e">
        <f>IF(#REF!=0,"D","")</f>
        <v>#REF!</v>
      </c>
    </row>
    <row r="162" spans="2:12" ht="12.65" customHeight="1" x14ac:dyDescent="0.3">
      <c r="B162" s="563"/>
      <c r="L162" s="569" t="e">
        <f>IF(#REF!=0,"D","")</f>
        <v>#REF!</v>
      </c>
    </row>
    <row r="163" spans="2:12" ht="12.65" customHeight="1" x14ac:dyDescent="0.3">
      <c r="B163" s="563"/>
      <c r="L163" s="569"/>
    </row>
    <row r="164" spans="2:12" ht="12.65" customHeight="1" x14ac:dyDescent="0.3">
      <c r="B164" s="563"/>
      <c r="L164" s="569"/>
    </row>
    <row r="165" spans="2:12" ht="12.65" customHeight="1" x14ac:dyDescent="0.3">
      <c r="B165" s="563"/>
      <c r="L165" s="569"/>
    </row>
    <row r="166" spans="2:12" ht="12.65" customHeight="1" x14ac:dyDescent="0.3">
      <c r="L166" s="569"/>
    </row>
    <row r="167" spans="2:12" ht="12.65" customHeight="1" x14ac:dyDescent="0.3">
      <c r="L167" s="569"/>
    </row>
    <row r="168" spans="2:12" ht="12.65" customHeight="1" x14ac:dyDescent="0.3">
      <c r="L168" s="569"/>
    </row>
    <row r="169" spans="2:12" ht="12.65" customHeight="1" x14ac:dyDescent="0.3">
      <c r="L169" s="569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zZ1o1zUVkWBFj3bbmjAzaGyFs1uKcuZVWxy8H0AcqQil/tKbImdVehqCbRye5Ap4ad5jCYn/9Eh746k3UF0Y9g==" saltValue="CTTIzy1r5axLBDmgn+/1Ng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5" customWidth="1"/>
    <col min="24" max="33" width="2.73046875" customWidth="1"/>
  </cols>
  <sheetData>
    <row r="1" spans="1:33" ht="19.55" customHeight="1" thickBot="1" x14ac:dyDescent="0.4">
      <c r="A1" s="435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05">
        <f>__4_GebDatum</f>
        <v>0</v>
      </c>
      <c r="G1" s="905"/>
      <c r="I1" s="8" t="str">
        <f>"Gewicht: "&amp;ROUND(_Pat_Gewicht/10,1)&amp;"kg"</f>
        <v>Gewicht: 10kg</v>
      </c>
      <c r="P1" s="8" t="s">
        <v>200</v>
      </c>
      <c r="R1" s="903"/>
      <c r="S1" s="903"/>
      <c r="T1" s="903"/>
      <c r="U1" s="903"/>
      <c r="V1" s="903"/>
      <c r="W1" s="903"/>
      <c r="Y1" t="s">
        <v>326</v>
      </c>
      <c r="AB1" s="904">
        <f ca="1">TODAY()</f>
        <v>42739</v>
      </c>
      <c r="AC1" s="904"/>
      <c r="AD1" s="904"/>
      <c r="AE1" s="904"/>
      <c r="AF1" s="904"/>
    </row>
    <row r="2" spans="1:33" ht="26.1" customHeight="1" x14ac:dyDescent="0.35">
      <c r="B2" s="95"/>
      <c r="C2" s="96" t="s">
        <v>353</v>
      </c>
      <c r="D2" s="97" t="s">
        <v>354</v>
      </c>
      <c r="E2" s="97"/>
      <c r="F2" s="97"/>
      <c r="G2" s="98" t="s">
        <v>333</v>
      </c>
      <c r="H2" s="99">
        <v>10</v>
      </c>
      <c r="I2" s="99">
        <v>11</v>
      </c>
      <c r="J2" s="99">
        <v>12</v>
      </c>
      <c r="K2" s="99">
        <v>13</v>
      </c>
      <c r="L2" s="99">
        <v>14</v>
      </c>
      <c r="M2" s="99">
        <v>15</v>
      </c>
      <c r="N2" s="99">
        <v>16</v>
      </c>
      <c r="O2" s="99">
        <v>17</v>
      </c>
      <c r="P2" s="99">
        <v>18</v>
      </c>
      <c r="Q2" s="99">
        <v>19</v>
      </c>
      <c r="R2" s="100">
        <v>20</v>
      </c>
      <c r="S2" s="100">
        <v>21</v>
      </c>
      <c r="T2" s="100">
        <v>22</v>
      </c>
      <c r="U2" s="100">
        <v>23</v>
      </c>
      <c r="V2" s="100">
        <v>24</v>
      </c>
      <c r="W2" s="100">
        <v>1</v>
      </c>
      <c r="X2" s="99">
        <v>2</v>
      </c>
      <c r="Y2" s="99">
        <v>3</v>
      </c>
      <c r="Z2" s="99">
        <v>4</v>
      </c>
      <c r="AA2" s="99">
        <v>5</v>
      </c>
      <c r="AB2" s="99">
        <v>6</v>
      </c>
      <c r="AC2" s="99">
        <v>7</v>
      </c>
      <c r="AD2" s="99">
        <v>8</v>
      </c>
      <c r="AE2" s="101"/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183" t="str">
        <f>IF(GlobGuiMedDisc!H6&lt;&gt;"",GlobGuiMedDisc!H6,"")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IF(GlobGuiMedDisc!L6&lt;&gt;"",GlobGuiMedDisc!L6&amp;" "&amp;GlobGuiMedDisc!M6&amp;" "&amp;INDEX(GlobBerMedDisc!$B$27:$B$30,GlobBerMedDisc!O2,1)&amp;" in "&amp;GlobGuiMedDisc!$O$6,"")</f>
        <v/>
      </c>
      <c r="H3" s="102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102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102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102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102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102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102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102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102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102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102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102" t="str">
        <f>IF(OR($D3="1 dd",$D3="2 dd",$D3="3 dd",$D3="4 dd",$D3="6 dd",$D3="8 dd",$D3="12 dd",$D3="an",$D3="1 X"),VLOOKUP($D3,PedTblTijden!$A$16:$X$26,PedTblTijden!X$14,FALSE),"")</f>
        <v/>
      </c>
      <c r="AE3" s="16"/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183" t="str">
        <f>IF(GlobGuiMedDisc!H8&lt;&gt;"",GlobGuiMedDisc!H8,"")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"&amp;GlobGuiMedDisc!$O$8,"")</f>
        <v/>
      </c>
      <c r="H4" s="102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102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102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102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102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102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102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102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102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102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102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102" t="str">
        <f>IF(OR($D4="1 dd",$D4="2 dd",$D4="3 dd",$D4="4 dd",$D4="6 dd",$D4="8 dd",$D4="12 dd",$D4="an",$D4="1 X"),VLOOKUP($D4,PedTblTijden!$A$16:$X$26,PedTblTijden!X$14,FALSE),"")</f>
        <v/>
      </c>
      <c r="AE4" s="16"/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183" t="str">
        <f>IF(GlobGuiMedDisc!H10&lt;&gt;"",GlobGuiMedDisc!H10,"")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IF(GlobGuiMedDisc!L10&lt;&gt;"",GlobGuiMedDisc!L10&amp;" "&amp;GlobGuiMedDisc!M10&amp;" "&amp;INDEX(GlobBerMedDisc!$B$27:$B$30,GlobBerMedDisc!O4,1)&amp;" in "&amp;GlobGuiMedDisc!$O$10,"")</f>
        <v/>
      </c>
      <c r="H5" s="102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102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102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102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102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102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102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102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102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102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102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102" t="str">
        <f>IF(OR($D5="1 dd",$D5="2 dd",$D5="3 dd",$D5="4 dd",$D5="6 dd",$D5="8 dd",$D5="12 dd",$D5="an",$D5="1 X"),VLOOKUP($D5,PedTblTijden!$A$16:$X$26,PedTblTijden!X$14,FALSE),"")</f>
        <v/>
      </c>
      <c r="AE5" s="16"/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IF(GlobGuiMedDisc!L12&lt;&gt;"",GlobGuiMedDisc!L12&amp;" "&amp;GlobGuiMedDisc!M12&amp;" "&amp;INDEX(GlobBerMedDisc!$B$27:$B$30,GlobBerMedDisc!O5,1)&amp;" in "&amp;GlobGuiMedDisc!$O$12,"")</f>
        <v/>
      </c>
      <c r="H6" s="102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102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102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102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102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102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102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102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102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102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102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102" t="str">
        <f>IF(OR($D6="1 dd",$D6="2 dd",$D6="3 dd",$D6="4 dd",$D6="6 dd",$D6="8 dd",$D6="12 dd",$D6="an",$D6="1 X"),VLOOKUP($D6,PedTblTijden!$A$16:$X$26,PedTblTijden!X$14,FALSE),"")</f>
        <v/>
      </c>
      <c r="AE6" s="16"/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183" t="str">
        <f>IF(GlobGuiMedDisc!H14&lt;&gt;"",GlobGuiMedDisc!H14,"")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IF(GlobGuiMedDisc!L14&lt;&gt;"",GlobGuiMedDisc!L14&amp;" "&amp;GlobGuiMedDisc!M14&amp;" "&amp;INDEX(GlobBerMedDisc!$B$27:$B$30,GlobBerMedDisc!O6,1)&amp;" in "&amp;GlobGuiMedDisc!$O$14,"")</f>
        <v/>
      </c>
      <c r="H7" s="102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102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102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102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102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102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102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102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102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102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102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102" t="str">
        <f>IF(OR($D7="1 dd",$D7="2 dd",$D7="3 dd",$D7="4 dd",$D7="6 dd",$D7="8 dd",$D7="12 dd",$D7="an",$D7="1 X"),VLOOKUP($D7,PedTblTijden!$A$16:$X$26,PedTblTijden!X$14,FALSE),"")</f>
        <v/>
      </c>
      <c r="AE7" s="16"/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183" t="str">
        <f>IF(GlobGuiMedDisc!H16&lt;&gt;"",GlobGuiMedDisc!H16,"")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IF(GlobGuiMedDisc!L16&lt;&gt;"",GlobGuiMedDisc!L16&amp;" "&amp;GlobGuiMedDisc!M16&amp;" "&amp;INDEX(GlobBerMedDisc!$B$27:$B$30,GlobBerMedDisc!O7,1)&amp;" in "&amp;GlobGuiMedDisc!$O$16,"")</f>
        <v/>
      </c>
      <c r="H8" s="102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102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102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102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102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102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102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102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102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102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102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102" t="str">
        <f>IF(OR($D8="1 dd",$D8="2 dd",$D8="3 dd",$D8="4 dd",$D8="6 dd",$D8="8 dd",$D8="12 dd",$D8="an",$D8="1 X"),VLOOKUP($D8,PedTblTijden!$A$16:$X$26,PedTblTijden!X$14,FALSE),"")</f>
        <v/>
      </c>
      <c r="AE8" s="16"/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183" t="str">
        <f>IF(GlobGuiMedDisc!H18&lt;&gt;"",GlobGuiMedDisc!H18,"")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IF(GlobGuiMedDisc!L18&lt;&gt;"",GlobGuiMedDisc!L18&amp;" "&amp;GlobGuiMedDisc!M18&amp;" "&amp;INDEX(GlobBerMedDisc!$B$27:$B$30,GlobBerMedDisc!O8,1)&amp;" in "&amp;GlobGuiMedDisc!$O$18,"")</f>
        <v/>
      </c>
      <c r="H9" s="102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102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102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102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102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102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102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102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102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102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102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102" t="str">
        <f>IF(OR($D9="1 dd",$D9="2 dd",$D9="3 dd",$D9="4 dd",$D9="6 dd",$D9="8 dd",$D9="12 dd",$D9="an",$D9="1 X"),VLOOKUP($D9,PedTblTijden!$A$16:$X$26,PedTblTijden!X$14,FALSE),"")</f>
        <v/>
      </c>
      <c r="AE9" s="16"/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183" t="str">
        <f>IF(GlobGuiMedDisc!H20&lt;&gt;"",GlobGuiMedDisc!H20,"")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IF(GlobGuiMedDisc!L20&lt;&gt;"",GlobGuiMedDisc!L20&amp;" "&amp;GlobGuiMedDisc!M20&amp;" "&amp;INDEX(GlobBerMedDisc!$B$27:$B$30,GlobBerMedDisc!O9,1)&amp;" in "&amp;GlobGuiMedDisc!$O$20,"")</f>
        <v/>
      </c>
      <c r="H10" s="102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102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102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102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102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102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102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102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102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102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102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102" t="str">
        <f>IF(OR($D10="1 dd",$D10="2 dd",$D10="3 dd",$D10="4 dd",$D10="6 dd",$D10="8 dd",$D10="12 dd",$D10="an",$D10="1 X"),VLOOKUP($D10,PedTblTijden!$A$16:$X$26,PedTblTijden!X$14,FALSE),"")</f>
        <v/>
      </c>
      <c r="AE10" s="16"/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183" t="str">
        <f>IF(GlobGuiMedDisc!H22&lt;&gt;"",GlobGuiMedDisc!H22,"")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IF(GlobGuiMedDisc!L22&lt;&gt;"",GlobGuiMedDisc!L22&amp;" "&amp;GlobGuiMedDisc!M22&amp;" "&amp;INDEX(GlobBerMedDisc!$B$27:$B$30,GlobBerMedDisc!O10,1)&amp;" in "&amp;GlobGuiMedDisc!$O$22,"")</f>
        <v/>
      </c>
      <c r="H11" s="102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102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102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102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102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102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102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102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102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102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102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102" t="str">
        <f>IF(OR($D11="1 dd",$D11="2 dd",$D11="3 dd",$D11="4 dd",$D11="6 dd",$D11="8 dd",$D11="12 dd",$D11="an",$D11="1 X"),VLOOKUP($D11,PedTblTijden!$A$16:$X$26,PedTblTijden!X$14,FALSE),"")</f>
        <v/>
      </c>
      <c r="AE11" s="16"/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183" t="str">
        <f>IF(GlobGuiMedDisc!H24&lt;&gt;"",GlobGuiMedDisc!H24,"")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IF(GlobGuiMedDisc!L24&lt;&gt;"",GlobGuiMedDisc!L24&amp;" "&amp;GlobGuiMedDisc!M24&amp;" "&amp;INDEX(GlobBerMedDisc!$B$27:$B$30,GlobBerMedDisc!O11,1)&amp;" in "&amp;GlobGuiMedDisc!$O$1404,"")</f>
        <v/>
      </c>
      <c r="H12" s="102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102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102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102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102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102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102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102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102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102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102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102" t="str">
        <f>IF(OR($D12="1 dd",$D12="2 dd",$D12="3 dd",$D12="4 dd",$D12="6 dd",$D12="8 dd",$D12="12 dd",$D12="an",$D12="1 X"),VLOOKUP($D12,PedTblTijden!$A$16:$X$26,PedTblTijden!X$14,FALSE),"")</f>
        <v/>
      </c>
      <c r="AE12" s="16"/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183" t="str">
        <f>IF(GlobGuiMedDisc!H26&lt;&gt;"",GlobGuiMedDisc!H26,"")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IF(GlobGuiMedDisc!L26&lt;&gt;"",GlobGuiMedDisc!L26&amp;" "&amp;GlobGuiMedDisc!M26&amp;" "&amp;INDEX(GlobBerMedDisc!$B$27:$B$30,GlobBerMedDisc!O12,1)&amp;" in "&amp;GlobGuiMedDisc!$O$26,"")</f>
        <v/>
      </c>
      <c r="H13" s="102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102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102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102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102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102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102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102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102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102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102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102" t="str">
        <f>IF(OR($D13="1 dd",$D13="2 dd",$D13="3 dd",$D13="4 dd",$D13="6 dd",$D13="8 dd",$D13="12 dd",$D13="an",$D13="1 X"),VLOOKUP($D13,PedTblTijden!$A$16:$X$26,PedTblTijden!X$14,FALSE),"")</f>
        <v/>
      </c>
      <c r="AE13" s="16"/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183" t="str">
        <f>IF(GlobGuiMedDisc!H28&lt;&gt;"",GlobGuiMedDisc!H28,"")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IF(GlobGuiMedDisc!L28&lt;&gt;"",GlobGuiMedDisc!L28&amp;" "&amp;GlobGuiMedDisc!M28&amp;" "&amp;INDEX(GlobBerMedDisc!$B$27:$B$30,GlobBerMedDisc!O13,1)&amp;" in "&amp;GlobGuiMedDisc!$O$28,"")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183" t="str">
        <f>IF(GlobGuiMedDisc!H30&lt;&gt;"",GlobGuiMedDisc!H30,"")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IF(GlobGuiMedDisc!L30&lt;&gt;"",GlobGuiMedDisc!L30&amp;" "&amp;GlobGuiMedDisc!M30&amp;" "&amp;INDEX(GlobBerMedDisc!$B$27:$B$30,GlobBerMedDisc!O14,1)&amp;" in "&amp;GlobGuiMedDisc!$O$30,"")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183" t="str">
        <f>IF(GlobGuiMedDisc!H32&lt;&gt;"",GlobGuiMedDisc!H32,"")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IF(GlobGuiMedDisc!L32&lt;&gt;"",GlobGuiMedDisc!L32&amp;" "&amp;GlobGuiMedDisc!M32&amp;" "&amp;INDEX(GlobBerMedDisc!$B$27:$B$30,GlobBerMedDisc!O15,1)&amp;" in "&amp;GlobGuiMedDisc!$O$32,"")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183" t="str">
        <f>IF(GlobGuiMedDisc!H34&lt;&gt;"",GlobGuiMedDisc!H34,"")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IF(GlobGuiMedDisc!L34&lt;&gt;"",GlobGuiMedDisc!L34&amp;" "&amp;GlobGuiMedDisc!M34&amp;" "&amp;INDEX(GlobBerMedDisc!$B$27:$B$30,GlobBerMedDisc!O16,1)&amp;" in "&amp;GlobGuiMedDisc!$O$34,"")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183" t="str">
        <f>IF(GlobGuiMedDisc!H36&lt;&gt;"",GlobGuiMedDisc!H36,"")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IF(GlobGuiMedDisc!L36&lt;&gt;"",GlobGuiMedDisc!L36&amp;" "&amp;GlobGuiMedDisc!M36&amp;" "&amp;INDEX(GlobBerMedDisc!$B$27:$B$30,GlobBerMedDisc!O17,1)&amp;" in "&amp;GlobGuiMedDisc!$O$36,"")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183" t="str">
        <f>IF(GlobGuiMedDisc!H38&lt;&gt;"",GlobGuiMedDisc!H38,"")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IF(GlobGuiMedDisc!L38&lt;&gt;"",GlobGuiMedDisc!L38&amp;" "&amp;GlobGuiMedDisc!M38&amp;" "&amp;INDEX(GlobBerMedDisc!$B$27:$B$30,GlobBerMedDisc!O18,1)&amp;" in "&amp;GlobGuiMedDisc!$O$38,"")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183" t="str">
        <f>IF(GlobGuiMedDisc!H40&lt;&gt;"",GlobGuiMedDisc!H40,"")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IF(GlobGuiMedDisc!L40&lt;&gt;"",GlobGuiMedDisc!L40&amp;" "&amp;GlobGuiMedDisc!M40&amp;" "&amp;INDEX(GlobBerMedDisc!$B$27:$B$30,GlobBerMedDisc!O19,1)&amp;" in "&amp;GlobGuiMedDisc!$O$40,"")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183" t="str">
        <f>IF(GlobGuiMedDisc!H42&lt;&gt;"",GlobGuiMedDisc!H42,"")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IF(GlobGuiMedDisc!L42&lt;&gt;"",GlobGuiMedDisc!L42&amp;" "&amp;GlobGuiMedDisc!M42&amp;" "&amp;INDEX(GlobBerMedDisc!$B$27:$B$30,GlobBerMedDisc!O20,1)&amp;" in "&amp;GlobGuiMedDisc!$O$42,"")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183" t="str">
        <f>IF(GlobGuiMedDisc!H44&lt;&gt;"",GlobGuiMedDisc!H44,"")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IF(GlobGuiMedDisc!L44&lt;&gt;"",GlobGuiMedDisc!L44&amp;" "&amp;GlobGuiMedDisc!M44&amp;" "&amp;INDEX(GlobBerMedDisc!$B$27:$B$30,GlobBerMedDisc!O21,1)&amp;" in "&amp;GlobGuiMedDisc!$O$44,"")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  <row r="23" spans="2:33" s="383" customFormat="1" ht="26.1" customHeight="1" x14ac:dyDescent="0.35">
      <c r="B23" s="103"/>
      <c r="C23" s="182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83" t="str">
        <f>IF(GlobGuiMedDisc!H46&lt;&gt;"",GlobGuiMedDisc!H46,"")</f>
        <v/>
      </c>
      <c r="E23" s="184" t="str">
        <f>IF(AND(D23&lt;&gt;"",D23&lt;&gt;"STOP"),GlobBerMedDisc!H22&amp;" "&amp;GlobBerMedDisc!F22,"")</f>
        <v/>
      </c>
      <c r="F23" s="184" t="str">
        <f>IF(AND(D23&lt;&gt;"",D23&lt;&gt;"STOP"),GlobBerMedDisc!L22," ")</f>
        <v xml:space="preserve"> </v>
      </c>
      <c r="G23" s="184" t="str">
        <f>IF(GlobGuiMedDisc!L45&lt;&gt;"",GlobGuiMedDisc!L45&amp;" "&amp;GlobGuiMedDisc!M45&amp;" "&amp;INDEX(GlobBerMedDisc!$B$27:$B$30,GlobBerMedDisc!O22,1)&amp;" in "&amp;GlobGuiMedDisc!$O$44,"")</f>
        <v/>
      </c>
      <c r="H23" s="102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102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102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102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102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102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102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102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102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102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102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102" t="str">
        <f>IF(OR($D23="1 dd",$D23="2 dd",$D23="3 dd",$D23="4 dd",$D23="6 dd",$D23="8 dd",$D23="12 dd",$D23="an",$D23="1 X"),VLOOKUP($D23,PedTblTijden!$A$16:$X$26,PedTblTijden!X$14,FALSE),"")</f>
        <v/>
      </c>
      <c r="AE23" s="16"/>
      <c r="AF23" s="101"/>
      <c r="AG23" s="16"/>
    </row>
    <row r="24" spans="2:33" s="383" customFormat="1" ht="26.1" customHeight="1" x14ac:dyDescent="0.35">
      <c r="B24" s="103"/>
      <c r="C24" s="182" t="str">
        <f>IF(GlobBerMedDisc!C23&lt;&gt;"",IF(GlobBerMedDisc!C23&gt;1,TRIM(GlobBerMedDisc!C23)&amp;", "&amp;GlobBerOpm!C27&amp;" ("&amp;GlobBerMedDisc!M23&amp;" "&amp;GlobBerMedDisc!F23&amp;"/kg/dag)",TRIM(GlobBerMedDisc!C23)&amp;", "&amp;GlobBerOpm!C27),"")</f>
        <v/>
      </c>
      <c r="D24" s="183" t="str">
        <f>IF(GlobGuiMedDisc!H48&lt;&gt;"",GlobGuiMedDisc!H48,"")</f>
        <v/>
      </c>
      <c r="E24" s="184" t="str">
        <f>IF(AND(D24&lt;&gt;"",D24&lt;&gt;"STOP"),GlobBerMedDisc!H23&amp;" "&amp;GlobBerMedDisc!F23,"")</f>
        <v/>
      </c>
      <c r="F24" s="184" t="str">
        <f>IF(AND(D24&lt;&gt;"",D24&lt;&gt;"STOP"),GlobBerMedDisc!L23," ")</f>
        <v xml:space="preserve"> </v>
      </c>
      <c r="G24" s="184" t="str">
        <f>IF(GlobGuiMedDisc!L46&lt;&gt;"",GlobGuiMedDisc!L46&amp;" "&amp;GlobGuiMedDisc!M46&amp;" "&amp;INDEX(GlobBerMedDisc!$B$27:$B$30,GlobBerMedDisc!O23,1)&amp;" in "&amp;GlobGuiMedDisc!$O$44,"")</f>
        <v/>
      </c>
      <c r="H24" s="102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102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102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102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102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102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102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102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102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102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102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102" t="str">
        <f>IF(OR($D24="1 dd",$D24="2 dd",$D24="3 dd",$D24="4 dd",$D24="6 dd",$D24="8 dd",$D24="12 dd",$D24="an",$D24="1 X"),VLOOKUP($D24,PedTblTijden!$A$16:$X$26,PedTblTijden!X$14,FALSE),"")</f>
        <v/>
      </c>
      <c r="AE24" s="16"/>
      <c r="AF24" s="101"/>
      <c r="AG24" s="16"/>
    </row>
    <row r="25" spans="2:33" s="383" customFormat="1" ht="26.1" customHeight="1" x14ac:dyDescent="0.35">
      <c r="B25" s="103"/>
      <c r="C25" s="182" t="str">
        <f>IF(GlobBerMedDisc!C24&lt;&gt;"",IF(GlobBerMedDisc!C24&gt;1,TRIM(GlobBerMedDisc!C24)&amp;", "&amp;GlobBerOpm!C28&amp;" ("&amp;GlobBerMedDisc!M24&amp;" "&amp;GlobBerMedDisc!F24&amp;"/kg/dag)",TRIM(GlobBerMedDisc!C24)&amp;", "&amp;GlobBerOpm!C28),"")</f>
        <v/>
      </c>
      <c r="D25" s="183" t="str">
        <f>IF(GlobGuiMedDisc!H50&lt;&gt;"",GlobGuiMedDisc!H50,"")</f>
        <v/>
      </c>
      <c r="E25" s="184" t="str">
        <f>IF(AND(D25&lt;&gt;"",D25&lt;&gt;"STOP"),GlobBerMedDisc!H24&amp;" "&amp;GlobBerMedDisc!F24,"")</f>
        <v/>
      </c>
      <c r="F25" s="184" t="str">
        <f>IF(AND(D25&lt;&gt;"",D25&lt;&gt;"STOP"),GlobBerMedDisc!L24," ")</f>
        <v xml:space="preserve"> </v>
      </c>
      <c r="G25" s="184" t="str">
        <f>IF(GlobGuiMedDisc!L47&lt;&gt;"",GlobGuiMedDisc!L47&amp;" "&amp;GlobGuiMedDisc!M47&amp;" "&amp;INDEX(GlobBerMedDisc!$B$27:$B$30,GlobBerMedDisc!O24,1)&amp;" in "&amp;GlobGuiMedDisc!$O$44,"")</f>
        <v/>
      </c>
      <c r="H25" s="102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102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102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102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102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102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102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102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102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102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102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102" t="str">
        <f>IF(OR($D25="1 dd",$D25="2 dd",$D25="3 dd",$D25="4 dd",$D25="6 dd",$D25="8 dd",$D25="12 dd",$D25="an",$D25="1 X"),VLOOKUP($D25,PedTblTijden!$A$16:$X$26,PedTblTijden!X$14,FALSE),"")</f>
        <v/>
      </c>
      <c r="AE25" s="16"/>
      <c r="AF25" s="101"/>
      <c r="AG25" s="16"/>
    </row>
    <row r="26" spans="2:33" s="383" customFormat="1" ht="26.1" customHeight="1" x14ac:dyDescent="0.35">
      <c r="B26" s="103"/>
      <c r="C26" s="182" t="str">
        <f>IF(GlobBerMedDisc!C25&lt;&gt;"",IF(GlobBerMedDisc!C25&gt;1,TRIM(GlobBerMedDisc!C25)&amp;", "&amp;GlobBerOpm!C29&amp;" ("&amp;GlobBerMedDisc!M25&amp;" "&amp;GlobBerMedDisc!F25&amp;"/kg/dag)",TRIM(GlobBerMedDisc!C25)&amp;", "&amp;GlobBerOpm!C29),"")</f>
        <v/>
      </c>
      <c r="D26" s="183" t="str">
        <f>IF(GlobGuiMedDisc!H52&lt;&gt;"",GlobGuiMedDisc!H52,"")</f>
        <v/>
      </c>
      <c r="E26" s="184" t="str">
        <f>IF(AND(D26&lt;&gt;"",D26&lt;&gt;"STOP"),GlobBerMedDisc!H25&amp;" "&amp;GlobBerMedDisc!F25,"")</f>
        <v/>
      </c>
      <c r="F26" s="184" t="str">
        <f>IF(AND(D26&lt;&gt;"",D26&lt;&gt;"STOP"),GlobBerMedDisc!L25," ")</f>
        <v xml:space="preserve"> </v>
      </c>
      <c r="G26" s="184" t="str">
        <f>IF(GlobGuiMedDisc!L48&lt;&gt;"",GlobGuiMedDisc!L48&amp;" "&amp;GlobGuiMedDisc!M48&amp;" "&amp;INDEX(GlobBerMedDisc!$B$27:$B$30,GlobBerMedDisc!O25,1)&amp;" in "&amp;GlobGuiMedDisc!$O$44,"")</f>
        <v/>
      </c>
      <c r="H26" s="102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102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102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102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102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102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102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102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102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102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102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102" t="str">
        <f>IF(OR($D26="1 dd",$D26="2 dd",$D26="3 dd",$D26="4 dd",$D26="6 dd",$D26="8 dd",$D26="12 dd",$D26="an",$D26="1 X"),VLOOKUP($D26,PedTblTijden!$A$16:$X$26,PedTblTijden!X$14,FALSE),"")</f>
        <v/>
      </c>
      <c r="AE26" s="16"/>
      <c r="AF26" s="101"/>
      <c r="AG26" s="16"/>
    </row>
    <row r="27" spans="2:33" s="383" customFormat="1" ht="26.1" customHeight="1" x14ac:dyDescent="0.35">
      <c r="B27" s="103"/>
      <c r="C27" s="182" t="str">
        <f>IF(GlobBerMedDisc!C26&lt;&gt;"",IF(GlobBerMedDisc!C26&gt;1,TRIM(GlobBerMedDisc!C26)&amp;", "&amp;GlobBerOpm!C30&amp;" ("&amp;GlobBerMedDisc!M26&amp;" "&amp;GlobBerMedDisc!F26&amp;"/kg/dag)",TRIM(GlobBerMedDisc!C26)&amp;", "&amp;GlobBerOpm!C30),"")</f>
        <v/>
      </c>
      <c r="D27" s="183" t="str">
        <f>IF(GlobGuiMedDisc!H54&lt;&gt;"",GlobGuiMedDisc!H54,"")</f>
        <v/>
      </c>
      <c r="E27" s="184" t="str">
        <f>IF(AND(D27&lt;&gt;"",D27&lt;&gt;"STOP"),GlobBerMedDisc!H26&amp;" "&amp;GlobBerMedDisc!F26,"")</f>
        <v/>
      </c>
      <c r="F27" s="184" t="str">
        <f>IF(AND(D27&lt;&gt;"",D27&lt;&gt;"STOP"),GlobBerMedDisc!L26," ")</f>
        <v xml:space="preserve"> </v>
      </c>
      <c r="G27" s="184" t="str">
        <f>IF(GlobGuiMedDisc!L49&lt;&gt;"",GlobGuiMedDisc!L49&amp;" "&amp;GlobGuiMedDisc!M49&amp;" "&amp;INDEX(GlobBerMedDisc!$B$27:$B$30,GlobBerMedDisc!O26,1)&amp;" in "&amp;GlobGuiMedDisc!$O$44,"")</f>
        <v/>
      </c>
      <c r="H27" s="102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102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102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102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102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102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102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102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102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102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102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102" t="str">
        <f>IF(OR($D27="1 dd",$D27="2 dd",$D27="3 dd",$D27="4 dd",$D27="6 dd",$D27="8 dd",$D27="12 dd",$D27="an",$D27="1 X"),VLOOKUP($D27,PedTblTijden!$A$16:$X$26,PedTblTijden!X$14,FALSE),"")</f>
        <v/>
      </c>
      <c r="AE27" s="16"/>
      <c r="AF27" s="101"/>
      <c r="AG27" s="16"/>
    </row>
    <row r="28" spans="2:33" s="383" customFormat="1" ht="26.1" customHeight="1" x14ac:dyDescent="0.35">
      <c r="B28" s="103"/>
      <c r="C28" s="182" t="str">
        <f>IF(GlobBerMedDisc!C27&lt;&gt;"",IF(GlobBerMedDisc!C27&gt;1,TRIM(GlobBerMedDisc!C27)&amp;", "&amp;GlobBerOpm!C31&amp;" ("&amp;GlobBerMedDisc!M27&amp;" "&amp;GlobBerMedDisc!F27&amp;"/kg/dag)",TRIM(GlobBerMedDisc!C27)&amp;", "&amp;GlobBerOpm!C31),"")</f>
        <v/>
      </c>
      <c r="D28" s="183" t="str">
        <f>IF(GlobGuiMedDisc!H56&lt;&gt;"",GlobGuiMedDisc!H56,"")</f>
        <v/>
      </c>
      <c r="E28" s="184" t="str">
        <f>IF(AND(D28&lt;&gt;"",D28&lt;&gt;"STOP"),GlobBerMedDisc!H27&amp;" "&amp;GlobBerMedDisc!F27,"")</f>
        <v/>
      </c>
      <c r="F28" s="184" t="str">
        <f>IF(AND(D28&lt;&gt;"",D28&lt;&gt;"STOP"),GlobBerMedDisc!L27," ")</f>
        <v xml:space="preserve"> </v>
      </c>
      <c r="G28" s="184" t="str">
        <f>IF(GlobGuiMedDisc!L50&lt;&gt;"",GlobGuiMedDisc!L50&amp;" "&amp;GlobGuiMedDisc!M50&amp;" "&amp;INDEX(GlobBerMedDisc!$B$27:$B$30,GlobBerMedDisc!O27,1)&amp;" in "&amp;GlobGuiMedDisc!$O$44,"")</f>
        <v/>
      </c>
      <c r="H28" s="102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102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102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102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102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102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102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102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102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102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102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102" t="str">
        <f>IF(OR($D28="1 dd",$D28="2 dd",$D28="3 dd",$D28="4 dd",$D28="6 dd",$D28="8 dd",$D28="12 dd",$D28="an",$D28="1 X"),VLOOKUP($D28,PedTblTijden!$A$16:$X$26,PedTblTijden!X$14,FALSE),"")</f>
        <v/>
      </c>
      <c r="AE28" s="16"/>
      <c r="AF28" s="101"/>
      <c r="AG28" s="16"/>
    </row>
    <row r="29" spans="2:33" s="383" customFormat="1" ht="26.1" customHeight="1" x14ac:dyDescent="0.35">
      <c r="B29" s="103"/>
      <c r="C29" s="182" t="str">
        <f>IF(GlobBerMedDisc!C28&lt;&gt;"",IF(GlobBerMedDisc!C28&gt;1,TRIM(GlobBerMedDisc!C28)&amp;", "&amp;GlobBerOpm!C32&amp;" ("&amp;GlobBerMedDisc!M28&amp;" "&amp;GlobBerMedDisc!F28&amp;"/kg/dag)",TRIM(GlobBerMedDisc!C28)&amp;", "&amp;GlobBerOpm!C32),"")</f>
        <v/>
      </c>
      <c r="D29" s="183" t="str">
        <f>IF(GlobGuiMedDisc!H58&lt;&gt;"",GlobGuiMedDisc!H58,"")</f>
        <v/>
      </c>
      <c r="E29" s="184" t="str">
        <f>IF(AND(D29&lt;&gt;"",D29&lt;&gt;"STOP"),GlobBerMedDisc!H28&amp;" "&amp;GlobBerMedDisc!F28,"")</f>
        <v/>
      </c>
      <c r="F29" s="184" t="str">
        <f>IF(AND(D29&lt;&gt;"",D29&lt;&gt;"STOP"),GlobBerMedDisc!L28," ")</f>
        <v xml:space="preserve"> </v>
      </c>
      <c r="G29" s="184" t="str">
        <f>IF(GlobGuiMedDisc!L51&lt;&gt;"",GlobGuiMedDisc!L51&amp;" "&amp;GlobGuiMedDisc!M51&amp;" "&amp;INDEX(GlobBerMedDisc!$B$27:$B$30,GlobBerMedDisc!O28,1)&amp;" in "&amp;GlobGuiMedDisc!$O$44,"")</f>
        <v/>
      </c>
      <c r="H29" s="102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102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102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102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102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102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102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102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102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102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102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102" t="str">
        <f>IF(OR($D29="1 dd",$D29="2 dd",$D29="3 dd",$D29="4 dd",$D29="6 dd",$D29="8 dd",$D29="12 dd",$D29="an",$D29="1 X"),VLOOKUP($D29,PedTblTijden!$A$16:$X$26,PedTblTijden!X$14,FALSE),"")</f>
        <v/>
      </c>
      <c r="AE29" s="16"/>
      <c r="AF29" s="101"/>
      <c r="AG29" s="16"/>
    </row>
    <row r="30" spans="2:33" s="383" customFormat="1" ht="26.1" customHeight="1" x14ac:dyDescent="0.35">
      <c r="B30" s="103"/>
      <c r="C30" s="182" t="str">
        <f>IF(GlobBerMedDisc!C29&lt;&gt;"",IF(GlobBerMedDisc!C29&gt;1,TRIM(GlobBerMedDisc!C29)&amp;", "&amp;GlobBerOpm!C33&amp;" ("&amp;GlobBerMedDisc!M29&amp;" "&amp;GlobBerMedDisc!F29&amp;"/kg/dag)",TRIM(GlobBerMedDisc!C29)&amp;", "&amp;GlobBerOpm!C33),"")</f>
        <v/>
      </c>
      <c r="D30" s="183" t="str">
        <f>IF(GlobGuiMedDisc!H60&lt;&gt;"",GlobGuiMedDisc!H60,"")</f>
        <v/>
      </c>
      <c r="E30" s="184" t="str">
        <f>IF(AND(D30&lt;&gt;"",D30&lt;&gt;"STOP"),GlobBerMedDisc!H29&amp;" "&amp;GlobBerMedDisc!F29,"")</f>
        <v/>
      </c>
      <c r="F30" s="184" t="str">
        <f>IF(AND(D30&lt;&gt;"",D30&lt;&gt;"STOP"),GlobBerMedDisc!L29," ")</f>
        <v xml:space="preserve"> </v>
      </c>
      <c r="G30" s="184" t="str">
        <f>IF(GlobGuiMedDisc!L52&lt;&gt;"",GlobGuiMedDisc!L52&amp;" "&amp;GlobGuiMedDisc!M52&amp;" "&amp;INDEX(GlobBerMedDisc!$B$27:$B$30,GlobBerMedDisc!O29,1)&amp;" in "&amp;GlobGuiMedDisc!$O$44,"")</f>
        <v/>
      </c>
      <c r="H30" s="102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102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102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102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102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102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102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102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102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102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102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102" t="str">
        <f>IF(OR($D30="1 dd",$D30="2 dd",$D30="3 dd",$D30="4 dd",$D30="6 dd",$D30="8 dd",$D30="12 dd",$D30="an",$D30="1 X"),VLOOKUP($D30,PedTblTijden!$A$16:$X$26,PedTblTijden!X$14,FALSE),"")</f>
        <v/>
      </c>
      <c r="AE30" s="16"/>
      <c r="AF30" s="101"/>
      <c r="AG30" s="16"/>
    </row>
    <row r="31" spans="2:33" s="383" customFormat="1" ht="26.1" customHeight="1" x14ac:dyDescent="0.35">
      <c r="B31" s="103"/>
      <c r="C31" s="182" t="str">
        <f>IF(GlobBerMedDisc!C30&lt;&gt;"",IF(GlobBerMedDisc!C30&gt;1,TRIM(GlobBerMedDisc!C30)&amp;", "&amp;GlobBerOpm!C34&amp;" ("&amp;GlobBerMedDisc!M30&amp;" "&amp;GlobBerMedDisc!F30&amp;"/kg/dag)",TRIM(GlobBerMedDisc!C30)&amp;", "&amp;GlobBerOpm!C34),"")</f>
        <v/>
      </c>
      <c r="D31" s="183" t="str">
        <f>IF(GlobGuiMedDisc!H62&lt;&gt;"",GlobGuiMedDisc!H62,"")</f>
        <v/>
      </c>
      <c r="E31" s="184" t="str">
        <f>IF(AND(D31&lt;&gt;"",D31&lt;&gt;"STOP"),GlobBerMedDisc!H30&amp;" "&amp;GlobBerMedDisc!F30,"")</f>
        <v/>
      </c>
      <c r="F31" s="184" t="str">
        <f>IF(AND(D31&lt;&gt;"",D31&lt;&gt;"STOP"),GlobBerMedDisc!L30," ")</f>
        <v xml:space="preserve"> </v>
      </c>
      <c r="G31" s="184" t="str">
        <f>IF(GlobGuiMedDisc!L53&lt;&gt;"",GlobGuiMedDisc!L53&amp;" "&amp;GlobGuiMedDisc!M53&amp;" "&amp;INDEX(GlobBerMedDisc!$B$27:$B$30,GlobBerMedDisc!O30,1)&amp;" in "&amp;GlobGuiMedDisc!$O$44,"")</f>
        <v/>
      </c>
      <c r="H31" s="102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102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102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102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102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102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102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102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102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102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102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102" t="str">
        <f>IF(OR($D31="1 dd",$D31="2 dd",$D31="3 dd",$D31="4 dd",$D31="6 dd",$D31="8 dd",$D31="12 dd",$D31="an",$D31="1 X"),VLOOKUP($D31,PedTblTijden!$A$16:$X$26,PedTblTijden!X$14,FALSE),"")</f>
        <v/>
      </c>
      <c r="AE31" s="16"/>
      <c r="AF31" s="101"/>
      <c r="AG31" s="16"/>
    </row>
    <row r="32" spans="2:33" s="383" customFormat="1" ht="26.1" customHeight="1" x14ac:dyDescent="0.35">
      <c r="B32" s="103"/>
      <c r="C32" s="182" t="str">
        <f>IF(GlobBerMedDisc!C31&lt;&gt;"",IF(GlobBerMedDisc!C31&gt;1,TRIM(GlobBerMedDisc!C31)&amp;", "&amp;GlobBerOpm!C35&amp;" ("&amp;GlobBerMedDisc!M31&amp;" "&amp;GlobBerMedDisc!F31&amp;"/kg/dag)",TRIM(GlobBerMedDisc!C31)&amp;", "&amp;GlobBerOpm!C35),"")</f>
        <v/>
      </c>
      <c r="D32" s="183" t="str">
        <f>IF(GlobGuiMedDisc!H64&lt;&gt;"",GlobGuiMedDisc!H64,"")</f>
        <v/>
      </c>
      <c r="E32" s="184" t="str">
        <f>IF(AND(D32&lt;&gt;"",D32&lt;&gt;"STOP"),GlobBerMedDisc!H31&amp;" "&amp;GlobBerMedDisc!F31,"")</f>
        <v/>
      </c>
      <c r="F32" s="184" t="str">
        <f>IF(AND(D32&lt;&gt;"",D32&lt;&gt;"STOP"),GlobBerMedDisc!L31," ")</f>
        <v xml:space="preserve"> </v>
      </c>
      <c r="G32" s="184" t="str">
        <f>IF(GlobGuiMedDisc!L54&lt;&gt;"",GlobGuiMedDisc!L54&amp;" "&amp;GlobGuiMedDisc!M54&amp;" "&amp;INDEX(GlobBerMedDisc!$B$27:$B$30,GlobBerMedDisc!O31,1)&amp;" in "&amp;GlobGuiMedDisc!$O$44,"")</f>
        <v/>
      </c>
      <c r="H32" s="102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102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102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102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102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102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102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102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102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102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102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102" t="str">
        <f>IF(OR($D32="1 dd",$D32="2 dd",$D32="3 dd",$D32="4 dd",$D32="6 dd",$D32="8 dd",$D32="12 dd",$D32="an",$D32="1 X"),VLOOKUP($D32,PedTblTijden!$A$16:$X$26,PedTblTijden!X$14,FALSE),"")</f>
        <v/>
      </c>
      <c r="AE32" s="16"/>
      <c r="AF32" s="101"/>
      <c r="AG32" s="16"/>
    </row>
  </sheetData>
  <sheetProtection algorithmName="SHA-512" hashValue="wuhg8YjqELYy2kdH9Phvgz55/Eru5BTXVkY84pquemABqGnC9TabdCEjFVQDU+p0G6XfJwDlux4bWJaPRHo/FA==" saltValue="rVV6noBT/IkCzaQkTb3K5Q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435" t="s">
        <v>417</v>
      </c>
    </row>
    <row r="2" spans="1:24" x14ac:dyDescent="0.35">
      <c r="A2" t="s">
        <v>408</v>
      </c>
      <c r="B2">
        <v>20</v>
      </c>
    </row>
    <row r="3" spans="1:24" x14ac:dyDescent="0.35">
      <c r="A3" t="s">
        <v>418</v>
      </c>
      <c r="B3">
        <v>10</v>
      </c>
    </row>
    <row r="4" spans="1:24" x14ac:dyDescent="0.35">
      <c r="A4" t="s">
        <v>419</v>
      </c>
      <c r="B4">
        <v>10</v>
      </c>
      <c r="C4">
        <v>22</v>
      </c>
    </row>
    <row r="5" spans="1:24" x14ac:dyDescent="0.35">
      <c r="A5" t="s">
        <v>420</v>
      </c>
      <c r="B5">
        <v>10</v>
      </c>
      <c r="C5">
        <v>18</v>
      </c>
      <c r="D5">
        <v>2</v>
      </c>
    </row>
    <row r="6" spans="1:24" x14ac:dyDescent="0.35">
      <c r="A6" s="435" t="s">
        <v>421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418</v>
      </c>
      <c r="C12" t="s">
        <v>419</v>
      </c>
      <c r="D12" t="s">
        <v>420</v>
      </c>
      <c r="E12" t="s">
        <v>421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35">
      <c r="A16" t="s">
        <v>468</v>
      </c>
      <c r="B16" s="24"/>
      <c r="C16" s="24"/>
      <c r="D16" s="26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/>
      <c r="S16" s="25"/>
      <c r="T16" s="25"/>
      <c r="U16" s="25"/>
      <c r="V16" s="25"/>
      <c r="W16" s="25"/>
      <c r="X16" s="25"/>
    </row>
    <row r="17" spans="1:24" s="383" customFormat="1" x14ac:dyDescent="0.35">
      <c r="A17" s="383" t="s">
        <v>398</v>
      </c>
      <c r="B17" s="24"/>
      <c r="C17" s="24"/>
      <c r="D17" s="26"/>
      <c r="E17" s="24"/>
      <c r="F17" s="24"/>
      <c r="G17" s="24"/>
      <c r="H17" s="24"/>
      <c r="I17" s="24"/>
      <c r="J17" s="24"/>
      <c r="K17" s="24"/>
      <c r="L17" s="26" t="s">
        <v>199</v>
      </c>
      <c r="M17" s="24"/>
      <c r="N17" s="24"/>
      <c r="O17" s="24"/>
      <c r="P17" s="24"/>
      <c r="Q17" s="24"/>
      <c r="R17" s="25"/>
      <c r="S17" s="25"/>
      <c r="T17" s="25"/>
      <c r="U17" s="25"/>
      <c r="V17" s="25"/>
      <c r="W17" s="25"/>
      <c r="X17" s="25"/>
    </row>
    <row r="18" spans="1:24" x14ac:dyDescent="0.35">
      <c r="A18" t="s">
        <v>1073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M18" s="24"/>
      <c r="N18" s="26"/>
      <c r="O18" s="24"/>
      <c r="P18" s="24"/>
      <c r="Q18" s="24"/>
      <c r="R18" s="25"/>
      <c r="S18" s="25"/>
      <c r="T18" s="25"/>
      <c r="U18" s="25"/>
      <c r="V18" s="25"/>
      <c r="W18" s="25"/>
      <c r="X18" s="25"/>
    </row>
    <row r="19" spans="1:24" x14ac:dyDescent="0.35">
      <c r="A19" t="s">
        <v>418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35">
      <c r="A20" t="s">
        <v>419</v>
      </c>
      <c r="B20" s="14" t="s">
        <v>199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199</v>
      </c>
      <c r="O20" s="14"/>
      <c r="P20" s="14"/>
      <c r="Q20" s="14"/>
    </row>
    <row r="21" spans="1:24" x14ac:dyDescent="0.35">
      <c r="A21" t="s">
        <v>420</v>
      </c>
      <c r="B21" s="14" t="s">
        <v>199</v>
      </c>
      <c r="C21" s="14"/>
      <c r="D21" s="14"/>
      <c r="E21" s="14"/>
      <c r="F21" s="14"/>
      <c r="G21" s="14"/>
      <c r="H21" s="14"/>
      <c r="I21" s="14"/>
      <c r="J21" s="14" t="s">
        <v>199</v>
      </c>
      <c r="K21" s="14"/>
      <c r="L21" s="14"/>
      <c r="M21" s="14"/>
      <c r="N21" s="14"/>
      <c r="O21" s="14"/>
      <c r="P21" s="14"/>
      <c r="Q21" s="14"/>
      <c r="R21" t="s">
        <v>199</v>
      </c>
    </row>
    <row r="22" spans="1:24" x14ac:dyDescent="0.35">
      <c r="A22" t="s">
        <v>421</v>
      </c>
      <c r="B22" s="14"/>
      <c r="C22" s="14"/>
      <c r="D22" s="14" t="s">
        <v>199</v>
      </c>
      <c r="E22" s="14"/>
      <c r="F22" s="14"/>
      <c r="G22" s="14"/>
      <c r="H22" s="14"/>
      <c r="I22" s="14"/>
      <c r="J22" s="14" t="s">
        <v>199</v>
      </c>
      <c r="K22" s="14"/>
      <c r="L22" s="14"/>
      <c r="M22" s="14"/>
      <c r="N22" s="14"/>
      <c r="O22" s="14"/>
      <c r="P22" s="14" t="s">
        <v>199</v>
      </c>
      <c r="Q22" s="14"/>
      <c r="V22" t="s">
        <v>199</v>
      </c>
    </row>
    <row r="23" spans="1:24" x14ac:dyDescent="0.35">
      <c r="A23" t="s">
        <v>196</v>
      </c>
      <c r="B23" s="14" t="s">
        <v>199</v>
      </c>
      <c r="C23" s="14"/>
      <c r="D23" s="14"/>
      <c r="E23" s="14"/>
      <c r="F23" s="14" t="s">
        <v>199</v>
      </c>
      <c r="G23" s="14"/>
      <c r="H23" s="14"/>
      <c r="I23" s="14"/>
      <c r="J23" s="14" t="s">
        <v>199</v>
      </c>
      <c r="K23" s="14"/>
      <c r="L23" s="14"/>
      <c r="M23" s="14"/>
      <c r="N23" s="14" t="s">
        <v>199</v>
      </c>
      <c r="O23" s="14"/>
      <c r="P23" s="14"/>
      <c r="Q23" s="14"/>
      <c r="R23" t="s">
        <v>199</v>
      </c>
      <c r="V23" t="s">
        <v>199</v>
      </c>
    </row>
    <row r="24" spans="1:24" x14ac:dyDescent="0.35">
      <c r="A24" t="s">
        <v>197</v>
      </c>
      <c r="B24" s="14"/>
      <c r="C24" s="14" t="s">
        <v>199</v>
      </c>
      <c r="D24" s="14"/>
      <c r="E24" s="14"/>
      <c r="F24" s="14" t="s">
        <v>199</v>
      </c>
      <c r="G24" s="14"/>
      <c r="H24" s="14"/>
      <c r="I24" s="14" t="s">
        <v>199</v>
      </c>
      <c r="J24" s="14"/>
      <c r="K24" s="14"/>
      <c r="L24" s="14" t="s">
        <v>199</v>
      </c>
      <c r="M24" s="14"/>
      <c r="N24" s="14"/>
      <c r="O24" s="14" t="s">
        <v>199</v>
      </c>
      <c r="P24" s="14"/>
      <c r="Q24" s="14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4" t="s">
        <v>199</v>
      </c>
      <c r="C25" s="14"/>
      <c r="D25" s="14" t="s">
        <v>199</v>
      </c>
      <c r="E25" s="14"/>
      <c r="F25" s="14" t="s">
        <v>199</v>
      </c>
      <c r="G25" s="14"/>
      <c r="H25" s="14" t="s">
        <v>199</v>
      </c>
      <c r="I25" s="14"/>
      <c r="J25" s="14" t="s">
        <v>199</v>
      </c>
      <c r="K25" s="14"/>
      <c r="L25" s="14" t="s">
        <v>199</v>
      </c>
      <c r="M25" s="14"/>
      <c r="N25" s="14" t="s">
        <v>199</v>
      </c>
      <c r="O25" s="14"/>
      <c r="P25" s="14" t="s">
        <v>199</v>
      </c>
      <c r="Q25" s="14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35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35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48</v>
      </c>
    </row>
    <row r="3" spans="1:8" x14ac:dyDescent="0.35">
      <c r="A3" s="8" t="s">
        <v>274</v>
      </c>
      <c r="B3" s="39">
        <f ca="1">TODAY()</f>
        <v>42739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41" t="s">
        <v>548</v>
      </c>
      <c r="B6" s="8">
        <f>__1_Bed</f>
        <v>0</v>
      </c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344</v>
      </c>
    </row>
    <row r="11" spans="1:8" ht="13.2" thickTop="1" x14ac:dyDescent="0.35">
      <c r="A11" s="922" t="s">
        <v>16</v>
      </c>
      <c r="B11" s="923"/>
      <c r="C11" s="923"/>
      <c r="D11" s="923"/>
      <c r="E11" s="923"/>
      <c r="F11" s="923"/>
      <c r="G11" s="923"/>
      <c r="H11" s="924"/>
    </row>
    <row r="12" spans="1:8" ht="25.65" x14ac:dyDescent="0.35">
      <c r="A12" s="28" t="s">
        <v>330</v>
      </c>
      <c r="B12" s="925" t="s">
        <v>186</v>
      </c>
      <c r="C12" s="927"/>
      <c r="D12" s="929" t="s">
        <v>187</v>
      </c>
      <c r="E12" s="929" t="s">
        <v>188</v>
      </c>
      <c r="F12" s="929" t="s">
        <v>189</v>
      </c>
      <c r="G12" s="29"/>
      <c r="H12" s="29" t="s">
        <v>190</v>
      </c>
    </row>
    <row r="13" spans="1:8" x14ac:dyDescent="0.35">
      <c r="A13" s="30" t="s">
        <v>191</v>
      </c>
      <c r="B13" s="926"/>
      <c r="C13" s="928"/>
      <c r="D13" s="930"/>
      <c r="E13" s="930"/>
      <c r="F13" s="930"/>
      <c r="G13" s="29" t="s">
        <v>192</v>
      </c>
      <c r="H13" s="31" t="s">
        <v>193</v>
      </c>
    </row>
    <row r="14" spans="1:8" ht="20.100000000000001" customHeight="1" x14ac:dyDescent="0.35">
      <c r="A14" s="911" t="str">
        <f>IF(_Ped_TPN_Keuze&lt;&gt;1,ROUND(G21/24,1)&amp;"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IF(AND(_Ped_TPN_Keuze&lt;&gt;1,G16&lt;&gt;0,_Pat_Gewicht/10&lt;=50),ROUND(PedBerTPN!F7,0),"")</f>
        <v/>
      </c>
      <c r="H14" s="62"/>
    </row>
    <row r="15" spans="1:8" ht="20.100000000000001" customHeight="1" x14ac:dyDescent="0.35">
      <c r="A15" s="912"/>
      <c r="B15" s="72" t="s">
        <v>428</v>
      </c>
      <c r="C15" s="73"/>
      <c r="D15" s="73" t="s">
        <v>44</v>
      </c>
      <c r="E15" s="73" t="s">
        <v>86</v>
      </c>
      <c r="F15" s="74" t="s">
        <v>86</v>
      </c>
      <c r="G15" s="71" t="str">
        <f>IF(AND(_Ped_TPN_Keuze&lt;&gt;1,G16&lt;&gt;0,_Pat_Gewicht/10&lt;=50),ROUND(PedBerTPN!F8,0),"")</f>
        <v/>
      </c>
      <c r="H15" s="62"/>
    </row>
    <row r="16" spans="1:8" ht="20.100000000000001" customHeight="1" x14ac:dyDescent="0.35">
      <c r="A16" s="28"/>
      <c r="B16" s="72" t="s">
        <v>429</v>
      </c>
      <c r="C16" s="73"/>
      <c r="D16" s="73" t="s">
        <v>195</v>
      </c>
      <c r="E16" s="73" t="s">
        <v>45</v>
      </c>
      <c r="F16" s="74" t="s">
        <v>46</v>
      </c>
      <c r="G16" s="75" t="str">
        <f>IF(_Ped_TPN_Keuze&lt;&gt;1,PedBerTPN!F4,"")</f>
        <v/>
      </c>
      <c r="H16" s="62"/>
    </row>
    <row r="17" spans="1:8" ht="20.100000000000001" customHeight="1" x14ac:dyDescent="0.35">
      <c r="A17" s="28"/>
      <c r="B17" s="72" t="s">
        <v>325</v>
      </c>
      <c r="C17" s="73"/>
      <c r="D17" s="73" t="s">
        <v>47</v>
      </c>
      <c r="E17" s="73"/>
      <c r="F17" s="74"/>
      <c r="G17" s="75" t="str">
        <f>IF(AND(_Ped_TPN_SST1Keuze=2,_Ped_TPN_Keuze&lt;&gt;1,_Pat_Gewicht/10&lt;=50),ROUND(PedBerTPN!F6,0),"")</f>
        <v/>
      </c>
      <c r="H17" s="62"/>
    </row>
    <row r="18" spans="1:8" ht="20.100000000000001" customHeight="1" x14ac:dyDescent="0.35">
      <c r="A18" s="28"/>
      <c r="B18" s="72" t="s">
        <v>430</v>
      </c>
      <c r="C18" s="73"/>
      <c r="D18" s="73"/>
      <c r="E18" s="73" t="s">
        <v>49</v>
      </c>
      <c r="F18" s="74"/>
      <c r="G18" s="75" t="str">
        <f>IF(AND(_Ped_TPN_SST1Keuze=3,_Ped_TPN_Keuze&lt;&gt;1,_Pat_Gewicht/10&lt;=50),ROUND(PedBerTPN!F6,0),"")</f>
        <v/>
      </c>
      <c r="H18" s="62"/>
    </row>
    <row r="19" spans="1:8" ht="20.100000000000001" customHeight="1" x14ac:dyDescent="0.35">
      <c r="A19" s="28"/>
      <c r="B19" s="72" t="s">
        <v>89</v>
      </c>
      <c r="C19" s="73"/>
      <c r="D19" s="73"/>
      <c r="E19" s="73"/>
      <c r="F19" s="74" t="s">
        <v>50</v>
      </c>
      <c r="G19" s="75" t="str">
        <f>IF(AND(_Ped_TPN_SST1Keuze=5,_Ped_TPN_Keuze&lt;&gt;1,_Pat_Gewicht/10&lt;=50),ROUND(PedBerTPN!F6,0),"")</f>
        <v/>
      </c>
      <c r="H19" s="62"/>
    </row>
    <row r="20" spans="1:8" ht="20.100000000000001" customHeight="1" x14ac:dyDescent="0.35">
      <c r="A20" s="28"/>
      <c r="B20" s="72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3"/>
      <c r="D20" s="73"/>
      <c r="E20" s="73"/>
      <c r="F20" s="74"/>
      <c r="G20" s="75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2"/>
    </row>
    <row r="21" spans="1:8" ht="15.95" customHeight="1" x14ac:dyDescent="0.35">
      <c r="A21" s="28"/>
      <c r="B21" s="38"/>
      <c r="C21" s="38"/>
      <c r="D21" s="38"/>
      <c r="E21" s="915" t="s">
        <v>235</v>
      </c>
      <c r="F21" s="915"/>
      <c r="G21" s="63">
        <f>SUM(G14:G20)+IF(AND(_Pat_Gewicht/10&gt;=16,_Pat_Gewicht/10&lt;=50),PedBerTPN!F5,0)</f>
        <v>0</v>
      </c>
      <c r="H21" s="62"/>
    </row>
    <row r="22" spans="1:8" ht="15.95" customHeight="1" x14ac:dyDescent="0.35">
      <c r="A22" s="28"/>
      <c r="B22" s="33"/>
      <c r="C22" s="33"/>
      <c r="D22" s="33"/>
      <c r="E22" s="33"/>
      <c r="F22" s="33"/>
      <c r="G22" s="33"/>
      <c r="H22" s="29"/>
    </row>
    <row r="23" spans="1:8" ht="20.100000000000001" customHeight="1" x14ac:dyDescent="0.35">
      <c r="A23" s="909" t="str">
        <f>IF(G26&gt;0,ROUND(G26/24,1)&amp;" ml/u","")</f>
        <v/>
      </c>
      <c r="B23" s="68" t="s">
        <v>215</v>
      </c>
      <c r="C23" s="69"/>
      <c r="D23" s="69" t="s">
        <v>410</v>
      </c>
      <c r="E23" s="69" t="s">
        <v>411</v>
      </c>
      <c r="F23" s="70" t="s">
        <v>195</v>
      </c>
      <c r="G23" s="71">
        <f>ROUND(PedBerTPN!F13,0)</f>
        <v>0</v>
      </c>
      <c r="H23" s="34"/>
    </row>
    <row r="24" spans="1:8" ht="20.100000000000001" customHeight="1" x14ac:dyDescent="0.35">
      <c r="A24" s="910"/>
      <c r="B24" s="72" t="s">
        <v>216</v>
      </c>
      <c r="C24" s="73"/>
      <c r="D24" s="73"/>
      <c r="E24" s="916" t="s">
        <v>312</v>
      </c>
      <c r="F24" s="917"/>
      <c r="G24" s="75">
        <f>ROUND(PedBerTPN!F14,0)</f>
        <v>0</v>
      </c>
      <c r="H24" s="29"/>
    </row>
    <row r="25" spans="1:8" ht="20.100000000000001" customHeight="1" x14ac:dyDescent="0.35">
      <c r="A25" s="28"/>
      <c r="B25" s="72"/>
      <c r="C25" s="73"/>
      <c r="D25" s="73"/>
      <c r="E25" s="916"/>
      <c r="F25" s="917"/>
      <c r="G25" s="75"/>
      <c r="H25" s="29"/>
    </row>
    <row r="26" spans="1:8" ht="15.95" customHeight="1" x14ac:dyDescent="0.35">
      <c r="A26" s="28"/>
      <c r="B26" s="60"/>
      <c r="C26" s="60"/>
      <c r="D26" s="60"/>
      <c r="E26" s="918" t="s">
        <v>235</v>
      </c>
      <c r="F26" s="918"/>
      <c r="G26" s="65">
        <f>SUM(G23:G25)</f>
        <v>0</v>
      </c>
      <c r="H26" s="61"/>
    </row>
    <row r="27" spans="1:8" ht="15.95" customHeight="1" thickBot="1" x14ac:dyDescent="0.4">
      <c r="A27" s="28"/>
      <c r="B27" s="60"/>
      <c r="C27" s="60"/>
      <c r="D27" s="60"/>
      <c r="E27" s="60"/>
      <c r="F27" s="60"/>
      <c r="G27" s="33"/>
      <c r="H27" s="29"/>
    </row>
    <row r="28" spans="1:8" ht="15.95" customHeight="1" thickTop="1" x14ac:dyDescent="0.35">
      <c r="A28" s="35"/>
      <c r="B28" s="913" t="s">
        <v>127</v>
      </c>
      <c r="C28" s="914"/>
      <c r="D28" s="914"/>
      <c r="E28" s="914"/>
      <c r="F28" s="914"/>
      <c r="G28" s="56"/>
      <c r="H28" s="36"/>
    </row>
    <row r="29" spans="1:8" ht="20.100000000000001" customHeight="1" x14ac:dyDescent="0.35">
      <c r="A29" s="909" t="str">
        <f>IF(G36&gt;0,ROUND(G36/24,1)&amp;" ml/u","")</f>
        <v/>
      </c>
      <c r="B29" s="79" t="s">
        <v>34</v>
      </c>
      <c r="C29" s="81"/>
      <c r="D29" s="81"/>
      <c r="E29" s="81"/>
      <c r="F29" s="82"/>
      <c r="G29" s="71">
        <f>IF(AND(OR(_Ped_TPN_Keuze=1,AND(_Ped_TPN_Keuze=2,_Ped_TPN_SST1Keuze&gt;10),_Pat_Gewicht/10&gt;50)),ROUND(PedBerTPN!F7,0),0)</f>
        <v>0</v>
      </c>
      <c r="H29" s="29"/>
    </row>
    <row r="30" spans="1:8" ht="20.100000000000001" customHeight="1" x14ac:dyDescent="0.35">
      <c r="A30" s="910"/>
      <c r="B30" s="80" t="s">
        <v>431</v>
      </c>
      <c r="C30" s="83"/>
      <c r="D30" s="83"/>
      <c r="E30" s="83"/>
      <c r="F30" s="84"/>
      <c r="G30" s="75">
        <f>IF(AND(OR(_Ped_TPN_Keuze=1,AND(_Ped_TPN_Keuze=2,_Ped_TPN_SST1Keuze&gt;10),_Pat_Gewicht/10&gt;50)),ROUND(PedBerTPN!F8,0),0)</f>
        <v>0</v>
      </c>
      <c r="H30" s="29"/>
    </row>
    <row r="31" spans="1:8" ht="20.100000000000001" customHeight="1" x14ac:dyDescent="0.35">
      <c r="A31" s="28"/>
      <c r="B31" s="80" t="s">
        <v>451</v>
      </c>
      <c r="C31" s="83"/>
      <c r="D31" s="83"/>
      <c r="E31" s="83"/>
      <c r="F31" s="84"/>
      <c r="G31" s="75">
        <f>PedBerTPN!F9</f>
        <v>0</v>
      </c>
      <c r="H31" s="29"/>
    </row>
    <row r="32" spans="1:8" ht="20.100000000000001" customHeight="1" x14ac:dyDescent="0.35">
      <c r="A32" s="28"/>
      <c r="B32" s="80" t="s">
        <v>452</v>
      </c>
      <c r="C32" s="83"/>
      <c r="D32" s="83"/>
      <c r="E32" s="83"/>
      <c r="F32" s="84"/>
      <c r="G32" s="75">
        <f>PedBerTPN!F10</f>
        <v>0</v>
      </c>
      <c r="H32" s="29"/>
    </row>
    <row r="33" spans="1:8" ht="20.100000000000001" customHeight="1" x14ac:dyDescent="0.35">
      <c r="A33" s="28"/>
      <c r="B33" s="80" t="s">
        <v>325</v>
      </c>
      <c r="C33" s="83"/>
      <c r="D33" s="83"/>
      <c r="E33" s="83"/>
      <c r="F33" s="84"/>
      <c r="G33" s="75">
        <f>IF(_Pat_Gewicht/10&lt;=50,PedBerTPN!F17,0)+IF(AND(_Ped_TPN_SST1Keuze=2,_Ped_TPN_Keuze=1,_Pat_Gewicht/10&lt;=50),ROUND(PedBerTPN!F6,0),0)</f>
        <v>0</v>
      </c>
      <c r="H33" s="29"/>
    </row>
    <row r="34" spans="1:8" ht="20.100000000000001" customHeight="1" x14ac:dyDescent="0.35">
      <c r="A34" s="28"/>
      <c r="B34" s="80" t="str">
        <f>IF(AND(OR(_Ped_TPN_Keuze=1,AND(_Ped_TPN_Keuze=2,_Ped_TPN_SST1Keuze&gt;10)),_Ped_TPN_SST1Keuze&lt;&gt;11,_Ped_TPN_SST1Keuze&lt;&gt;2),INDEX(tblSSTGlucose,_Ped_TPN_SST1Keuze,1),"Glucose       %")</f>
        <v>Glucose 5%</v>
      </c>
      <c r="C34" s="83"/>
      <c r="D34" s="83"/>
      <c r="E34" s="83"/>
      <c r="F34" s="84"/>
      <c r="G34" s="75">
        <f>IF(AND(OR(_Ped_TPN_Keuze=1,AND(_Ped_TPN_Keuze=2,_Ped_TPN_SST1Keuze&gt;10),_Pat_Gewicht/10&gt;50),_Ped_TPN_SST1Keuze&lt;&gt;2,_Ped_TPN_SST1Keuze&lt;&gt;11),ROUND(PedBerTPN!F6,0),"")</f>
        <v>0</v>
      </c>
      <c r="H34" s="29"/>
    </row>
    <row r="35" spans="1:8" ht="20.100000000000001" customHeight="1" x14ac:dyDescent="0.35">
      <c r="A35" s="28"/>
      <c r="B35" s="79" t="s">
        <v>432</v>
      </c>
      <c r="C35" s="81"/>
      <c r="D35" s="81"/>
      <c r="E35" s="81"/>
      <c r="F35" s="82"/>
      <c r="G35" s="75" t="str">
        <f>IF(AND(_Ped_TPN_SST1Keuze=11),ROUND(PedBerTPN!F6,0),"")</f>
        <v/>
      </c>
      <c r="H35" s="29"/>
    </row>
    <row r="36" spans="1:8" ht="15.95" customHeight="1" x14ac:dyDescent="0.35">
      <c r="A36" s="28"/>
      <c r="B36" s="60"/>
      <c r="C36" s="60"/>
      <c r="D36" s="60"/>
      <c r="E36" s="918" t="s">
        <v>237</v>
      </c>
      <c r="F36" s="918"/>
      <c r="G36" s="64">
        <f>SUM(G29:G35)</f>
        <v>0</v>
      </c>
      <c r="H36" s="29"/>
    </row>
    <row r="37" spans="1:8" ht="15.95" customHeight="1" thickBot="1" x14ac:dyDescent="0.4">
      <c r="A37" s="28"/>
      <c r="B37" s="60"/>
      <c r="C37" s="60"/>
      <c r="D37" s="60"/>
      <c r="E37" s="60"/>
      <c r="F37" s="60"/>
      <c r="G37" s="33"/>
      <c r="H37" s="29"/>
    </row>
    <row r="38" spans="1:8" ht="15.95" customHeight="1" thickTop="1" x14ac:dyDescent="0.35">
      <c r="A38" s="35"/>
      <c r="B38" s="919" t="s">
        <v>266</v>
      </c>
      <c r="C38" s="920"/>
      <c r="D38" s="920"/>
      <c r="E38" s="920"/>
      <c r="F38" s="921"/>
      <c r="G38" s="36" t="s">
        <v>267</v>
      </c>
      <c r="H38" s="36"/>
    </row>
    <row r="39" spans="1:8" ht="15.95" customHeight="1" x14ac:dyDescent="0.35">
      <c r="A39" s="37"/>
      <c r="B39" s="906" t="s">
        <v>268</v>
      </c>
      <c r="C39" s="907"/>
      <c r="D39" s="907"/>
      <c r="E39" s="907"/>
      <c r="F39" s="908"/>
      <c r="G39" s="31" t="s">
        <v>269</v>
      </c>
      <c r="H39" s="29"/>
    </row>
    <row r="40" spans="1:8" ht="15.95" customHeight="1" x14ac:dyDescent="0.35">
      <c r="A40" s="37"/>
      <c r="B40" s="906" t="s">
        <v>270</v>
      </c>
      <c r="C40" s="907"/>
      <c r="D40" s="907"/>
      <c r="E40" s="907"/>
      <c r="F40" s="908"/>
      <c r="G40" s="31" t="s">
        <v>267</v>
      </c>
      <c r="H40" s="32"/>
    </row>
    <row r="42" spans="1:8" x14ac:dyDescent="0.35">
      <c r="A42" s="8" t="s">
        <v>271</v>
      </c>
    </row>
    <row r="43" spans="1:8" x14ac:dyDescent="0.35">
      <c r="A43" s="8" t="s">
        <v>236</v>
      </c>
    </row>
    <row r="45" spans="1:8" x14ac:dyDescent="0.35">
      <c r="A45" s="8" t="s">
        <v>272</v>
      </c>
    </row>
    <row r="47" spans="1:8" x14ac:dyDescent="0.35">
      <c r="A47" s="8" t="s">
        <v>85</v>
      </c>
    </row>
    <row r="49" spans="6:6" ht="13.2" x14ac:dyDescent="0.4">
      <c r="F49" s="2"/>
    </row>
  </sheetData>
  <sheetProtection algorithmName="SHA-512" hashValue="DzH2cy7jhNpzTyp3uP7pdABMPDk5+72sKFKKK2xOnRfqw7tQnmFpGI1iw+wbhsxBnbCF8bpdk4swM0qaV3kfrQ==" saltValue="UzzFY1t0ex5OOQ5+Kd6XkA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111</v>
      </c>
    </row>
    <row r="3" spans="1:8" x14ac:dyDescent="0.35">
      <c r="A3" s="8" t="s">
        <v>274</v>
      </c>
      <c r="B3" s="39">
        <f ca="1">TODAY()</f>
        <v>42739</v>
      </c>
      <c r="F3" s="47">
        <f>__0_PatNum</f>
        <v>0</v>
      </c>
      <c r="G3" s="48"/>
      <c r="H3" s="49"/>
    </row>
    <row r="4" spans="1:8" x14ac:dyDescent="0.35"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41" t="s">
        <v>548</v>
      </c>
      <c r="B6" s="8">
        <f>__1_Bed</f>
        <v>0</v>
      </c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10" spans="1:8" ht="13.2" thickBot="1" x14ac:dyDescent="0.4">
      <c r="A10" s="8" t="str">
        <f>IF(_Pat_Gewicht/10&lt;7,"Tot. hoev. vocht* (150 ml/kg/24 uur):","Tot. hoev. vocht* (110-90 ml/kg/24 uur):")</f>
        <v>Tot. hoev. vocht* (110-90 ml/kg/24 uur):</v>
      </c>
      <c r="C10" s="8">
        <f>PedBerTPN!F24</f>
        <v>0</v>
      </c>
      <c r="D10" s="8" t="s">
        <v>344</v>
      </c>
    </row>
    <row r="11" spans="1:8" ht="13.2" thickTop="1" x14ac:dyDescent="0.35">
      <c r="A11" s="922" t="s">
        <v>16</v>
      </c>
      <c r="B11" s="923"/>
      <c r="C11" s="923"/>
      <c r="D11" s="923"/>
      <c r="E11" s="923"/>
      <c r="F11" s="923"/>
      <c r="G11" s="923"/>
      <c r="H11" s="924"/>
    </row>
    <row r="12" spans="1:8" ht="25.65" x14ac:dyDescent="0.35">
      <c r="A12" s="28" t="s">
        <v>330</v>
      </c>
      <c r="B12" s="925" t="s">
        <v>186</v>
      </c>
      <c r="C12" s="927"/>
      <c r="D12" s="929" t="s">
        <v>187</v>
      </c>
      <c r="E12" s="929" t="s">
        <v>188</v>
      </c>
      <c r="F12" s="929" t="s">
        <v>189</v>
      </c>
      <c r="G12" s="29"/>
      <c r="H12" s="29" t="s">
        <v>190</v>
      </c>
    </row>
    <row r="13" spans="1:8" ht="15" customHeight="1" x14ac:dyDescent="0.35">
      <c r="A13" s="30" t="s">
        <v>191</v>
      </c>
      <c r="B13" s="926"/>
      <c r="C13" s="928"/>
      <c r="D13" s="930"/>
      <c r="E13" s="930"/>
      <c r="F13" s="930"/>
      <c r="G13" s="29" t="s">
        <v>192</v>
      </c>
      <c r="H13" s="31" t="s">
        <v>193</v>
      </c>
    </row>
    <row r="14" spans="1:8" ht="20.100000000000001" customHeight="1" x14ac:dyDescent="0.35">
      <c r="A14" s="911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2"/>
      <c r="B15" s="72" t="s">
        <v>428</v>
      </c>
      <c r="C15" s="73"/>
      <c r="D15" s="73" t="s">
        <v>433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434</v>
      </c>
      <c r="C16" s="73"/>
      <c r="D16" s="73" t="s">
        <v>411</v>
      </c>
      <c r="E16" s="73" t="s">
        <v>435</v>
      </c>
      <c r="F16" s="74" t="s">
        <v>45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325</v>
      </c>
      <c r="C17" s="73"/>
      <c r="D17" s="73" t="s">
        <v>436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437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438</v>
      </c>
      <c r="C19" s="73"/>
      <c r="D19" s="73"/>
      <c r="E19" s="73"/>
      <c r="F19" s="74" t="s">
        <v>439</v>
      </c>
      <c r="G19" s="75" t="str">
        <f>IF(AND(_Ped_TPN_SST1Keuze=8,_Ped_TPN_Keuze&lt;&gt;1,_Pat_Gewicht/10&lt;=10),ROUND(PedBerTPN!F6,0),"")</f>
        <v/>
      </c>
      <c r="H19" s="29"/>
    </row>
    <row r="20" spans="1:8" ht="20.100000000000001" customHeight="1" x14ac:dyDescent="0.35">
      <c r="A20" s="28"/>
      <c r="B20" s="72" t="s">
        <v>440</v>
      </c>
      <c r="C20" s="73"/>
      <c r="D20" s="73"/>
      <c r="E20" s="73"/>
      <c r="F20" s="74" t="s">
        <v>441</v>
      </c>
      <c r="G20" s="75" t="str">
        <f>IF(AND(_Ped_TPN_SST1Keuze=8,_Ped_TPN_Keuze&lt;&gt;1,_Pat_Gewicht/10&gt;10),ROUND(PedBerTPN!F6,0),"")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38"/>
      <c r="C22" s="38"/>
      <c r="D22" s="38"/>
      <c r="E22" s="915" t="s">
        <v>235</v>
      </c>
      <c r="F22" s="915"/>
      <c r="G22" s="63">
        <f>SUM(G14:G21)</f>
        <v>0</v>
      </c>
      <c r="H22" s="61"/>
    </row>
    <row r="23" spans="1:8" ht="10.5" customHeight="1" x14ac:dyDescent="0.35">
      <c r="A23" s="28"/>
      <c r="B23" s="33"/>
      <c r="C23" s="33"/>
      <c r="D23" s="33"/>
      <c r="E23" s="33"/>
      <c r="F23" s="33"/>
      <c r="G23" s="33"/>
      <c r="H23" s="29"/>
    </row>
    <row r="24" spans="1:8" ht="20.100000000000001" customHeight="1" x14ac:dyDescent="0.35">
      <c r="A24" s="909" t="str">
        <f>IF(G27&gt;0,ROUND(G27/24,1)&amp;" ml/u","")</f>
        <v/>
      </c>
      <c r="B24" s="68" t="s">
        <v>215</v>
      </c>
      <c r="C24" s="69"/>
      <c r="D24" s="69" t="s">
        <v>410</v>
      </c>
      <c r="E24" s="69" t="s">
        <v>411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10"/>
      <c r="B25" s="72" t="s">
        <v>216</v>
      </c>
      <c r="C25" s="73"/>
      <c r="D25" s="73"/>
      <c r="E25" s="933" t="s">
        <v>395</v>
      </c>
      <c r="F25" s="934"/>
      <c r="G25" s="71">
        <f>ROUND(PedBerTPN!F14,0)</f>
        <v>0</v>
      </c>
      <c r="H25" s="29"/>
    </row>
    <row r="26" spans="1:8" ht="20.100000000000001" customHeight="1" x14ac:dyDescent="0.35">
      <c r="A26" s="28"/>
      <c r="B26" s="72" t="s">
        <v>232</v>
      </c>
      <c r="C26" s="73"/>
      <c r="D26" s="73"/>
      <c r="E26" s="933" t="s">
        <v>395</v>
      </c>
      <c r="F26" s="934"/>
      <c r="G26" s="71">
        <f>ROUND(PedBerTPN!F15,0)</f>
        <v>0</v>
      </c>
      <c r="H26" s="29"/>
    </row>
    <row r="27" spans="1:8" ht="15.95" customHeight="1" x14ac:dyDescent="0.35">
      <c r="A27" s="28"/>
      <c r="B27" s="33"/>
      <c r="C27" s="33"/>
      <c r="D27" s="33"/>
      <c r="E27" s="915" t="s">
        <v>235</v>
      </c>
      <c r="F27" s="915"/>
      <c r="G27" s="65">
        <f>SUM(G24:G26)</f>
        <v>0</v>
      </c>
      <c r="H27" s="61"/>
    </row>
    <row r="28" spans="1:8" ht="10.5" customHeight="1" thickBot="1" x14ac:dyDescent="0.4">
      <c r="A28" s="28"/>
      <c r="B28" s="33"/>
      <c r="C28" s="33"/>
      <c r="D28" s="33"/>
      <c r="E28" s="33"/>
      <c r="F28" s="33"/>
      <c r="G28" s="33"/>
      <c r="H28" s="29"/>
    </row>
    <row r="29" spans="1:8" ht="15.95" customHeight="1" thickTop="1" x14ac:dyDescent="0.35">
      <c r="A29" s="35"/>
      <c r="B29" s="931" t="s">
        <v>127</v>
      </c>
      <c r="C29" s="932"/>
      <c r="D29" s="932"/>
      <c r="E29" s="932"/>
      <c r="F29" s="932"/>
      <c r="G29" s="56"/>
      <c r="H29" s="36"/>
    </row>
    <row r="30" spans="1:8" ht="20.100000000000001" customHeight="1" x14ac:dyDescent="0.35">
      <c r="A30" s="909" t="str">
        <f>IF(G33&gt;0,ROUND(G39/24,1)&amp;"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IF(AND(OR(_Ped_TPN_Keuze=1,AND(_Ped_TPN_Keuze=2,_Ped_TPN_SST1Keuze&gt;10))),ROUND(PedBerTPN!F7,0),0)</f>
        <v>0</v>
      </c>
      <c r="H30" s="29"/>
    </row>
    <row r="31" spans="1:8" ht="20.100000000000001" customHeight="1" x14ac:dyDescent="0.35">
      <c r="A31" s="910"/>
      <c r="B31" s="80" t="s">
        <v>431</v>
      </c>
      <c r="C31" s="83"/>
      <c r="D31" s="83"/>
      <c r="E31" s="83"/>
      <c r="F31" s="87"/>
      <c r="G31" s="88">
        <f>IF(AND(OR(_Ped_TPN_Keuze=1,AND(_Ped_TPN_Keuze=2,_Ped_TPN_SST1Keuze&gt;10))),ROUND(PedBerTPN!F8,0),0)</f>
        <v>0</v>
      </c>
      <c r="H31" s="29"/>
    </row>
    <row r="32" spans="1:8" ht="20.100000000000001" customHeight="1" x14ac:dyDescent="0.35">
      <c r="A32" s="58"/>
      <c r="B32" s="80" t="s">
        <v>451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452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28"/>
      <c r="B35" s="80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9"/>
    </row>
    <row r="36" spans="1:8" ht="20.100000000000001" customHeight="1" x14ac:dyDescent="0.35">
      <c r="A36" s="28"/>
      <c r="B36" s="941" t="s">
        <v>432</v>
      </c>
      <c r="C36" s="942"/>
      <c r="D36" s="942"/>
      <c r="E36" s="942"/>
      <c r="F36" s="87"/>
      <c r="G36" s="88" t="str">
        <f>IF(OR(_Ped_TPN_SST1Keuze=11),ROUND(PedBerTPN!F6,0),"")</f>
        <v/>
      </c>
      <c r="H36" s="29"/>
    </row>
    <row r="37" spans="1:8" ht="20.100000000000001" customHeight="1" x14ac:dyDescent="0.35">
      <c r="A37" s="28"/>
      <c r="B37" s="941" t="s">
        <v>35</v>
      </c>
      <c r="C37" s="942"/>
      <c r="D37" s="942"/>
      <c r="E37" s="942"/>
      <c r="F37" s="87"/>
      <c r="G37" s="88" t="str">
        <f>IF(AND(_Ped_TPN_SST1Keuze=12),ROUND(PedBerTPN!F6,0),"")</f>
        <v/>
      </c>
      <c r="H37" s="29"/>
    </row>
    <row r="38" spans="1:8" ht="20.100000000000001" customHeight="1" x14ac:dyDescent="0.35">
      <c r="A38" s="28"/>
      <c r="B38" s="941" t="s">
        <v>36</v>
      </c>
      <c r="C38" s="942"/>
      <c r="D38" s="942"/>
      <c r="E38" s="942"/>
      <c r="F38" s="85"/>
      <c r="G38" s="88" t="str">
        <f>IF(AND(_Ped_TPN_SST1Keuze=13),ROUND(PedBerTPN!F6,0),"")</f>
        <v/>
      </c>
      <c r="H38" s="29"/>
    </row>
    <row r="39" spans="1:8" ht="15.95" customHeight="1" x14ac:dyDescent="0.35">
      <c r="A39" s="28"/>
      <c r="B39" s="33"/>
      <c r="C39" s="33"/>
      <c r="D39" s="33"/>
      <c r="E39" s="915" t="s">
        <v>237</v>
      </c>
      <c r="F39" s="915"/>
      <c r="G39" s="64">
        <f>SUM(G30:G38)</f>
        <v>0</v>
      </c>
      <c r="H39" s="29"/>
    </row>
    <row r="40" spans="1:8" ht="10.5" customHeight="1" thickBot="1" x14ac:dyDescent="0.4">
      <c r="A40" s="28"/>
      <c r="B40" s="33"/>
      <c r="C40" s="33"/>
      <c r="D40" s="33"/>
      <c r="E40" s="33"/>
      <c r="F40" s="33"/>
      <c r="G40" s="33"/>
      <c r="H40" s="29"/>
    </row>
    <row r="41" spans="1:8" ht="15.95" customHeight="1" thickTop="1" x14ac:dyDescent="0.35">
      <c r="A41" s="35"/>
      <c r="B41" s="935" t="s">
        <v>266</v>
      </c>
      <c r="C41" s="936"/>
      <c r="D41" s="936"/>
      <c r="E41" s="936"/>
      <c r="F41" s="937"/>
      <c r="G41" s="36" t="s">
        <v>267</v>
      </c>
      <c r="H41" s="36"/>
    </row>
    <row r="42" spans="1:8" ht="15.95" customHeight="1" x14ac:dyDescent="0.35">
      <c r="A42" s="37"/>
      <c r="B42" s="938" t="s">
        <v>268</v>
      </c>
      <c r="C42" s="939"/>
      <c r="D42" s="939"/>
      <c r="E42" s="939"/>
      <c r="F42" s="940"/>
      <c r="G42" s="31" t="s">
        <v>269</v>
      </c>
      <c r="H42" s="29"/>
    </row>
    <row r="43" spans="1:8" ht="15.95" customHeight="1" x14ac:dyDescent="0.35">
      <c r="A43" s="37"/>
      <c r="B43" s="938" t="s">
        <v>270</v>
      </c>
      <c r="C43" s="939"/>
      <c r="D43" s="939"/>
      <c r="E43" s="939"/>
      <c r="F43" s="940"/>
      <c r="G43" s="31" t="s">
        <v>267</v>
      </c>
      <c r="H43" s="32"/>
    </row>
    <row r="45" spans="1:8" x14ac:dyDescent="0.35">
      <c r="A45" s="8" t="s">
        <v>271</v>
      </c>
    </row>
    <row r="46" spans="1:8" x14ac:dyDescent="0.35">
      <c r="A46" s="8" t="s">
        <v>236</v>
      </c>
    </row>
    <row r="47" spans="1:8" x14ac:dyDescent="0.35">
      <c r="A47" s="8" t="s">
        <v>272</v>
      </c>
    </row>
    <row r="49" spans="1:6" x14ac:dyDescent="0.35">
      <c r="A49" s="8" t="s">
        <v>85</v>
      </c>
    </row>
    <row r="51" spans="1:6" ht="13.2" x14ac:dyDescent="0.4">
      <c r="F51" s="2"/>
    </row>
  </sheetData>
  <sheetProtection algorithmName="SHA-512" hashValue="JvqpWCRSLtOBRpsCalCzGFOhbd0J3sMTwwGG0pj4xr57Le+IG7+ZQRc5ldFgRept5HznyXY9GxKxwZUlw6kjrg==" saltValue="sfORWQQeiCIWk2HKNpwz0w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112</v>
      </c>
    </row>
    <row r="3" spans="1:8" x14ac:dyDescent="0.35">
      <c r="A3" s="8" t="s">
        <v>274</v>
      </c>
      <c r="B3" s="39">
        <f ca="1">TODAY()</f>
        <v>42739</v>
      </c>
      <c r="F3" s="47">
        <f>__0_PatNum</f>
        <v>0</v>
      </c>
      <c r="G3" s="48"/>
      <c r="H3" s="49"/>
    </row>
    <row r="4" spans="1:8" x14ac:dyDescent="0.35">
      <c r="A4" s="197" t="s">
        <v>548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52"/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10" spans="1:8" ht="13.2" thickBot="1" x14ac:dyDescent="0.4">
      <c r="A10" s="8" t="s">
        <v>384</v>
      </c>
      <c r="C10" s="8">
        <f>PedBerTPN!F24</f>
        <v>0</v>
      </c>
      <c r="D10" s="8" t="s">
        <v>344</v>
      </c>
    </row>
    <row r="11" spans="1:8" ht="13.2" thickTop="1" x14ac:dyDescent="0.35">
      <c r="A11" s="922" t="s">
        <v>16</v>
      </c>
      <c r="B11" s="923"/>
      <c r="C11" s="923"/>
      <c r="D11" s="923"/>
      <c r="E11" s="923"/>
      <c r="F11" s="923"/>
      <c r="G11" s="923"/>
      <c r="H11" s="924"/>
    </row>
    <row r="12" spans="1:8" ht="25.65" x14ac:dyDescent="0.35">
      <c r="A12" s="28" t="s">
        <v>330</v>
      </c>
      <c r="B12" s="925" t="s">
        <v>186</v>
      </c>
      <c r="C12" s="927"/>
      <c r="D12" s="929" t="s">
        <v>187</v>
      </c>
      <c r="E12" s="929" t="s">
        <v>188</v>
      </c>
      <c r="F12" s="929" t="s">
        <v>189</v>
      </c>
      <c r="G12" s="29"/>
      <c r="H12" s="29" t="s">
        <v>190</v>
      </c>
    </row>
    <row r="13" spans="1:8" x14ac:dyDescent="0.35">
      <c r="A13" s="30" t="s">
        <v>191</v>
      </c>
      <c r="B13" s="926"/>
      <c r="C13" s="928"/>
      <c r="D13" s="930"/>
      <c r="E13" s="930"/>
      <c r="F13" s="930"/>
      <c r="G13" s="29" t="s">
        <v>192</v>
      </c>
      <c r="H13" s="31" t="s">
        <v>193</v>
      </c>
    </row>
    <row r="14" spans="1:8" ht="20.100000000000001" customHeight="1" x14ac:dyDescent="0.35">
      <c r="A14" s="911" t="str">
        <f>IF(_Ped_TPN_Keuze&lt;&gt;1,ROUND(G22/24,1)&amp;" ml/u","")</f>
        <v/>
      </c>
      <c r="B14" s="68" t="s">
        <v>34</v>
      </c>
      <c r="C14" s="69"/>
      <c r="D14" s="69" t="s">
        <v>194</v>
      </c>
      <c r="E14" s="69" t="s">
        <v>194</v>
      </c>
      <c r="F14" s="70" t="s">
        <v>194</v>
      </c>
      <c r="G14" s="71" t="str">
        <f>IF(AND(_Ped_TPN_Keuze&lt;&gt;1,G16&lt;&gt;0),ROUND(PedBerTPN!F7,0),"")</f>
        <v/>
      </c>
      <c r="H14" s="29"/>
    </row>
    <row r="15" spans="1:8" ht="20.100000000000001" customHeight="1" x14ac:dyDescent="0.35">
      <c r="A15" s="912"/>
      <c r="B15" s="72" t="s">
        <v>428</v>
      </c>
      <c r="C15" s="73"/>
      <c r="D15" s="73" t="s">
        <v>433</v>
      </c>
      <c r="E15" s="73" t="s">
        <v>44</v>
      </c>
      <c r="F15" s="74" t="s">
        <v>44</v>
      </c>
      <c r="G15" s="71" t="str">
        <f>IF(AND(_Ped_TPN_Keuze&lt;&gt;1,G16&lt;&gt;0),ROUND(PedBerTPN!F8,0),"")</f>
        <v/>
      </c>
      <c r="H15" s="29"/>
    </row>
    <row r="16" spans="1:8" ht="20.100000000000001" customHeight="1" x14ac:dyDescent="0.35">
      <c r="A16" s="28"/>
      <c r="B16" s="72" t="s">
        <v>442</v>
      </c>
      <c r="C16" s="73"/>
      <c r="D16" s="73" t="s">
        <v>411</v>
      </c>
      <c r="E16" s="73" t="s">
        <v>195</v>
      </c>
      <c r="F16" s="74" t="s">
        <v>435</v>
      </c>
      <c r="G16" s="75" t="str">
        <f>IF(_Ped_TPN_Keuze&lt;&gt;1,PedBerTPN!F4,"")</f>
        <v/>
      </c>
      <c r="H16" s="29"/>
    </row>
    <row r="17" spans="1:8" ht="20.100000000000001" customHeight="1" x14ac:dyDescent="0.35">
      <c r="A17" s="28"/>
      <c r="B17" s="72" t="s">
        <v>332</v>
      </c>
      <c r="C17" s="73"/>
      <c r="D17" s="73"/>
      <c r="E17" s="933" t="s">
        <v>144</v>
      </c>
      <c r="F17" s="934"/>
      <c r="G17" s="75">
        <f>ROUND(PedBerTPN!F5,0)</f>
        <v>0</v>
      </c>
      <c r="H17" s="29"/>
    </row>
    <row r="18" spans="1:8" ht="20.100000000000001" customHeight="1" x14ac:dyDescent="0.35">
      <c r="A18" s="28"/>
      <c r="B18" s="72" t="s">
        <v>325</v>
      </c>
      <c r="C18" s="73"/>
      <c r="D18" s="73" t="s">
        <v>145</v>
      </c>
      <c r="E18" s="73"/>
      <c r="F18" s="74"/>
      <c r="G18" s="75" t="str">
        <f>IF(AND(_Ped_TPN_SST1Keuze=2,_Ped_TPN_Keuze&lt;&gt;1),ROUND(PedBerTPN!F6,0),"")</f>
        <v/>
      </c>
      <c r="H18" s="29"/>
    </row>
    <row r="19" spans="1:8" ht="20.100000000000001" customHeight="1" x14ac:dyDescent="0.35">
      <c r="A19" s="28"/>
      <c r="B19" s="72" t="s">
        <v>100</v>
      </c>
      <c r="C19" s="73"/>
      <c r="D19" s="73"/>
      <c r="E19" s="73" t="s">
        <v>146</v>
      </c>
      <c r="F19" s="74"/>
      <c r="G19" s="75" t="str">
        <f>IF(AND(_Ped_TPN_SST1Keuze=6,_Ped_TPN_Keuze&lt;&gt;1),ROUND(PedBerTPN!F6,0),"")</f>
        <v/>
      </c>
      <c r="H19" s="29"/>
    </row>
    <row r="20" spans="1:8" ht="20.100000000000001" customHeight="1" x14ac:dyDescent="0.35">
      <c r="A20" s="28"/>
      <c r="B20" s="72" t="s">
        <v>233</v>
      </c>
      <c r="C20" s="73"/>
      <c r="D20" s="73"/>
      <c r="E20" s="73"/>
      <c r="F20" s="74" t="s">
        <v>147</v>
      </c>
      <c r="G20" s="75" t="str">
        <f>IF(AND(_Ped_TPN_SST1Keuze=8,_Ped_TPN_Keuze&lt;&gt;1),ROUND(PedBerTPN!F6,0),"")</f>
        <v/>
      </c>
      <c r="H20" s="29"/>
    </row>
    <row r="21" spans="1:8" ht="20.100000000000001" customHeight="1" x14ac:dyDescent="0.35">
      <c r="A21" s="28"/>
      <c r="B21" s="72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3"/>
      <c r="D21" s="73"/>
      <c r="E21" s="73"/>
      <c r="F21" s="74"/>
      <c r="G21" s="75" t="str">
        <f>IF(AND(_Ped_TPN_Keuze&lt;&gt;1,B20&lt;&gt;""),IF(AND(_Ped_TPN_SST1Keuze&lt;&gt;2,_Ped_TPN_SST1Keuze&lt;&gt;6,_Ped_TPN_SST1Keuze&lt;&gt;8,_Ped_TPN_SST1Keuze&lt;11),ROUND(PedBerTPN!F6,0),""),"")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8" t="s">
        <v>235</v>
      </c>
      <c r="F22" s="918"/>
      <c r="G22" s="63">
        <f>SUM(G14:G21)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11" t="str">
        <f>IF(_Ped_TPN_Keuze&lt;&gt;1,ROUND(G27/24,1)&amp;" ml/u","")</f>
        <v/>
      </c>
      <c r="B24" s="68" t="s">
        <v>215</v>
      </c>
      <c r="C24" s="69"/>
      <c r="D24" s="69" t="s">
        <v>410</v>
      </c>
      <c r="E24" s="69" t="s">
        <v>411</v>
      </c>
      <c r="F24" s="70" t="s">
        <v>195</v>
      </c>
      <c r="G24" s="71">
        <f>ROUND(PedBerTPN!F13,0)</f>
        <v>0</v>
      </c>
      <c r="H24" s="34"/>
    </row>
    <row r="25" spans="1:8" ht="20.100000000000001" customHeight="1" x14ac:dyDescent="0.35">
      <c r="A25" s="912"/>
      <c r="B25" s="72" t="s">
        <v>216</v>
      </c>
      <c r="C25" s="73"/>
      <c r="D25" s="73"/>
      <c r="E25" s="933" t="s">
        <v>395</v>
      </c>
      <c r="F25" s="934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232</v>
      </c>
      <c r="C26" s="73"/>
      <c r="D26" s="73"/>
      <c r="E26" s="933" t="s">
        <v>395</v>
      </c>
      <c r="F26" s="934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8" t="s">
        <v>235</v>
      </c>
      <c r="F27" s="918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13" t="s">
        <v>127</v>
      </c>
      <c r="C29" s="914"/>
      <c r="D29" s="914"/>
      <c r="E29" s="914"/>
      <c r="F29" s="914"/>
      <c r="G29" s="56"/>
      <c r="H29" s="36"/>
    </row>
    <row r="30" spans="1:8" ht="20.100000000000001" customHeight="1" x14ac:dyDescent="0.35">
      <c r="A30" s="911" t="str">
        <f>ROUND(G38/24,1)&amp;" ml/u"</f>
        <v>0 ml/u</v>
      </c>
      <c r="B30" s="79" t="s">
        <v>34</v>
      </c>
      <c r="C30" s="81"/>
      <c r="D30" s="81"/>
      <c r="E30" s="81"/>
      <c r="F30" s="82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2"/>
      <c r="B31" s="80" t="s">
        <v>431</v>
      </c>
      <c r="C31" s="83"/>
      <c r="D31" s="83"/>
      <c r="E31" s="83"/>
      <c r="F31" s="84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451</v>
      </c>
      <c r="C32" s="83"/>
      <c r="D32" s="83"/>
      <c r="E32" s="83"/>
      <c r="F32" s="84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452</v>
      </c>
      <c r="C33" s="83"/>
      <c r="D33" s="83"/>
      <c r="E33" s="83"/>
      <c r="F33" s="84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325</v>
      </c>
      <c r="C34" s="83"/>
      <c r="D34" s="83"/>
      <c r="E34" s="83"/>
      <c r="F34" s="84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4"/>
      <c r="G35" s="88">
        <f>IF(AND(OR(_Ped_TPN_Keuze=1,AND(_Ped_TPN_Keuze=2,_Ped_TPN_SST1Keuze&gt;10)),_Ped_TPN_SST1Keuze&lt;&gt;2,_Ped_TPN_SST1Keuze&lt;&gt;12,_Ped_TPN_SST1Keuze&lt;&gt;13),ROUND(PedBerTPN!F6,0),"")</f>
        <v>0</v>
      </c>
      <c r="H35" s="29"/>
    </row>
    <row r="36" spans="1:8" ht="20.100000000000001" customHeight="1" x14ac:dyDescent="0.35">
      <c r="A36" s="58"/>
      <c r="B36" s="941" t="s">
        <v>35</v>
      </c>
      <c r="C36" s="942"/>
      <c r="D36" s="942"/>
      <c r="E36" s="942"/>
      <c r="F36" s="84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41" t="s">
        <v>36</v>
      </c>
      <c r="C37" s="942"/>
      <c r="D37" s="942"/>
      <c r="E37" s="942"/>
      <c r="F37" s="84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60"/>
      <c r="C38" s="60"/>
      <c r="D38" s="60"/>
      <c r="E38" s="918" t="s">
        <v>237</v>
      </c>
      <c r="F38" s="918"/>
      <c r="G38" s="64">
        <f>SUM(G30:G37)</f>
        <v>0</v>
      </c>
      <c r="H38" s="29"/>
    </row>
    <row r="39" spans="1:8" ht="15.95" customHeight="1" thickBot="1" x14ac:dyDescent="0.4">
      <c r="A39" s="28"/>
      <c r="B39" s="60"/>
      <c r="C39" s="60"/>
      <c r="D39" s="60"/>
      <c r="E39" s="60"/>
      <c r="F39" s="60"/>
      <c r="G39" s="33"/>
      <c r="H39" s="29"/>
    </row>
    <row r="40" spans="1:8" ht="15.95" customHeight="1" thickTop="1" x14ac:dyDescent="0.35">
      <c r="A40" s="35"/>
      <c r="B40" s="919" t="s">
        <v>266</v>
      </c>
      <c r="C40" s="920"/>
      <c r="D40" s="920"/>
      <c r="E40" s="920"/>
      <c r="F40" s="921"/>
      <c r="G40" s="36" t="s">
        <v>267</v>
      </c>
      <c r="H40" s="36"/>
    </row>
    <row r="41" spans="1:8" ht="15.95" customHeight="1" x14ac:dyDescent="0.35">
      <c r="A41" s="37"/>
      <c r="B41" s="906" t="s">
        <v>268</v>
      </c>
      <c r="C41" s="907"/>
      <c r="D41" s="907"/>
      <c r="E41" s="907"/>
      <c r="F41" s="908"/>
      <c r="G41" s="31" t="s">
        <v>269</v>
      </c>
      <c r="H41" s="29"/>
    </row>
    <row r="42" spans="1:8" ht="15.95" customHeight="1" x14ac:dyDescent="0.35">
      <c r="A42" s="37"/>
      <c r="B42" s="906" t="s">
        <v>270</v>
      </c>
      <c r="C42" s="907"/>
      <c r="D42" s="907"/>
      <c r="E42" s="907"/>
      <c r="F42" s="908"/>
      <c r="G42" s="31" t="s">
        <v>267</v>
      </c>
      <c r="H42" s="32"/>
    </row>
    <row r="44" spans="1:8" x14ac:dyDescent="0.35">
      <c r="A44" s="8" t="s">
        <v>271</v>
      </c>
    </row>
    <row r="45" spans="1:8" x14ac:dyDescent="0.35">
      <c r="A45" s="8" t="s">
        <v>236</v>
      </c>
    </row>
    <row r="46" spans="1:8" x14ac:dyDescent="0.35">
      <c r="A46" s="8" t="s">
        <v>272</v>
      </c>
    </row>
    <row r="48" spans="1:8" x14ac:dyDescent="0.35">
      <c r="A48" s="8" t="s">
        <v>85</v>
      </c>
    </row>
    <row r="50" spans="6:6" ht="13.2" x14ac:dyDescent="0.4">
      <c r="F50" s="2"/>
    </row>
  </sheetData>
  <sheetProtection algorithmName="SHA-512" hashValue="OT9KqlrEI07Ll0/HOZl3IXkMeqBdbc3v2C4aOcL+oLooOQYArF1yLSAXCaTo1qbxVyjFC0E3HFRHSLoZtRoFCg==" saltValue="FV8ldhv/P13HnrESeiYKpg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113</v>
      </c>
    </row>
    <row r="3" spans="1:8" x14ac:dyDescent="0.35">
      <c r="A3" s="8" t="s">
        <v>274</v>
      </c>
      <c r="B3" s="39">
        <f ca="1">TODAY()</f>
        <v>42739</v>
      </c>
      <c r="F3" s="47">
        <f>__0_PatNum</f>
        <v>0</v>
      </c>
      <c r="G3" s="48"/>
      <c r="H3" s="49"/>
    </row>
    <row r="4" spans="1:8" x14ac:dyDescent="0.35">
      <c r="A4" s="197" t="s">
        <v>548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52"/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9" spans="1:8" ht="13.2" thickBot="1" x14ac:dyDescent="0.4">
      <c r="A9" s="8" t="s">
        <v>383</v>
      </c>
      <c r="C9" s="8">
        <f>PedBerTPN!F24</f>
        <v>0</v>
      </c>
      <c r="D9" s="8" t="s">
        <v>344</v>
      </c>
    </row>
    <row r="10" spans="1:8" ht="13.2" thickTop="1" x14ac:dyDescent="0.35">
      <c r="A10" s="922" t="s">
        <v>16</v>
      </c>
      <c r="B10" s="923"/>
      <c r="C10" s="923"/>
      <c r="D10" s="923"/>
      <c r="E10" s="923"/>
      <c r="F10" s="923"/>
      <c r="G10" s="923"/>
      <c r="H10" s="924"/>
    </row>
    <row r="11" spans="1:8" ht="25.65" x14ac:dyDescent="0.35">
      <c r="A11" s="28" t="s">
        <v>330</v>
      </c>
      <c r="B11" s="925" t="s">
        <v>186</v>
      </c>
      <c r="C11" s="927"/>
      <c r="D11" s="929" t="s">
        <v>187</v>
      </c>
      <c r="E11" s="929" t="s">
        <v>188</v>
      </c>
      <c r="F11" s="929" t="s">
        <v>189</v>
      </c>
      <c r="G11" s="29"/>
      <c r="H11" s="29" t="s">
        <v>190</v>
      </c>
    </row>
    <row r="12" spans="1:8" x14ac:dyDescent="0.35">
      <c r="A12" s="30" t="s">
        <v>191</v>
      </c>
      <c r="B12" s="926"/>
      <c r="C12" s="928"/>
      <c r="D12" s="930"/>
      <c r="E12" s="930"/>
      <c r="F12" s="930"/>
      <c r="G12" s="29" t="s">
        <v>192</v>
      </c>
      <c r="H12" s="31" t="s">
        <v>193</v>
      </c>
    </row>
    <row r="13" spans="1:8" ht="20.100000000000001" customHeight="1" x14ac:dyDescent="0.35">
      <c r="A13" s="911" t="str">
        <f>IF(G22&lt;&gt;0,ROUND(G22/24,1)&amp;" ml/u","")</f>
        <v/>
      </c>
      <c r="B13" s="68" t="s">
        <v>34</v>
      </c>
      <c r="C13" s="69"/>
      <c r="D13" s="69" t="s">
        <v>194</v>
      </c>
      <c r="E13" s="69" t="s">
        <v>194</v>
      </c>
      <c r="F13" s="70" t="s">
        <v>194</v>
      </c>
      <c r="G13" s="71" t="str">
        <f>IF(AND(_Ped_TPN_Keuze&lt;&gt;1,G15&lt;&gt;0),ROUND(PedBerTPN!F7,0),"")</f>
        <v/>
      </c>
      <c r="H13" s="29"/>
    </row>
    <row r="14" spans="1:8" ht="20.100000000000001" customHeight="1" x14ac:dyDescent="0.35">
      <c r="A14" s="912"/>
      <c r="B14" s="72" t="s">
        <v>428</v>
      </c>
      <c r="C14" s="73"/>
      <c r="D14" s="73" t="s">
        <v>433</v>
      </c>
      <c r="E14" s="73" t="s">
        <v>44</v>
      </c>
      <c r="F14" s="74" t="s">
        <v>44</v>
      </c>
      <c r="G14" s="71" t="str">
        <f>IF(AND(_Ped_TPN_Keuze&lt;&gt;1,G15&lt;&gt;0),ROUND(PedBerTPN!F8,0),"")</f>
        <v/>
      </c>
      <c r="H14" s="29"/>
    </row>
    <row r="15" spans="1:8" ht="20.100000000000001" customHeight="1" x14ac:dyDescent="0.35">
      <c r="A15" s="28"/>
      <c r="B15" s="72" t="s">
        <v>148</v>
      </c>
      <c r="C15" s="73"/>
      <c r="D15" s="73" t="s">
        <v>410</v>
      </c>
      <c r="E15" s="73" t="s">
        <v>149</v>
      </c>
      <c r="F15" s="74" t="s">
        <v>154</v>
      </c>
      <c r="G15" s="75" t="str">
        <f>IF(_Ped_TPN_Keuze&lt;&gt;1,PedBerTPN!F4,"")</f>
        <v/>
      </c>
      <c r="H15" s="29"/>
    </row>
    <row r="16" spans="1:8" ht="20.100000000000001" customHeight="1" x14ac:dyDescent="0.35">
      <c r="A16" s="28"/>
      <c r="B16" s="72" t="s">
        <v>332</v>
      </c>
      <c r="C16" s="73"/>
      <c r="D16" s="73"/>
      <c r="E16" s="933" t="s">
        <v>144</v>
      </c>
      <c r="F16" s="934"/>
      <c r="G16" s="75" t="str">
        <f>IF(AND(_Ped_TPN_SST1Keuze&lt;11,_Ped_TPN_Keuze&lt;&gt;1),ROUND(PedBerTPN!F5,0),"")</f>
        <v/>
      </c>
      <c r="H16" s="29"/>
    </row>
    <row r="17" spans="1:8" ht="20.100000000000001" customHeight="1" x14ac:dyDescent="0.35">
      <c r="A17" s="28"/>
      <c r="B17" s="72" t="s">
        <v>325</v>
      </c>
      <c r="C17" s="73"/>
      <c r="D17" s="73" t="s">
        <v>150</v>
      </c>
      <c r="E17" s="73"/>
      <c r="F17" s="74"/>
      <c r="G17" s="75" t="str">
        <f>IF(AND(_Ped_TPN_SST1Keuze=2,_Ped_TPN_Keuze&lt;&gt;1),ROUND(PedBerTPN!F6,0),"")</f>
        <v/>
      </c>
      <c r="H17" s="29"/>
    </row>
    <row r="18" spans="1:8" ht="20.100000000000001" customHeight="1" x14ac:dyDescent="0.35">
      <c r="A18" s="28"/>
      <c r="B18" s="72" t="s">
        <v>100</v>
      </c>
      <c r="C18" s="73"/>
      <c r="D18" s="73"/>
      <c r="E18" s="73" t="s">
        <v>151</v>
      </c>
      <c r="F18" s="74"/>
      <c r="G18" s="75" t="str">
        <f>IF(AND(_Ped_TPN_SST1Keuze=6,_Ped_TPN_Keuze&lt;&gt;1),ROUND(PedBerTPN!F6,0),"")</f>
        <v/>
      </c>
      <c r="H18" s="29"/>
    </row>
    <row r="19" spans="1:8" ht="20.100000000000001" customHeight="1" x14ac:dyDescent="0.35">
      <c r="A19" s="28"/>
      <c r="B19" s="72" t="s">
        <v>152</v>
      </c>
      <c r="C19" s="73" t="s">
        <v>256</v>
      </c>
      <c r="D19" s="73"/>
      <c r="E19" s="73"/>
      <c r="F19" s="74" t="s">
        <v>441</v>
      </c>
      <c r="G19" s="75" t="str">
        <f>IF(AND(_Ped_TPN_SST1Keuze=7,_Ped_TPN_Keuze&lt;&gt;1),ROUND(PedBerTPN!F6,0),"")</f>
        <v/>
      </c>
      <c r="H19" s="29"/>
    </row>
    <row r="20" spans="1:8" ht="20.100000000000001" customHeight="1" x14ac:dyDescent="0.35">
      <c r="A20" s="28"/>
      <c r="B20" s="72" t="s">
        <v>153</v>
      </c>
      <c r="C20" s="73"/>
      <c r="D20" s="73"/>
      <c r="E20" s="73"/>
      <c r="F20" s="74" t="s">
        <v>435</v>
      </c>
      <c r="G20" s="75" t="str">
        <f>IF(AND(_Ped_TPN_SST1Keuze=9,_Ped_TPN_Keuze&lt;&gt;1),ROUND(PedBerTPN!F6,0),"")</f>
        <v/>
      </c>
      <c r="H20" s="29"/>
    </row>
    <row r="21" spans="1:8" ht="20.100000000000001" customHeight="1" x14ac:dyDescent="0.35">
      <c r="A21" s="28"/>
      <c r="B21" s="76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7"/>
      <c r="D21" s="77"/>
      <c r="E21" s="77"/>
      <c r="F21" s="78"/>
      <c r="G21" s="75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9"/>
    </row>
    <row r="22" spans="1:8" ht="15.95" customHeight="1" x14ac:dyDescent="0.35">
      <c r="A22" s="28"/>
      <c r="B22" s="66"/>
      <c r="C22" s="66"/>
      <c r="D22" s="66"/>
      <c r="E22" s="918" t="s">
        <v>235</v>
      </c>
      <c r="F22" s="918"/>
      <c r="G22" s="63">
        <f>SUM(G13:G21)</f>
        <v>0</v>
      </c>
      <c r="H22" s="61"/>
    </row>
    <row r="23" spans="1:8" ht="10.5" customHeight="1" x14ac:dyDescent="0.35">
      <c r="A23" s="28"/>
      <c r="B23" s="60"/>
      <c r="C23" s="60"/>
      <c r="D23" s="60"/>
      <c r="E23" s="60"/>
      <c r="F23" s="60"/>
      <c r="G23" s="33"/>
      <c r="H23" s="29"/>
    </row>
    <row r="24" spans="1:8" ht="20.100000000000001" customHeight="1" x14ac:dyDescent="0.35">
      <c r="A24" s="911" t="str">
        <f>IF(G27&lt;&gt;0,ROUND(G27/24,1)&amp;" ml/u","")</f>
        <v/>
      </c>
      <c r="B24" s="68" t="s">
        <v>215</v>
      </c>
      <c r="C24" s="69"/>
      <c r="D24" s="69" t="s">
        <v>382</v>
      </c>
      <c r="E24" s="69" t="s">
        <v>194</v>
      </c>
      <c r="F24" s="70" t="s">
        <v>411</v>
      </c>
      <c r="G24" s="71">
        <f>ROUND(PedBerTPN!F13,0)</f>
        <v>0</v>
      </c>
      <c r="H24" s="34"/>
    </row>
    <row r="25" spans="1:8" ht="20.100000000000001" customHeight="1" x14ac:dyDescent="0.35">
      <c r="A25" s="912"/>
      <c r="B25" s="72" t="s">
        <v>216</v>
      </c>
      <c r="C25" s="73"/>
      <c r="D25" s="73"/>
      <c r="E25" s="933" t="s">
        <v>395</v>
      </c>
      <c r="F25" s="934"/>
      <c r="G25" s="75">
        <f>ROUND(PedBerTPN!F14,0)</f>
        <v>0</v>
      </c>
      <c r="H25" s="29"/>
    </row>
    <row r="26" spans="1:8" ht="20.100000000000001" customHeight="1" x14ac:dyDescent="0.35">
      <c r="A26" s="28"/>
      <c r="B26" s="72" t="s">
        <v>232</v>
      </c>
      <c r="C26" s="73"/>
      <c r="D26" s="73"/>
      <c r="E26" s="933" t="s">
        <v>395</v>
      </c>
      <c r="F26" s="934"/>
      <c r="G26" s="75">
        <f>ROUND(PedBerTPN!F15,0)</f>
        <v>0</v>
      </c>
      <c r="H26" s="29"/>
    </row>
    <row r="27" spans="1:8" ht="15.95" customHeight="1" x14ac:dyDescent="0.35">
      <c r="A27" s="28"/>
      <c r="B27" s="60"/>
      <c r="C27" s="60"/>
      <c r="D27" s="60"/>
      <c r="E27" s="918" t="s">
        <v>235</v>
      </c>
      <c r="F27" s="918"/>
      <c r="G27" s="65">
        <f>SUM(G24:G26)</f>
        <v>0</v>
      </c>
      <c r="H27" s="61"/>
    </row>
    <row r="28" spans="1:8" ht="10.5" customHeight="1" thickBot="1" x14ac:dyDescent="0.4">
      <c r="A28" s="28"/>
      <c r="B28" s="60"/>
      <c r="C28" s="60"/>
      <c r="D28" s="60"/>
      <c r="E28" s="60"/>
      <c r="F28" s="60"/>
      <c r="G28" s="33"/>
      <c r="H28" s="29"/>
    </row>
    <row r="29" spans="1:8" ht="15.95" customHeight="1" thickTop="1" x14ac:dyDescent="0.35">
      <c r="A29" s="35"/>
      <c r="B29" s="931" t="s">
        <v>127</v>
      </c>
      <c r="C29" s="932"/>
      <c r="D29" s="932"/>
      <c r="E29" s="932"/>
      <c r="F29" s="932"/>
      <c r="G29" s="56"/>
      <c r="H29" s="36"/>
    </row>
    <row r="30" spans="1:8" ht="20.100000000000001" customHeight="1" x14ac:dyDescent="0.35">
      <c r="A30" s="911" t="str">
        <f>IF(G38&lt;&gt;0,ROUND(G38/24,1)&amp;" ml/u","")</f>
        <v/>
      </c>
      <c r="B30" s="79" t="s">
        <v>34</v>
      </c>
      <c r="C30" s="81"/>
      <c r="D30" s="81"/>
      <c r="E30" s="81"/>
      <c r="F30" s="85"/>
      <c r="G30" s="86">
        <f>IF(AND(OR(_Ped_TPN_Keuze=1,AND(_Ped_TPN_Keuze=2,_Ped_TPN_SST1Keuze&gt;10))),ROUND(PedBerTPN!F7,0),"")</f>
        <v>0</v>
      </c>
      <c r="H30" s="29"/>
    </row>
    <row r="31" spans="1:8" ht="20.100000000000001" customHeight="1" x14ac:dyDescent="0.35">
      <c r="A31" s="912"/>
      <c r="B31" s="80" t="s">
        <v>431</v>
      </c>
      <c r="C31" s="83"/>
      <c r="D31" s="83"/>
      <c r="E31" s="83"/>
      <c r="F31" s="87"/>
      <c r="G31" s="88">
        <f>IF(AND(OR(_Ped_TPN_Keuze=1,AND(_Ped_TPN_Keuze=2,_Ped_TPN_SST1Keuze&gt;10))),ROUND(PedBerTPN!F8,0),"")</f>
        <v>0</v>
      </c>
      <c r="H31" s="29"/>
    </row>
    <row r="32" spans="1:8" ht="20.100000000000001" customHeight="1" x14ac:dyDescent="0.35">
      <c r="A32" s="58"/>
      <c r="B32" s="80" t="s">
        <v>451</v>
      </c>
      <c r="C32" s="83"/>
      <c r="D32" s="83"/>
      <c r="E32" s="83"/>
      <c r="F32" s="87"/>
      <c r="G32" s="88">
        <f>PedBerTPN!F9</f>
        <v>0</v>
      </c>
      <c r="H32" s="29"/>
    </row>
    <row r="33" spans="1:8" ht="20.100000000000001" customHeight="1" x14ac:dyDescent="0.35">
      <c r="A33" s="58"/>
      <c r="B33" s="80" t="s">
        <v>452</v>
      </c>
      <c r="C33" s="83"/>
      <c r="D33" s="83"/>
      <c r="E33" s="83"/>
      <c r="F33" s="87"/>
      <c r="G33" s="88">
        <f>PedBerTPN!F10</f>
        <v>0</v>
      </c>
      <c r="H33" s="29"/>
    </row>
    <row r="34" spans="1:8" ht="20.100000000000001" customHeight="1" x14ac:dyDescent="0.35">
      <c r="A34" s="58"/>
      <c r="B34" s="80" t="s">
        <v>325</v>
      </c>
      <c r="C34" s="83"/>
      <c r="D34" s="83"/>
      <c r="E34" s="83"/>
      <c r="F34" s="87"/>
      <c r="G34" s="88">
        <f>PedBerTPN!F17+IF(AND(_Ped_TPN_SST1Keuze=2,_Ped_TPN_Keuze=1),ROUND(PedBerTPN!F6,0),0)</f>
        <v>0</v>
      </c>
      <c r="H34" s="29"/>
    </row>
    <row r="35" spans="1:8" ht="20.100000000000001" customHeight="1" x14ac:dyDescent="0.35">
      <c r="A35" s="58"/>
      <c r="B35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3"/>
      <c r="D35" s="83"/>
      <c r="E35" s="83"/>
      <c r="F35" s="87"/>
      <c r="G35" s="88">
        <f>IF(AND(OR(_Ped_TPN_Keuze=1,AND(_Ped_TPN_Keuze=2,_Ped_TPN_SST1Keuze&gt;10)),_Ped_TPN_SST1Keuze&lt;&gt;2,_Ped_TPN_SST1Keuze&lt;&gt;12,_Ped_TPN_SST1Keuze&lt;&gt;13),PedBerTPN!F6,"")</f>
        <v>0</v>
      </c>
      <c r="H35" s="29"/>
    </row>
    <row r="36" spans="1:8" ht="20.100000000000001" customHeight="1" x14ac:dyDescent="0.35">
      <c r="A36" s="58"/>
      <c r="B36" s="941" t="s">
        <v>35</v>
      </c>
      <c r="C36" s="942"/>
      <c r="D36" s="942"/>
      <c r="E36" s="942"/>
      <c r="F36" s="87"/>
      <c r="G36" s="88" t="str">
        <f>IF(AND(_Ped_TPN_SST1Keuze=12),ROUND(PedBerTPN!F6,0),"")</f>
        <v/>
      </c>
      <c r="H36" s="29"/>
    </row>
    <row r="37" spans="1:8" ht="20.100000000000001" customHeight="1" x14ac:dyDescent="0.35">
      <c r="A37" s="28"/>
      <c r="B37" s="941" t="s">
        <v>36</v>
      </c>
      <c r="C37" s="942"/>
      <c r="D37" s="942"/>
      <c r="E37" s="942"/>
      <c r="F37" s="87"/>
      <c r="G37" s="88" t="str">
        <f>IF(AND(_Ped_TPN_SST1Keuze=13),ROUND(PedBerTPN!F6,0),"")</f>
        <v/>
      </c>
      <c r="H37" s="29"/>
    </row>
    <row r="38" spans="1:8" ht="15.95" customHeight="1" x14ac:dyDescent="0.35">
      <c r="A38" s="28"/>
      <c r="B38" s="33"/>
      <c r="C38" s="33"/>
      <c r="D38" s="33"/>
      <c r="E38" s="915" t="s">
        <v>237</v>
      </c>
      <c r="F38" s="915"/>
      <c r="G38" s="64">
        <f>SUM(G30:G37)</f>
        <v>0</v>
      </c>
      <c r="H38" s="29"/>
    </row>
    <row r="39" spans="1:8" ht="10.5" customHeight="1" thickBot="1" x14ac:dyDescent="0.4">
      <c r="A39" s="28"/>
      <c r="B39" s="33"/>
      <c r="C39" s="33"/>
      <c r="D39" s="33"/>
      <c r="E39" s="33"/>
      <c r="F39" s="33"/>
      <c r="G39" s="33"/>
      <c r="H39" s="29"/>
    </row>
    <row r="40" spans="1:8" ht="15.95" customHeight="1" thickTop="1" x14ac:dyDescent="0.35">
      <c r="A40" s="35"/>
      <c r="B40" s="919" t="s">
        <v>266</v>
      </c>
      <c r="C40" s="920"/>
      <c r="D40" s="920"/>
      <c r="E40" s="920"/>
      <c r="F40" s="921"/>
      <c r="G40" s="36" t="s">
        <v>267</v>
      </c>
      <c r="H40" s="36"/>
    </row>
    <row r="41" spans="1:8" ht="15.95" customHeight="1" x14ac:dyDescent="0.35">
      <c r="A41" s="37"/>
      <c r="B41" s="906" t="s">
        <v>268</v>
      </c>
      <c r="C41" s="907"/>
      <c r="D41" s="907"/>
      <c r="E41" s="907"/>
      <c r="F41" s="908"/>
      <c r="G41" s="31" t="s">
        <v>269</v>
      </c>
      <c r="H41" s="29"/>
    </row>
    <row r="42" spans="1:8" ht="15.95" customHeight="1" x14ac:dyDescent="0.35">
      <c r="A42" s="37"/>
      <c r="B42" s="906" t="s">
        <v>270</v>
      </c>
      <c r="C42" s="907"/>
      <c r="D42" s="907"/>
      <c r="E42" s="907"/>
      <c r="F42" s="908"/>
      <c r="G42" s="31" t="s">
        <v>267</v>
      </c>
      <c r="H42" s="32"/>
    </row>
    <row r="44" spans="1:8" x14ac:dyDescent="0.35">
      <c r="A44" s="8" t="s">
        <v>271</v>
      </c>
    </row>
    <row r="45" spans="1:8" x14ac:dyDescent="0.35">
      <c r="A45" s="8" t="s">
        <v>236</v>
      </c>
    </row>
    <row r="47" spans="1:8" x14ac:dyDescent="0.35">
      <c r="A47" s="8" t="s">
        <v>272</v>
      </c>
    </row>
    <row r="49" spans="1:6" x14ac:dyDescent="0.35">
      <c r="A49" s="8" t="s">
        <v>85</v>
      </c>
    </row>
    <row r="51" spans="1:6" ht="13.2" x14ac:dyDescent="0.4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8" customWidth="1"/>
    <col min="2" max="2" width="23.86328125" style="8" customWidth="1"/>
    <col min="3" max="3" width="9.265625" style="8" bestFit="1" customWidth="1"/>
    <col min="4" max="6" width="10.73046875" style="8" customWidth="1"/>
    <col min="7" max="7" width="9.1328125" style="8"/>
    <col min="8" max="8" width="14.73046875" style="8" customWidth="1"/>
    <col min="9" max="16384" width="9.1328125" style="8"/>
  </cols>
  <sheetData>
    <row r="1" spans="1:8" ht="13.2" x14ac:dyDescent="0.4">
      <c r="A1" s="452" t="s">
        <v>273</v>
      </c>
      <c r="F1" s="2" t="s">
        <v>409</v>
      </c>
    </row>
    <row r="3" spans="1:8" x14ac:dyDescent="0.35">
      <c r="A3" s="8" t="s">
        <v>274</v>
      </c>
      <c r="B3" s="39">
        <f ca="1">TODAY()</f>
        <v>42739</v>
      </c>
      <c r="F3" s="47">
        <f>__0_PatNum</f>
        <v>0</v>
      </c>
      <c r="G3" s="48"/>
      <c r="H3" s="49"/>
    </row>
    <row r="4" spans="1:8" x14ac:dyDescent="0.35">
      <c r="A4" s="197" t="s">
        <v>548</v>
      </c>
      <c r="B4" s="8">
        <f>__1_Bed</f>
        <v>0</v>
      </c>
      <c r="F4" s="50" t="str">
        <f>__2_AchterNaam&amp;",  "&amp;__3_VoorNaam</f>
        <v xml:space="preserve">,  </v>
      </c>
      <c r="G4" s="51"/>
      <c r="H4" s="52"/>
    </row>
    <row r="5" spans="1:8" x14ac:dyDescent="0.35">
      <c r="A5" s="8" t="s">
        <v>275</v>
      </c>
      <c r="B5" s="8" t="s">
        <v>403</v>
      </c>
      <c r="F5" s="53">
        <f>__4_GebDatum</f>
        <v>0</v>
      </c>
      <c r="G5" s="51"/>
      <c r="H5" s="52"/>
    </row>
    <row r="6" spans="1:8" x14ac:dyDescent="0.35">
      <c r="A6" s="452"/>
      <c r="F6" s="50" t="s">
        <v>295</v>
      </c>
      <c r="G6" s="51" t="str">
        <f>_Pat_Gewicht/10&amp;" kg"</f>
        <v>10 kg</v>
      </c>
      <c r="H6" s="52"/>
    </row>
    <row r="7" spans="1:8" x14ac:dyDescent="0.35">
      <c r="A7" s="8" t="s">
        <v>343</v>
      </c>
      <c r="B7" s="8" t="s">
        <v>276</v>
      </c>
      <c r="F7" s="54"/>
      <c r="G7" s="46"/>
      <c r="H7" s="55"/>
    </row>
    <row r="8" spans="1:8" x14ac:dyDescent="0.35">
      <c r="A8" s="8" t="s">
        <v>311</v>
      </c>
      <c r="B8" s="8" t="s">
        <v>276</v>
      </c>
    </row>
    <row r="9" spans="1:8" ht="13.2" thickBot="1" x14ac:dyDescent="0.4">
      <c r="A9" s="8" t="str">
        <f>IF(_Pat_Gewicht/10&lt;7,"Tot. hoev. vocht* (150 ml/kg/24 uur):","Tot. hoev. vocht* (110-90 ml/kg/24 uur):")</f>
        <v>Tot. hoev. vocht* (110-90 ml/kg/24 uur):</v>
      </c>
      <c r="C9" s="8">
        <f>PedBerTPN!F24</f>
        <v>0</v>
      </c>
      <c r="D9" s="8" t="s">
        <v>344</v>
      </c>
    </row>
    <row r="10" spans="1:8" ht="13.2" thickTop="1" x14ac:dyDescent="0.35">
      <c r="A10" s="922" t="s">
        <v>16</v>
      </c>
      <c r="B10" s="923"/>
      <c r="C10" s="923"/>
      <c r="D10" s="923"/>
      <c r="E10" s="923"/>
      <c r="F10" s="923"/>
      <c r="G10" s="923"/>
      <c r="H10" s="924"/>
    </row>
    <row r="11" spans="1:8" ht="25.65" x14ac:dyDescent="0.35">
      <c r="A11" s="28" t="s">
        <v>330</v>
      </c>
      <c r="B11" s="925" t="s">
        <v>186</v>
      </c>
      <c r="C11" s="927"/>
      <c r="D11" s="929" t="s">
        <v>187</v>
      </c>
      <c r="E11" s="929" t="s">
        <v>188</v>
      </c>
      <c r="F11" s="929" t="s">
        <v>189</v>
      </c>
      <c r="G11" s="29"/>
      <c r="H11" s="29" t="s">
        <v>190</v>
      </c>
    </row>
    <row r="12" spans="1:8" x14ac:dyDescent="0.35">
      <c r="A12" s="30" t="s">
        <v>191</v>
      </c>
      <c r="B12" s="926"/>
      <c r="C12" s="928"/>
      <c r="D12" s="930"/>
      <c r="E12" s="930"/>
      <c r="F12" s="930"/>
      <c r="G12" s="29" t="s">
        <v>192</v>
      </c>
      <c r="H12" s="31" t="s">
        <v>193</v>
      </c>
    </row>
    <row r="13" spans="1:8" ht="20.100000000000001" customHeight="1" x14ac:dyDescent="0.35">
      <c r="A13" s="89" t="str">
        <f>IF(G15&lt;&gt;0,ROUND(G15/24,1)&amp;" ml/u","")</f>
        <v/>
      </c>
      <c r="B13" s="72" t="s">
        <v>76</v>
      </c>
      <c r="C13" s="73"/>
      <c r="D13" s="73" t="s">
        <v>77</v>
      </c>
      <c r="E13" s="73" t="s">
        <v>78</v>
      </c>
      <c r="F13" s="74" t="s">
        <v>79</v>
      </c>
      <c r="G13" s="94" t="str">
        <f>IF(_Ped_TPN_Keuze&lt;&gt;1,PedBerTPN!F4,"")</f>
        <v/>
      </c>
      <c r="H13" s="29"/>
    </row>
    <row r="14" spans="1:8" ht="20.100000000000001" customHeight="1" x14ac:dyDescent="0.35">
      <c r="A14" s="90"/>
      <c r="B14" s="72"/>
      <c r="C14" s="73"/>
      <c r="D14" s="73"/>
      <c r="E14" s="73"/>
      <c r="F14" s="74"/>
      <c r="G14" s="75"/>
      <c r="H14" s="29"/>
    </row>
    <row r="15" spans="1:8" ht="20.100000000000001" customHeight="1" x14ac:dyDescent="0.35">
      <c r="A15" s="28"/>
      <c r="B15" s="92"/>
      <c r="C15" s="92"/>
      <c r="D15" s="92"/>
      <c r="E15" s="92"/>
      <c r="F15" s="92" t="s">
        <v>237</v>
      </c>
      <c r="G15" s="93">
        <f>SUM(G13:G14)</f>
        <v>0</v>
      </c>
      <c r="H15" s="29"/>
    </row>
    <row r="16" spans="1:8" ht="20.100000000000001" customHeight="1" x14ac:dyDescent="0.35">
      <c r="A16" s="28"/>
      <c r="B16" s="73"/>
      <c r="C16" s="73"/>
      <c r="D16" s="73"/>
      <c r="E16" s="73"/>
      <c r="F16" s="73"/>
      <c r="G16" s="91"/>
      <c r="H16" s="29"/>
    </row>
    <row r="17" spans="1:8" ht="20.100000000000001" customHeight="1" x14ac:dyDescent="0.35">
      <c r="A17" s="90" t="str">
        <f>IF(G19&lt;&gt;0,ROUND(G19/24,1)&amp;" ml/u","")</f>
        <v/>
      </c>
      <c r="B17" s="72" t="s">
        <v>332</v>
      </c>
      <c r="C17" s="73"/>
      <c r="D17" s="73"/>
      <c r="E17" s="69"/>
      <c r="F17" s="70" t="s">
        <v>195</v>
      </c>
      <c r="G17" s="75">
        <f>IF(AND(OR(_Ped_TPN_SST1Keuze&lt;11,_Pat_Gewicht/10&gt;50),_Ped_TPN_Keuze&lt;&gt;1),ROUND(PedBerTPN!F5,0),0)</f>
        <v>0</v>
      </c>
      <c r="H17" s="29"/>
    </row>
    <row r="18" spans="1:8" ht="20.100000000000001" customHeight="1" x14ac:dyDescent="0.35">
      <c r="A18" s="28"/>
      <c r="B18" s="72" t="s">
        <v>325</v>
      </c>
      <c r="C18" s="73"/>
      <c r="D18" s="73"/>
      <c r="E18" s="73"/>
      <c r="F18" s="74" t="s">
        <v>75</v>
      </c>
      <c r="G18" s="75">
        <f>IF(G17&gt;0,100,0)</f>
        <v>0</v>
      </c>
      <c r="H18" s="29"/>
    </row>
    <row r="19" spans="1:8" ht="20.100000000000001" customHeight="1" x14ac:dyDescent="0.35">
      <c r="A19" s="28"/>
      <c r="B19" s="66"/>
      <c r="C19" s="66"/>
      <c r="D19" s="66"/>
      <c r="E19" s="918" t="s">
        <v>235</v>
      </c>
      <c r="F19" s="918"/>
      <c r="G19" s="63">
        <f>SUM(G17:G18)</f>
        <v>0</v>
      </c>
      <c r="H19" s="29"/>
    </row>
    <row r="20" spans="1:8" ht="20.100000000000001" customHeight="1" x14ac:dyDescent="0.35">
      <c r="A20" s="28"/>
      <c r="B20" s="60"/>
      <c r="C20" s="60"/>
      <c r="D20" s="60"/>
      <c r="E20" s="60"/>
      <c r="F20" s="60"/>
      <c r="G20" s="33"/>
      <c r="H20" s="29"/>
    </row>
    <row r="21" spans="1:8" ht="20.100000000000001" customHeight="1" x14ac:dyDescent="0.35">
      <c r="A21" s="28" t="str">
        <f>IF(G24&lt;&gt;0,ROUND(G24/24,1)&amp;" ml/u","")</f>
        <v/>
      </c>
      <c r="B21" s="68" t="s">
        <v>215</v>
      </c>
      <c r="C21" s="69"/>
      <c r="D21" s="69" t="s">
        <v>80</v>
      </c>
      <c r="E21" s="69" t="s">
        <v>81</v>
      </c>
      <c r="F21" s="70" t="s">
        <v>82</v>
      </c>
      <c r="G21" s="71">
        <f>ROUND(PedBerTPN!F13,0)</f>
        <v>0</v>
      </c>
      <c r="H21" s="29"/>
    </row>
    <row r="22" spans="1:8" ht="20.100000000000001" customHeight="1" x14ac:dyDescent="0.35">
      <c r="A22" s="28"/>
      <c r="B22" s="72" t="s">
        <v>216</v>
      </c>
      <c r="C22" s="73"/>
      <c r="D22" s="73"/>
      <c r="E22" s="69"/>
      <c r="F22" s="70" t="s">
        <v>83</v>
      </c>
      <c r="G22" s="75">
        <f>ROUND(PedBerTPN!F14,0)</f>
        <v>0</v>
      </c>
      <c r="H22" s="29"/>
    </row>
    <row r="23" spans="1:8" ht="20.100000000000001" customHeight="1" x14ac:dyDescent="0.35">
      <c r="A23" s="28"/>
      <c r="B23" s="72" t="s">
        <v>232</v>
      </c>
      <c r="C23" s="73"/>
      <c r="D23" s="73"/>
      <c r="E23" s="69"/>
      <c r="F23" s="70" t="s">
        <v>83</v>
      </c>
      <c r="G23" s="75">
        <f>ROUND(PedBerTPN!F15,0)</f>
        <v>0</v>
      </c>
      <c r="H23" s="29"/>
    </row>
    <row r="24" spans="1:8" ht="20.100000000000001" customHeight="1" x14ac:dyDescent="0.35">
      <c r="A24" s="28"/>
      <c r="B24" s="60"/>
      <c r="C24" s="60"/>
      <c r="D24" s="60"/>
      <c r="E24" s="918" t="s">
        <v>235</v>
      </c>
      <c r="F24" s="918"/>
      <c r="G24" s="65">
        <f>SUM(G21:G23)</f>
        <v>0</v>
      </c>
      <c r="H24" s="61"/>
    </row>
    <row r="25" spans="1:8" ht="15.95" customHeight="1" thickBot="1" x14ac:dyDescent="0.4">
      <c r="A25" s="28"/>
      <c r="B25" s="60"/>
      <c r="C25" s="60"/>
      <c r="D25" s="60"/>
      <c r="E25" s="60"/>
      <c r="F25" s="60"/>
      <c r="G25" s="33"/>
      <c r="H25" s="29"/>
    </row>
    <row r="26" spans="1:8" ht="15.95" customHeight="1" thickTop="1" x14ac:dyDescent="0.35">
      <c r="A26" s="35"/>
      <c r="B26" s="931" t="s">
        <v>127</v>
      </c>
      <c r="C26" s="932"/>
      <c r="D26" s="932"/>
      <c r="E26" s="932"/>
      <c r="F26" s="932"/>
      <c r="G26" s="56"/>
      <c r="H26" s="36"/>
    </row>
    <row r="27" spans="1:8" ht="20.100000000000001" customHeight="1" x14ac:dyDescent="0.35">
      <c r="A27" s="911" t="str">
        <f>IF(G35&lt;&gt;0,ROUND(G35/24,1)&amp;" ml/u","")</f>
        <v/>
      </c>
      <c r="B27" s="79" t="s">
        <v>34</v>
      </c>
      <c r="C27" s="81"/>
      <c r="D27" s="81"/>
      <c r="E27" s="81"/>
      <c r="F27" s="85"/>
      <c r="G27" s="86">
        <f>IF(AND(OR(_Ped_TPN_Keuze=1,_Pat_Gewicht/10&gt;50,AND(_Ped_TPN_Keuze=2,_Ped_TPN_SST1Keuze&gt;10))),ROUND(PedBerTPN!F7,0),"")</f>
        <v>0</v>
      </c>
      <c r="H27" s="29"/>
    </row>
    <row r="28" spans="1:8" ht="20.100000000000001" customHeight="1" x14ac:dyDescent="0.35">
      <c r="A28" s="912"/>
      <c r="B28" s="80" t="s">
        <v>431</v>
      </c>
      <c r="C28" s="83"/>
      <c r="D28" s="83"/>
      <c r="E28" s="83"/>
      <c r="F28" s="87"/>
      <c r="G28" s="88">
        <f>IF(AND(OR(_Ped_TPN_Keuze=1,_Pat_Gewicht/10&gt;50,AND(_Ped_TPN_Keuze=2,_Ped_TPN_SST1Keuze&gt;10))),ROUND(PedBerTPN!F8,0),"")</f>
        <v>0</v>
      </c>
      <c r="H28" s="29"/>
    </row>
    <row r="29" spans="1:8" ht="15.95" customHeight="1" x14ac:dyDescent="0.35">
      <c r="A29" s="58"/>
      <c r="B29" s="80" t="s">
        <v>451</v>
      </c>
      <c r="C29" s="83"/>
      <c r="D29" s="83"/>
      <c r="E29" s="83"/>
      <c r="F29" s="87"/>
      <c r="G29" s="88">
        <f>PedBerTPN!F9</f>
        <v>0</v>
      </c>
      <c r="H29" s="29"/>
    </row>
    <row r="30" spans="1:8" ht="15.95" customHeight="1" x14ac:dyDescent="0.35">
      <c r="A30" s="58"/>
      <c r="B30" s="80" t="s">
        <v>452</v>
      </c>
      <c r="C30" s="83"/>
      <c r="D30" s="83"/>
      <c r="E30" s="83"/>
      <c r="F30" s="87"/>
      <c r="G30" s="88">
        <f>PedBerTPN!F10</f>
        <v>0</v>
      </c>
      <c r="H30" s="29"/>
    </row>
    <row r="31" spans="1:8" ht="15.95" customHeight="1" x14ac:dyDescent="0.35">
      <c r="A31" s="58"/>
      <c r="B31" s="80" t="s">
        <v>325</v>
      </c>
      <c r="C31" s="83"/>
      <c r="D31" s="83"/>
      <c r="E31" s="83"/>
      <c r="F31" s="87"/>
      <c r="G31" s="88">
        <f>IF(_Pat_Gewicht/10&lt;=50,PedBerTPN!F17,0)+IF(OR(AND(_Ped_TPN_SST1Keuze=2,_Ped_TPN_Keuze=1),AND(_Ped_TPN_SST1Keuze=2,_Pat_Gewicht/10&gt;50)),ROUND(PedBerTPN!F6,0),0)</f>
        <v>0</v>
      </c>
      <c r="H31" s="29"/>
    </row>
    <row r="32" spans="1:8" ht="15.95" customHeight="1" x14ac:dyDescent="0.35">
      <c r="A32" s="58"/>
      <c r="B32" s="80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3"/>
      <c r="D32" s="83"/>
      <c r="E32" s="83"/>
      <c r="F32" s="87"/>
      <c r="G32" s="88">
        <f>IF(AND(_Ped_TPN_SST1Keuze&lt;&gt;2,_Ped_TPN_SST1Keuze&lt;&gt;12,_Ped_TPN_SST1Keuze&lt;&gt;13),PedBerTPN!F6,"")</f>
        <v>0</v>
      </c>
      <c r="H32" s="29"/>
    </row>
    <row r="33" spans="1:8" ht="15.95" customHeight="1" x14ac:dyDescent="0.35">
      <c r="A33" s="58"/>
      <c r="B33" s="941" t="s">
        <v>35</v>
      </c>
      <c r="C33" s="942"/>
      <c r="D33" s="942"/>
      <c r="E33" s="942"/>
      <c r="F33" s="87"/>
      <c r="G33" s="88" t="str">
        <f>IF(AND(_Ped_TPN_SST1Keuze=12),ROUND(PedBerTPN!F6,0),"")</f>
        <v/>
      </c>
      <c r="H33" s="29"/>
    </row>
    <row r="34" spans="1:8" ht="20.100000000000001" customHeight="1" x14ac:dyDescent="0.35">
      <c r="A34" s="28"/>
      <c r="B34" s="941" t="s">
        <v>36</v>
      </c>
      <c r="C34" s="942"/>
      <c r="D34" s="942"/>
      <c r="E34" s="942"/>
      <c r="F34" s="87"/>
      <c r="G34" s="88" t="str">
        <f>IF(AND(_Ped_TPN_SST1Keuze=13),ROUND(PedBerTPN!F6,0),"")</f>
        <v/>
      </c>
      <c r="H34" s="29"/>
    </row>
    <row r="35" spans="1:8" ht="20.100000000000001" customHeight="1" x14ac:dyDescent="0.35">
      <c r="A35" s="28"/>
      <c r="B35" s="33"/>
      <c r="C35" s="33"/>
      <c r="D35" s="33"/>
      <c r="E35" s="915" t="s">
        <v>237</v>
      </c>
      <c r="F35" s="915"/>
      <c r="G35" s="64">
        <f>SUM(G27:G34)</f>
        <v>0</v>
      </c>
      <c r="H35" s="29"/>
    </row>
    <row r="36" spans="1:8" ht="20.100000000000001" customHeight="1" thickBot="1" x14ac:dyDescent="0.4">
      <c r="A36" s="28"/>
      <c r="B36" s="33"/>
      <c r="C36" s="33"/>
      <c r="D36" s="33"/>
      <c r="E36" s="33"/>
      <c r="F36" s="33"/>
      <c r="G36" s="33"/>
      <c r="H36" s="29"/>
    </row>
    <row r="37" spans="1:8" ht="20.100000000000001" customHeight="1" thickTop="1" x14ac:dyDescent="0.35">
      <c r="A37" s="35"/>
      <c r="B37" s="919" t="s">
        <v>266</v>
      </c>
      <c r="C37" s="920"/>
      <c r="D37" s="920"/>
      <c r="E37" s="920"/>
      <c r="F37" s="921"/>
      <c r="G37" s="36" t="s">
        <v>267</v>
      </c>
      <c r="H37" s="36"/>
    </row>
    <row r="38" spans="1:8" ht="20.100000000000001" customHeight="1" x14ac:dyDescent="0.35">
      <c r="A38" s="37"/>
      <c r="B38" s="906" t="s">
        <v>268</v>
      </c>
      <c r="C38" s="907"/>
      <c r="D38" s="907"/>
      <c r="E38" s="907"/>
      <c r="F38" s="908"/>
      <c r="G38" s="31" t="s">
        <v>269</v>
      </c>
      <c r="H38" s="29"/>
    </row>
    <row r="39" spans="1:8" ht="20.100000000000001" customHeight="1" x14ac:dyDescent="0.35">
      <c r="A39" s="37"/>
      <c r="B39" s="906" t="s">
        <v>270</v>
      </c>
      <c r="C39" s="907"/>
      <c r="D39" s="907"/>
      <c r="E39" s="907"/>
      <c r="F39" s="908"/>
      <c r="G39" s="31" t="s">
        <v>267</v>
      </c>
      <c r="H39" s="32"/>
    </row>
    <row r="40" spans="1:8" ht="20.100000000000001" customHeight="1" x14ac:dyDescent="0.35"/>
    <row r="41" spans="1:8" ht="15.95" customHeight="1" x14ac:dyDescent="0.35">
      <c r="A41" s="8" t="s">
        <v>271</v>
      </c>
    </row>
    <row r="42" spans="1:8" ht="10.5" customHeight="1" x14ac:dyDescent="0.35">
      <c r="A42" s="8" t="s">
        <v>236</v>
      </c>
    </row>
    <row r="43" spans="1:8" ht="15.95" customHeight="1" x14ac:dyDescent="0.35"/>
    <row r="44" spans="1:8" ht="15.95" customHeight="1" x14ac:dyDescent="0.35">
      <c r="A44" s="8" t="s">
        <v>272</v>
      </c>
    </row>
    <row r="45" spans="1:8" ht="15.95" customHeight="1" x14ac:dyDescent="0.35"/>
    <row r="46" spans="1:8" x14ac:dyDescent="0.35">
      <c r="A46" s="8" t="s">
        <v>85</v>
      </c>
    </row>
    <row r="48" spans="1:8" ht="13.2" x14ac:dyDescent="0.4">
      <c r="F48" s="2"/>
    </row>
  </sheetData>
  <sheetProtection algorithmName="SHA-512" hashValue="RENNLxtXtTg1PwAxZbDOE56NJMJ8nf2h3UC75Ag3i48Lv2B+GQBkT6yoo8B1+LGHlDpHSXiPDVaar1DxKP3o/g==" saltValue="cqrC/abbrWRiMeUxCIlJ6w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269" customWidth="1"/>
    <col min="2" max="5" width="12.3984375" style="269" customWidth="1"/>
    <col min="6" max="6" width="10.73046875" style="269" customWidth="1"/>
    <col min="7" max="11" width="12.3984375" style="269" customWidth="1"/>
    <col min="12" max="12" width="5.265625" style="269" customWidth="1"/>
    <col min="13" max="13" width="7.86328125" style="269" customWidth="1"/>
    <col min="14" max="14" width="17.1328125" style="269" customWidth="1"/>
    <col min="15" max="19" width="12.3984375" style="269" customWidth="1"/>
    <col min="20" max="16384" width="9.1328125" style="269"/>
  </cols>
  <sheetData>
    <row r="1" spans="1:15" ht="9.75" customHeight="1" x14ac:dyDescent="0.35">
      <c r="A1" s="453"/>
      <c r="B1" s="766" t="str">
        <f>IF(E60&lt;0,"Te weinig volume voor TPN!","")</f>
        <v/>
      </c>
    </row>
    <row r="2" spans="1:15" ht="15.95" customHeight="1" x14ac:dyDescent="0.35">
      <c r="B2" s="759" t="s">
        <v>379</v>
      </c>
      <c r="C2" s="759" t="s">
        <v>589</v>
      </c>
      <c r="D2" s="759" t="s">
        <v>590</v>
      </c>
      <c r="E2" s="759" t="s">
        <v>124</v>
      </c>
      <c r="F2" s="760"/>
      <c r="G2" s="759"/>
      <c r="H2" s="759" t="s">
        <v>589</v>
      </c>
      <c r="I2" s="759" t="s">
        <v>590</v>
      </c>
      <c r="J2" s="759" t="s">
        <v>124</v>
      </c>
    </row>
    <row r="3" spans="1:15" ht="15.95" customHeight="1" x14ac:dyDescent="0.4">
      <c r="B3" s="761" t="s">
        <v>333</v>
      </c>
      <c r="C3" s="762" t="str">
        <f ca="1">ROUND(NeoBerInfB!K50/(_Pat_Gewicht/10),0)&amp;" ml/kg"</f>
        <v>0 ml/kg</v>
      </c>
      <c r="D3" s="762" t="str">
        <f>ROUND(NeoBerInfB!K49/(_Pat_Gewicht/10),0)&amp;" ml/kg"</f>
        <v>0 ml/kg</v>
      </c>
      <c r="E3" s="762" t="str">
        <f ca="1">ROUND(NeoBerInfB!K47/(_Pat_Gewicht/10),0)&amp;" ml/kg  "&amp;"= "&amp;ROUND(NeoBerInfB!K47,0)&amp;" ml"</f>
        <v>0 ml/kg  = 0 ml</v>
      </c>
      <c r="F3" s="760"/>
      <c r="G3" s="761" t="s">
        <v>183</v>
      </c>
      <c r="H3" s="762" t="str">
        <f ca="1">ROUND(NeoBerInfB!L50/(_Pat_Gewicht/10),1)&amp;" mmol/kg"</f>
        <v>0 mmol/kg</v>
      </c>
      <c r="I3" s="762" t="str">
        <f>ROUND(NeoBerInfB!L49/(_Pat_Gewicht/10),1)&amp;" mmol/kg"</f>
        <v>0 mmol/kg</v>
      </c>
      <c r="J3" s="762" t="str">
        <f ca="1">ROUND(NeoBerInfB!L47/(_Pat_Gewicht/10),1)&amp;" mmol/kg"</f>
        <v>0 mmol/kg</v>
      </c>
      <c r="K3" s="943" t="s">
        <v>1166</v>
      </c>
      <c r="L3" s="943"/>
      <c r="M3" s="943"/>
      <c r="N3" s="943"/>
    </row>
    <row r="4" spans="1:15" ht="15.95" customHeight="1" x14ac:dyDescent="0.4">
      <c r="B4" s="761" t="s">
        <v>239</v>
      </c>
      <c r="C4" s="762" t="str">
        <f ca="1">ROUND(NeoBerInfB!Q50/(_Pat_Gewicht/10),1)&amp;" g/kg"</f>
        <v>0 g/kg</v>
      </c>
      <c r="D4" s="762" t="str">
        <f>ROUND(NeoBerInfB!Q49/(_Pat_Gewicht/10),1)&amp;" g/kg"</f>
        <v>0 g/kg</v>
      </c>
      <c r="E4" s="762" t="str">
        <f ca="1">ROUND(NeoBerInfB!Q47/(_Pat_Gewicht/10),1)&amp;" g/kg"</f>
        <v>0 g/kg</v>
      </c>
      <c r="F4" s="760"/>
      <c r="G4" s="761" t="s">
        <v>300</v>
      </c>
      <c r="H4" s="762" t="str">
        <f ca="1">ROUND(NeoBerInfB!M50/(_Pat_Gewicht/10),1)&amp;" mmol/kg"</f>
        <v>0 mmol/kg</v>
      </c>
      <c r="I4" s="762" t="str">
        <f>ROUND(NeoBerInfB!M49/(_Pat_Gewicht/10),1)&amp;" mmol/kg"</f>
        <v>0 mmol/kg</v>
      </c>
      <c r="J4" s="762" t="str">
        <f ca="1">ROUND(NeoBerInfB!M47/(_Pat_Gewicht/10),1)&amp;" mmol/kg"</f>
        <v>0 mmol/kg</v>
      </c>
      <c r="K4" s="943"/>
      <c r="L4" s="943"/>
      <c r="M4" s="943"/>
      <c r="N4" s="943"/>
    </row>
    <row r="5" spans="1:15" ht="15.95" customHeight="1" x14ac:dyDescent="0.4">
      <c r="B5" s="761" t="s">
        <v>240</v>
      </c>
      <c r="C5" s="762" t="str">
        <f ca="1">ROUND(NeoBerInfB!S50/(_Pat_Gewicht/10),1)&amp;" g/kg"</f>
        <v>0 g/kg</v>
      </c>
      <c r="D5" s="762" t="str">
        <f>ROUND(NeoBerInfB!S49/(_Pat_Gewicht/10),1)&amp;" g/kg"</f>
        <v>0 g/kg</v>
      </c>
      <c r="E5" s="762" t="str">
        <f ca="1">ROUND(NeoBerInfB!S47/(_Pat_Gewicht/10),1)&amp;" g/kg"</f>
        <v>0 g/kg</v>
      </c>
      <c r="F5" s="760"/>
      <c r="G5" s="761" t="s">
        <v>241</v>
      </c>
      <c r="H5" s="762" t="str">
        <f ca="1">ROUND(NeoBerInfB!N50/(_Pat_Gewicht/10),1)&amp;" mmol/kg"</f>
        <v>0 mmol/kg</v>
      </c>
      <c r="I5" s="762" t="str">
        <f>ROUND(NeoBerInfB!N49/(_Pat_Gewicht/10),1)&amp;" mmol/kg"</f>
        <v>0 mmol/kg</v>
      </c>
      <c r="J5" s="762" t="str">
        <f ca="1">ROUND(NeoBerInfB!N47/(_Pat_Gewicht/10),1)&amp;" mmol/kg"</f>
        <v>0 mmol/kg</v>
      </c>
      <c r="K5" s="943"/>
      <c r="L5" s="943"/>
      <c r="M5" s="943"/>
      <c r="N5" s="943"/>
    </row>
    <row r="6" spans="1:15" ht="15.95" customHeight="1" x14ac:dyDescent="0.4">
      <c r="A6" s="453"/>
      <c r="B6" s="761" t="s">
        <v>591</v>
      </c>
      <c r="C6" s="762" t="str">
        <f>ROUND(1000*NeoBerInfB!R50/(_Pat_Gewicht/10)/1440,1)&amp;" mg/kg/min"</f>
        <v>0 mg/kg/min</v>
      </c>
      <c r="D6" s="762" t="str">
        <f>ROUND(1000*NeoBerInfB!R49/(_Pat_Gewicht/10)/1440,1)&amp;" mg/kg/min"</f>
        <v>0 mg/kg/min</v>
      </c>
      <c r="E6" s="762" t="str">
        <f>ROUND(1000*NeoBerInfB!R47/(_Pat_Gewicht/10)/1440,1)&amp;" mg/kg/min"</f>
        <v>0 mg/kg/min</v>
      </c>
      <c r="F6" s="760"/>
      <c r="G6" s="761" t="s">
        <v>338</v>
      </c>
      <c r="H6" s="762" t="str">
        <f ca="1">ROUND(NeoBerInfB!O50/(_Pat_Gewicht/10),1)&amp;" mmol/kg"</f>
        <v>0 mmol/kg</v>
      </c>
      <c r="I6" s="762" t="str">
        <f>ROUND(NeoBerInfB!O49/(_Pat_Gewicht/10),1)&amp;" mmol/kg"</f>
        <v>0 mmol/kg</v>
      </c>
      <c r="J6" s="762" t="str">
        <f ca="1">ROUND(NeoBerInfB!O47/(_Pat_Gewicht/10),1)&amp;" mmol/kg"</f>
        <v>0 mmol/kg</v>
      </c>
      <c r="K6" s="943"/>
      <c r="L6" s="943"/>
      <c r="M6" s="943"/>
      <c r="N6" s="943"/>
    </row>
    <row r="7" spans="1:15" ht="15.95" customHeight="1" x14ac:dyDescent="0.4">
      <c r="B7" s="761" t="s">
        <v>584</v>
      </c>
      <c r="C7" s="762" t="str">
        <f ca="1">ROUND(NeoBerInfB!T50/(_Pat_Gewicht/10),1)&amp; " kcal/kg"</f>
        <v>0 kcal/kg</v>
      </c>
      <c r="D7" s="762" t="str">
        <f>ROUND(NeoBerInfB!T49/(_Pat_Gewicht/10),1)&amp; " kcal/kg"</f>
        <v>0 kcal/kg</v>
      </c>
      <c r="E7" s="762" t="str">
        <f ca="1">ROUND(NeoBerInfB!T47/(_Pat_Gewicht/10),1)&amp; " kcal/kg"</f>
        <v>0 kcal/kg</v>
      </c>
      <c r="F7" s="760"/>
      <c r="G7" s="761" t="s">
        <v>592</v>
      </c>
      <c r="H7" s="762" t="str">
        <f ca="1">ROUND(NeoBerInfB!U50/(_Pat_Gewicht/10),1)&amp;" mmol/kg"</f>
        <v>0 mmol/kg</v>
      </c>
      <c r="I7" s="762" t="str">
        <f>ROUND(NeoBerInfB!U49/(_Pat_Gewicht/10),1)&amp;" mmol/kg"</f>
        <v>0 mmol/kg</v>
      </c>
      <c r="J7" s="762" t="str">
        <f ca="1">ROUND(NeoBerInfB!U47/(_Pat_Gewicht/10),1)&amp;" mmol/kg"</f>
        <v>0 mmol/kg</v>
      </c>
    </row>
    <row r="8" spans="1:15" ht="15.95" customHeight="1" thickBot="1" x14ac:dyDescent="0.45">
      <c r="A8" s="768"/>
      <c r="B8" s="763" t="s">
        <v>593</v>
      </c>
      <c r="C8" s="764" t="str">
        <f ca="1">ROUND(NeoBerInfB!V50,0)&amp; " IE"</f>
        <v>0 IE</v>
      </c>
      <c r="D8" s="764" t="str">
        <f>ROUND(NeoBerInfB!V49,0)&amp; " IE"</f>
        <v>0 IE</v>
      </c>
      <c r="E8" s="764" t="str">
        <f ca="1">ROUND(NeoBerInfB!V47,0)&amp; " IE"</f>
        <v>0 IE</v>
      </c>
      <c r="F8" s="765"/>
      <c r="G8" s="763" t="s">
        <v>242</v>
      </c>
      <c r="H8" s="764" t="str">
        <f>ROUND(NeoBerInfB!P50/(_Pat_Gewicht/10),1)&amp;" mmol/kg"</f>
        <v>0 mmol/kg</v>
      </c>
      <c r="I8" s="764" t="str">
        <f>ROUND(NeoBerInfB!P49/(_Pat_Gewicht/10),1)&amp;" mmol/kg"</f>
        <v>0 mmol/kg</v>
      </c>
      <c r="J8" s="764" t="str">
        <f>ROUND(NeoBerInfB!P47/(_Pat_Gewicht/10),1)&amp;" mmol/kg"</f>
        <v>0 mmol/kg</v>
      </c>
      <c r="K8" s="768"/>
      <c r="L8" s="768"/>
      <c r="M8" s="768"/>
      <c r="N8" s="768"/>
      <c r="O8" s="768"/>
    </row>
    <row r="9" spans="1:15" ht="8.3000000000000007" customHeight="1" thickTop="1" x14ac:dyDescent="0.4">
      <c r="A9" s="769"/>
      <c r="B9" s="393"/>
      <c r="C9" s="770"/>
      <c r="D9" s="770"/>
      <c r="E9" s="770"/>
      <c r="F9" s="279"/>
      <c r="G9" s="393"/>
      <c r="H9" s="770"/>
      <c r="I9" s="770"/>
      <c r="J9" s="770"/>
      <c r="K9" s="279"/>
      <c r="L9" s="279"/>
      <c r="M9" s="279"/>
      <c r="N9" s="279"/>
    </row>
    <row r="10" spans="1:15" ht="15.95" customHeight="1" x14ac:dyDescent="0.4">
      <c r="B10" s="741" t="s">
        <v>594</v>
      </c>
      <c r="C10" s="742"/>
      <c r="D10" s="742"/>
      <c r="E10" s="742"/>
      <c r="F10" s="742"/>
      <c r="G10" s="743" t="s">
        <v>369</v>
      </c>
      <c r="H10" s="742"/>
      <c r="I10" s="742">
        <f>__0_PatNum</f>
        <v>0</v>
      </c>
      <c r="J10" s="742"/>
      <c r="K10" s="742"/>
      <c r="L10" s="742"/>
      <c r="M10" s="742"/>
    </row>
    <row r="11" spans="1:15" ht="15.95" customHeight="1" x14ac:dyDescent="0.4">
      <c r="B11" s="741" t="s">
        <v>595</v>
      </c>
      <c r="C11" s="742"/>
      <c r="D11" s="742"/>
      <c r="E11" s="742"/>
      <c r="F11" s="742"/>
      <c r="G11" s="743" t="s">
        <v>28</v>
      </c>
      <c r="H11" s="742"/>
      <c r="I11" s="744" t="str">
        <f>__2_AchterNaam &amp;",  "&amp;__3_VoorNaam</f>
        <v xml:space="preserve">,  </v>
      </c>
      <c r="J11" s="745"/>
      <c r="K11" s="742"/>
      <c r="L11" s="742"/>
      <c r="M11" s="742"/>
    </row>
    <row r="12" spans="1:15" ht="15.95" customHeight="1" x14ac:dyDescent="0.4">
      <c r="B12" s="741" t="s">
        <v>596</v>
      </c>
      <c r="C12" s="742"/>
      <c r="D12" s="742"/>
      <c r="E12" s="742"/>
      <c r="F12" s="742"/>
      <c r="G12" s="743" t="s">
        <v>597</v>
      </c>
      <c r="H12" s="742"/>
      <c r="I12" s="746">
        <f>NeoBerInfB!B3-NeoBerInfB!C3</f>
        <v>0</v>
      </c>
      <c r="J12" s="747" t="str">
        <f ca="1">"=dag "&amp;NeoBerInfB!B6</f>
        <v>=dag 42740</v>
      </c>
      <c r="K12" s="742"/>
      <c r="L12" s="742"/>
      <c r="M12" s="742"/>
    </row>
    <row r="13" spans="1:15" ht="15.95" customHeight="1" x14ac:dyDescent="0.4">
      <c r="B13" s="742"/>
      <c r="C13" s="742"/>
      <c r="D13" s="742"/>
      <c r="E13" s="742"/>
      <c r="F13" s="742"/>
      <c r="G13" s="743" t="s">
        <v>554</v>
      </c>
      <c r="H13" s="748">
        <f>NeoBerInfB!D4</f>
        <v>30</v>
      </c>
      <c r="I13" s="749" t="s">
        <v>598</v>
      </c>
      <c r="J13" s="748">
        <f>NeoBerInfB!D5</f>
        <v>0</v>
      </c>
      <c r="K13" s="749" t="s">
        <v>599</v>
      </c>
      <c r="L13" s="749"/>
      <c r="M13" s="742"/>
    </row>
    <row r="14" spans="1:15" ht="15.95" customHeight="1" x14ac:dyDescent="0.4">
      <c r="B14" s="743" t="s">
        <v>326</v>
      </c>
      <c r="C14" s="746">
        <f>NeoBerInfB!B5</f>
        <v>42370</v>
      </c>
      <c r="D14" s="742"/>
      <c r="E14" s="742"/>
      <c r="F14" s="742"/>
      <c r="G14" s="742"/>
      <c r="H14" s="742"/>
      <c r="I14" s="742"/>
      <c r="J14" s="742"/>
      <c r="K14" s="742"/>
      <c r="L14" s="742"/>
      <c r="M14" s="742"/>
    </row>
    <row r="15" spans="1:15" ht="15.95" customHeight="1" x14ac:dyDescent="0.4">
      <c r="B15" s="750" t="s">
        <v>549</v>
      </c>
      <c r="C15" s="751">
        <f>__1_Bed</f>
        <v>0</v>
      </c>
      <c r="D15" s="752"/>
      <c r="E15" s="742"/>
      <c r="F15" s="742"/>
      <c r="G15" s="743" t="s">
        <v>296</v>
      </c>
      <c r="H15" s="753" t="str">
        <f ca="1">IF(PatDetails!F2&lt;&gt;"",TRUNC((H13*7+J13+NeoBerInfB!B6-1)/7)&amp;" weken en "&amp; H13*7+J13+NeoBerInfB!B6-1-TRUNC((H13*7+J13+NeoBerInfB!B6-1)/7)*7&amp;" dag(-en)","")</f>
        <v/>
      </c>
      <c r="I15" s="742"/>
      <c r="J15" s="742"/>
      <c r="K15" s="742"/>
      <c r="L15" s="742"/>
      <c r="M15" s="742"/>
    </row>
    <row r="16" spans="1:15" ht="15.95" customHeight="1" x14ac:dyDescent="0.4">
      <c r="B16" s="754"/>
      <c r="C16" s="755"/>
      <c r="D16" s="755"/>
      <c r="E16" s="755"/>
      <c r="F16" s="755"/>
      <c r="G16" s="754" t="s">
        <v>568</v>
      </c>
      <c r="H16" s="755" t="str">
        <f>NeoBerInfB!B4&amp;" kg"</f>
        <v>10 kg</v>
      </c>
      <c r="I16" s="755"/>
      <c r="J16" s="755"/>
      <c r="K16" s="755"/>
      <c r="L16" s="755"/>
      <c r="M16" s="755"/>
    </row>
    <row r="17" spans="1:15" ht="15.95" customHeight="1" x14ac:dyDescent="0.4">
      <c r="B17" s="398"/>
      <c r="K17" s="774" t="s">
        <v>600</v>
      </c>
      <c r="L17" s="774"/>
    </row>
    <row r="18" spans="1:15" ht="15.95" customHeight="1" x14ac:dyDescent="0.4">
      <c r="B18" s="398" t="s">
        <v>601</v>
      </c>
      <c r="E18" s="775">
        <f ca="1">IF(NeoBerInfB!B17,NeoBerInfB!C16,ROUND(NeoBerInfB!K47/(_Pat_Gewicht/10),1))</f>
        <v>0</v>
      </c>
      <c r="F18" s="271" t="s">
        <v>602</v>
      </c>
      <c r="K18" s="776" t="str">
        <f ca="1">ROUND(NeoBerInfB!B16,0)&amp;" ml/ kg/ 24 uur"</f>
        <v>150 ml/ kg/ 24 uur</v>
      </c>
      <c r="L18" s="776"/>
      <c r="M18" s="369"/>
    </row>
    <row r="19" spans="1:15" ht="15.95" customHeight="1" x14ac:dyDescent="0.4">
      <c r="B19" s="398" t="s">
        <v>603</v>
      </c>
      <c r="F19" s="271"/>
      <c r="K19" s="777"/>
      <c r="L19" s="777"/>
      <c r="M19" s="279"/>
    </row>
    <row r="21" spans="1:15" ht="15.95" customHeight="1" x14ac:dyDescent="0.4">
      <c r="D21" s="778" t="s">
        <v>604</v>
      </c>
      <c r="E21" s="771">
        <f>IF(_Neo_InfB_Voeding&gt;1,NeoBerInfB!D10,"")</f>
        <v>0</v>
      </c>
      <c r="F21" s="771" t="s">
        <v>605</v>
      </c>
      <c r="G21" s="270" t="str">
        <f>IF(_Neo_InfB_Voeding&gt;1,NeoBerInfB!D11/10&amp;" ml","")</f>
        <v>0 ml</v>
      </c>
      <c r="H21" s="779" t="s">
        <v>606</v>
      </c>
    </row>
    <row r="22" spans="1:15" ht="15.95" customHeight="1" x14ac:dyDescent="0.4">
      <c r="D22" s="778" t="s">
        <v>607</v>
      </c>
      <c r="E22" s="771">
        <f>IF(_Neo_InfB_Voeding&gt;1,NeoBerInfB!D12,"")</f>
        <v>0</v>
      </c>
      <c r="F22" s="771" t="s">
        <v>605</v>
      </c>
      <c r="G22" s="270" t="str">
        <f>IF(_Neo_InfB_Voeding&gt;1,NeoBerInfB!D13/10&amp;" ml","")</f>
        <v>0 ml</v>
      </c>
      <c r="I22" s="778" t="s">
        <v>961</v>
      </c>
      <c r="M22" s="778" t="s">
        <v>962</v>
      </c>
    </row>
    <row r="23" spans="1:15" ht="15.95" customHeight="1" x14ac:dyDescent="0.4">
      <c r="H23" s="778"/>
      <c r="I23" s="780" t="s">
        <v>979</v>
      </c>
      <c r="K23" s="369" t="e">
        <f>INDEX(tbl_Neo_NutrBMFWaard,NeoBerInfB!K52)&amp;" %"</f>
        <v>#VALUE!</v>
      </c>
    </row>
    <row r="24" spans="1:15" ht="15.95" customHeight="1" x14ac:dyDescent="0.4">
      <c r="H24" s="778"/>
      <c r="K24" s="369" t="e">
        <f>INDEX(tbl_Neo_NutrToevWaard,NeoBerInfB!K53)&amp;" %"</f>
        <v>#VALUE!</v>
      </c>
      <c r="O24" s="369" t="e">
        <f>INDEX(tbl_Neo_NutrToevWaard,NeoBerInfB!K58)&amp;" %"</f>
        <v>#VALUE!</v>
      </c>
    </row>
    <row r="25" spans="1:15" ht="15.95" customHeight="1" x14ac:dyDescent="0.4">
      <c r="H25" s="778"/>
      <c r="K25" s="369" t="e">
        <f>INDEX(tbl_Neo_NutrToevWaard,NeoBerInfB!K54)&amp;" %"</f>
        <v>#VALUE!</v>
      </c>
      <c r="O25" s="369" t="e">
        <f>INDEX(tbl_Neo_NutrToevWaard,NeoBerInfB!K59)&amp;" %"</f>
        <v>#VALUE!</v>
      </c>
    </row>
    <row r="26" spans="1:15" ht="15.95" customHeight="1" x14ac:dyDescent="0.4">
      <c r="H26" s="778"/>
      <c r="K26" s="369" t="e">
        <f>INDEX(tbl_Neo_NutrToevWaard,NeoBerInfB!K55)&amp;" %"</f>
        <v>#VALUE!</v>
      </c>
      <c r="O26" s="369" t="e">
        <f>INDEX(tbl_Neo_NutrToevWaard,NeoBerInfB!K60)&amp;" %"</f>
        <v>#VALUE!</v>
      </c>
    </row>
    <row r="27" spans="1:15" ht="15.95" customHeight="1" x14ac:dyDescent="0.4">
      <c r="B27" s="274"/>
      <c r="C27" s="274"/>
      <c r="D27" s="274"/>
      <c r="E27" s="781"/>
      <c r="F27" s="274"/>
      <c r="G27" s="274"/>
      <c r="H27" s="781"/>
      <c r="I27" s="274"/>
      <c r="J27" s="274"/>
      <c r="K27" s="369" t="e">
        <f>INDEX(tbl_Neo_NutrToevWaard,NeoBerInfB!K56)&amp;" %"</f>
        <v>#VALUE!</v>
      </c>
      <c r="L27" s="274"/>
      <c r="M27" s="274"/>
      <c r="N27" s="274"/>
      <c r="O27" s="369" t="e">
        <f>INDEX(tbl_Neo_NutrToevWaard,NeoBerInfB!K61)&amp;" %"</f>
        <v>#VALUE!</v>
      </c>
    </row>
    <row r="28" spans="1:15" ht="15.95" customHeight="1" x14ac:dyDescent="0.4">
      <c r="B28" s="398" t="s">
        <v>608</v>
      </c>
      <c r="E28" s="775">
        <f ca="1">IF(NeoBerInfB!B17,NeoBerInfB!C17,NeoBerInfB!K50)</f>
        <v>0</v>
      </c>
      <c r="F28" s="271" t="s">
        <v>609</v>
      </c>
    </row>
    <row r="29" spans="1:15" ht="15.95" customHeight="1" x14ac:dyDescent="0.35">
      <c r="H29" s="774" t="s">
        <v>610</v>
      </c>
      <c r="I29" s="774"/>
      <c r="J29" s="782" t="s">
        <v>558</v>
      </c>
      <c r="K29" s="774" t="s">
        <v>611</v>
      </c>
      <c r="L29" s="774"/>
      <c r="N29" s="774" t="s">
        <v>612</v>
      </c>
    </row>
    <row r="30" spans="1:15" ht="15.95" customHeight="1" x14ac:dyDescent="0.4">
      <c r="A30" s="783"/>
      <c r="B30" s="393" t="s">
        <v>777</v>
      </c>
      <c r="C30" s="279"/>
      <c r="D30" s="279"/>
      <c r="E30" s="279"/>
      <c r="F30" s="279"/>
      <c r="G30" s="784" t="str">
        <f>NeoBerInfB!B18/10&amp;" ml/uur"</f>
        <v>0 ml/uur</v>
      </c>
      <c r="H30" s="279"/>
      <c r="I30" s="279"/>
      <c r="J30" s="279"/>
      <c r="K30" s="279"/>
      <c r="L30" s="279"/>
      <c r="M30" s="785"/>
      <c r="N30" s="279"/>
    </row>
    <row r="31" spans="1:15" ht="7.55" customHeight="1" x14ac:dyDescent="0.4">
      <c r="A31" s="783"/>
      <c r="B31" s="393"/>
      <c r="C31" s="279"/>
      <c r="D31" s="279"/>
      <c r="E31" s="279"/>
      <c r="F31" s="279"/>
      <c r="G31" s="784"/>
      <c r="H31" s="279"/>
      <c r="I31" s="279"/>
      <c r="J31" s="279"/>
      <c r="K31" s="279"/>
      <c r="L31" s="279"/>
      <c r="M31" s="785"/>
      <c r="N31" s="279"/>
    </row>
    <row r="32" spans="1:15" ht="15.95" customHeight="1" x14ac:dyDescent="0.4">
      <c r="A32" s="783">
        <v>1</v>
      </c>
      <c r="B32" s="786"/>
      <c r="C32" s="787" t="str">
        <f>IF(NeoBerInfB!C20&gt;0,IF(NeoBerInfB!B20&lt;&gt;5,NeoBerInfB!C20/10&amp;" mg",NeoBerInfB!C20/10&amp;" mg"),"")</f>
        <v/>
      </c>
      <c r="D32" s="787" t="str">
        <f>IF(NeoBerInfB!D20&gt;0,"in "&amp;NeoBerInfB!D20&amp;" ml","")</f>
        <v/>
      </c>
      <c r="E32" s="786"/>
      <c r="F32" s="786"/>
      <c r="G32" s="788" t="str">
        <f>IF(NeoBerInfB!F20/10&gt;0,NeoBerInfB!F20/10&amp;" ml/uur","")</f>
        <v/>
      </c>
      <c r="H32" s="787" t="str">
        <f>IF(AND(NeoBerInfB!H20&gt;0),ROUND(NeoBerInfB!H20,2),"")</f>
        <v/>
      </c>
      <c r="I32" s="787">
        <f>IF(_Neo_InfB_Medicament_1&gt;0,INDEX(tbl_Neo_MedIV,NeoBerInfB!B20,6),"")</f>
        <v>0</v>
      </c>
      <c r="J32" s="369"/>
      <c r="K32" s="776">
        <f>INDEX(tbl_Neo_MedIV,NeoBerInfB!B20,2)</f>
        <v>0</v>
      </c>
      <c r="L32" s="776"/>
      <c r="M32" s="789"/>
      <c r="N32" s="790" t="str">
        <f>IF(NeoBerInfB!H20&gt;0,IF(NeoBerInfB!X20*10&gt;1,NeoBerInfB!W20&amp;" uren",NeoBerInfB!W20&amp;" minuten"),"")</f>
        <v/>
      </c>
    </row>
    <row r="33" spans="1:14" ht="15.95" customHeight="1" x14ac:dyDescent="0.4">
      <c r="A33" s="783">
        <v>2</v>
      </c>
      <c r="B33" s="791"/>
      <c r="C33" s="792" t="str">
        <f>IF(NeoBerInfB!C21&gt;0,NeoBerInfB!C21/10&amp;" mg","")</f>
        <v/>
      </c>
      <c r="D33" s="792" t="str">
        <f>IF(NeoBerInfB!D21&gt;0,"in "&amp;NeoBerInfB!D21&amp;" ml","")</f>
        <v/>
      </c>
      <c r="E33" s="791"/>
      <c r="F33" s="791"/>
      <c r="G33" s="793" t="str">
        <f>IF(NeoBerInfB!F21/10&gt;0,NeoBerInfB!F21/10&amp;" ml/uur","")</f>
        <v/>
      </c>
      <c r="H33" s="787" t="str">
        <f>IF(AND(NeoBerInfB!H21&gt;0),ROUND(NeoBerInfB!H21,2),"")</f>
        <v/>
      </c>
      <c r="I33" s="787">
        <f>IF(_Neo_InfB_Medicament_1&gt;0,INDEX(tbl_Neo_MedIV,NeoBerInfB!B21,6),"")</f>
        <v>0</v>
      </c>
      <c r="J33" s="794"/>
      <c r="K33" s="795">
        <f>INDEX(tbl_Neo_MedIV,NeoBerInfB!B21,2)</f>
        <v>0</v>
      </c>
      <c r="L33" s="795"/>
      <c r="M33" s="796"/>
      <c r="N33" s="797" t="str">
        <f>IF(NeoBerInfB!H21&gt;0,IF(NeoBerInfB!X21*10&gt;1,NeoBerInfB!W21&amp;" uren",NeoBerInfB!W21&amp;" minuten"),"")</f>
        <v/>
      </c>
    </row>
    <row r="34" spans="1:14" ht="15.95" customHeight="1" x14ac:dyDescent="0.4">
      <c r="A34" s="783">
        <v>3</v>
      </c>
      <c r="B34" s="791"/>
      <c r="C34" s="792" t="str">
        <f>IF(NeoBerInfB!C22&gt;0,NeoBerInfB!C22/10&amp;" mg","")</f>
        <v/>
      </c>
      <c r="D34" s="792" t="str">
        <f>IF(NeoBerInfB!D22&gt;0,"in "&amp;NeoBerInfB!D22&amp;" ml","")</f>
        <v/>
      </c>
      <c r="E34" s="791"/>
      <c r="F34" s="791"/>
      <c r="G34" s="793" t="str">
        <f>IF(NeoBerInfB!F22/10&gt;0,NeoBerInfB!F22/10&amp;" ml/uur","")</f>
        <v/>
      </c>
      <c r="H34" s="787" t="str">
        <f>IF(AND(NeoBerInfB!H22&gt;0),ROUND(NeoBerInfB!H22,2),"")</f>
        <v/>
      </c>
      <c r="I34" s="787">
        <f>IF(_Neo_InfB_Medicament_1&gt;0,INDEX(tbl_Neo_MedIV,NeoBerInfB!B22,6),"")</f>
        <v>0</v>
      </c>
      <c r="J34" s="794"/>
      <c r="K34" s="795">
        <f>INDEX(tbl_Neo_MedIV,NeoBerInfB!B22,2)</f>
        <v>0</v>
      </c>
      <c r="L34" s="795"/>
      <c r="M34" s="796"/>
      <c r="N34" s="797" t="str">
        <f>IF(NeoBerInfB!H22&gt;0,IF(NeoBerInfB!X22*10&gt;1,NeoBerInfB!W22&amp;" uren",NeoBerInfB!W22&amp;" minuten"),"")</f>
        <v/>
      </c>
    </row>
    <row r="35" spans="1:14" ht="15.95" customHeight="1" x14ac:dyDescent="0.4">
      <c r="A35" s="783">
        <v>4</v>
      </c>
      <c r="B35" s="791"/>
      <c r="C35" s="792" t="str">
        <f>IF(NeoBerInfB!C23&gt;0,NeoBerInfB!C23/10&amp;" mg","")</f>
        <v/>
      </c>
      <c r="D35" s="792" t="str">
        <f>IF(NeoBerInfB!D23&gt;0,"in "&amp;NeoBerInfB!D23&amp;" ml","")</f>
        <v/>
      </c>
      <c r="E35" s="791"/>
      <c r="F35" s="791"/>
      <c r="G35" s="793" t="str">
        <f>IF(NeoBerInfB!F23/10&gt;0,NeoBerInfB!F23/10&amp;" ml/uur","")</f>
        <v/>
      </c>
      <c r="H35" s="787" t="str">
        <f>IF(AND(NeoBerInfB!H23&gt;0),ROUND(NeoBerInfB!H23,2),"")</f>
        <v/>
      </c>
      <c r="I35" s="787">
        <f>IF(_Neo_InfB_Medicament_1&gt;0,INDEX(tbl_Neo_MedIV,NeoBerInfB!B23,6),"")</f>
        <v>0</v>
      </c>
      <c r="J35" s="794"/>
      <c r="K35" s="795">
        <f>INDEX(tbl_Neo_MedIV,NeoBerInfB!B23,2)</f>
        <v>0</v>
      </c>
      <c r="L35" s="795"/>
      <c r="M35" s="796"/>
      <c r="N35" s="797" t="str">
        <f>IF(NeoBerInfB!H23&gt;0,IF(NeoBerInfB!X23*10&gt;1,NeoBerInfB!W23&amp;" uren",NeoBerInfB!W23&amp;" minuten"),"")</f>
        <v/>
      </c>
    </row>
    <row r="36" spans="1:14" ht="15.95" customHeight="1" x14ac:dyDescent="0.4">
      <c r="A36" s="783">
        <v>5</v>
      </c>
      <c r="B36" s="791"/>
      <c r="C36" s="792" t="str">
        <f>IF(NeoBerInfB!C24&gt;0,NeoBerInfB!C24/10&amp;" mg","")</f>
        <v/>
      </c>
      <c r="D36" s="792" t="str">
        <f>IF(NeoBerInfB!D24&gt;0,"in "&amp;NeoBerInfB!D24&amp;" ml","")</f>
        <v/>
      </c>
      <c r="E36" s="791"/>
      <c r="F36" s="791"/>
      <c r="G36" s="793" t="str">
        <f>IF(NeoBerInfB!F24/10&gt;0,NeoBerInfB!F24/10&amp;" ml/uur","")</f>
        <v/>
      </c>
      <c r="H36" s="787" t="str">
        <f>IF(AND(NeoBerInfB!H24&gt;0),ROUND(NeoBerInfB!H24,2),"")</f>
        <v/>
      </c>
      <c r="I36" s="787">
        <f>IF(_Neo_InfB_Medicament_1&gt;0,INDEX(tbl_Neo_MedIV,NeoBerInfB!B24,6),"")</f>
        <v>0</v>
      </c>
      <c r="J36" s="794"/>
      <c r="K36" s="795">
        <f>INDEX(tbl_Neo_MedIV,NeoBerInfB!B24,2)</f>
        <v>0</v>
      </c>
      <c r="L36" s="795"/>
      <c r="M36" s="796"/>
      <c r="N36" s="797" t="str">
        <f>IF(NeoBerInfB!H24&gt;0,IF(NeoBerInfB!X24*10&gt;1,NeoBerInfB!W24&amp;" uren",NeoBerInfB!W24&amp;" minuten"),"")</f>
        <v/>
      </c>
    </row>
    <row r="37" spans="1:14" ht="15.95" customHeight="1" x14ac:dyDescent="0.4">
      <c r="A37" s="783">
        <v>6</v>
      </c>
      <c r="B37" s="791"/>
      <c r="C37" s="792" t="str">
        <f>IF(NeoBerInfB!C25&gt;0,NeoBerInfB!C25/10&amp;" mg","")</f>
        <v/>
      </c>
      <c r="D37" s="792" t="str">
        <f>IF(NeoBerInfB!D25&gt;0,"in "&amp;NeoBerInfB!D25&amp;" ml","")</f>
        <v/>
      </c>
      <c r="E37" s="791"/>
      <c r="F37" s="791"/>
      <c r="G37" s="793" t="str">
        <f>IF(NeoBerInfB!F25/10&gt;0,NeoBerInfB!F25/10&amp;" ml/uur","")</f>
        <v/>
      </c>
      <c r="H37" s="787" t="str">
        <f>IF(AND(NeoBerInfB!H25&gt;0),ROUND(NeoBerInfB!H25,2),"")</f>
        <v/>
      </c>
      <c r="I37" s="787">
        <f>IF(_Neo_InfB_Medicament_1&gt;0,INDEX(tbl_Neo_MedIV,NeoBerInfB!B25,6),"")</f>
        <v>0</v>
      </c>
      <c r="J37" s="794"/>
      <c r="K37" s="795">
        <f>INDEX(tbl_Neo_MedIV,NeoBerInfB!B25,2)</f>
        <v>0</v>
      </c>
      <c r="L37" s="795"/>
      <c r="M37" s="796"/>
      <c r="N37" s="797" t="str">
        <f>IF(NeoBerInfB!H25&gt;0,IF(NeoBerInfB!X25*10&gt;1,NeoBerInfB!W25&amp;" uren",NeoBerInfB!W25&amp;" minuten"),"")</f>
        <v/>
      </c>
    </row>
    <row r="38" spans="1:14" ht="15.95" customHeight="1" x14ac:dyDescent="0.4">
      <c r="A38" s="783">
        <v>7</v>
      </c>
      <c r="B38" s="791"/>
      <c r="C38" s="792" t="str">
        <f>IF(NeoBerInfB!C26&gt;0,NeoBerInfB!C26/10&amp;" mg","")</f>
        <v/>
      </c>
      <c r="D38" s="792" t="str">
        <f>IF(NeoBerInfB!D26&gt;0,"in "&amp;NeoBerInfB!D26&amp;" ml","")</f>
        <v/>
      </c>
      <c r="E38" s="791"/>
      <c r="F38" s="791"/>
      <c r="G38" s="793" t="str">
        <f>IF(NeoBerInfB!F26/10&gt;0,NeoBerInfB!F26/10&amp;" ml/uur","")</f>
        <v/>
      </c>
      <c r="H38" s="787" t="str">
        <f>IF(AND(NeoBerInfB!H26&gt;0),ROUND(NeoBerInfB!H26,2),"")</f>
        <v/>
      </c>
      <c r="I38" s="787">
        <f>IF(_Neo_InfB_Medicament_1&gt;0,INDEX(tbl_Neo_MedIV,NeoBerInfB!B26,6),"")</f>
        <v>0</v>
      </c>
      <c r="J38" s="794"/>
      <c r="K38" s="795">
        <f>INDEX(tbl_Neo_MedIV,NeoBerInfB!B26,2)</f>
        <v>0</v>
      </c>
      <c r="L38" s="795"/>
      <c r="M38" s="796"/>
      <c r="N38" s="797" t="str">
        <f>IF(NeoBerInfB!H26&gt;0,IF(NeoBerInfB!X26*10&gt;1,NeoBerInfB!W26&amp;" uren",NeoBerInfB!W26&amp;" minuten"),"")</f>
        <v/>
      </c>
    </row>
    <row r="39" spans="1:14" ht="15.95" customHeight="1" x14ac:dyDescent="0.4">
      <c r="A39" s="783">
        <v>8</v>
      </c>
      <c r="B39" s="791"/>
      <c r="C39" s="792" t="str">
        <f>IF(NeoBerInfB!C27&gt;0,NeoBerInfB!C27/10&amp;" mg","")</f>
        <v/>
      </c>
      <c r="D39" s="792" t="str">
        <f>IF(NeoBerInfB!D27&gt;0,"in "&amp;NeoBerInfB!D27&amp;" ml","")</f>
        <v/>
      </c>
      <c r="E39" s="791"/>
      <c r="F39" s="791"/>
      <c r="G39" s="793" t="str">
        <f>IF(NeoBerInfB!F27/10&gt;0,NeoBerInfB!F27/10&amp;" ml/uur","")</f>
        <v/>
      </c>
      <c r="H39" s="787" t="str">
        <f>IF(AND(NeoBerInfB!H27&gt;0),ROUND(NeoBerInfB!H27,2),"")</f>
        <v/>
      </c>
      <c r="I39" s="787">
        <f>IF(_Neo_InfB_Medicament_1&gt;0,INDEX(tbl_Neo_MedIV,NeoBerInfB!B27,6),"")</f>
        <v>0</v>
      </c>
      <c r="J39" s="794"/>
      <c r="K39" s="795">
        <f>INDEX(tbl_Neo_MedIV,NeoBerInfB!B27,2)</f>
        <v>0</v>
      </c>
      <c r="L39" s="795"/>
      <c r="M39" s="796"/>
      <c r="N39" s="797" t="str">
        <f>IF(NeoBerInfB!H27&gt;0,IF(NeoBerInfB!X27*10&gt;1,NeoBerInfB!W27&amp;" uren",NeoBerInfB!W27&amp;" minuten"),"")</f>
        <v/>
      </c>
    </row>
    <row r="40" spans="1:14" ht="15.95" customHeight="1" x14ac:dyDescent="0.4">
      <c r="A40" s="783">
        <v>9</v>
      </c>
      <c r="B40" s="791"/>
      <c r="C40" s="792" t="str">
        <f>IF(NeoBerInfB!C28&gt;0,NeoBerInfB!C28/10&amp;" mg","")</f>
        <v/>
      </c>
      <c r="D40" s="792" t="str">
        <f>IF(NeoBerInfB!D28&gt;0,"in "&amp;NeoBerInfB!D28&amp;" ml","")</f>
        <v/>
      </c>
      <c r="E40" s="791"/>
      <c r="F40" s="786"/>
      <c r="G40" s="788" t="str">
        <f>IF(NeoBerInfB!F28/10&gt;0,NeoBerInfB!F28/10&amp;" ml/uur","")</f>
        <v/>
      </c>
      <c r="H40" s="787" t="str">
        <f>IF(AND(NeoBerInfB!H28&gt;0),ROUND(NeoBerInfB!H28,2),"")</f>
        <v/>
      </c>
      <c r="I40" s="787">
        <f>IF(_Neo_InfB_Medicament_1&gt;0,INDEX(tbl_Neo_MedIV,NeoBerInfB!B28,6),"")</f>
        <v>0</v>
      </c>
      <c r="J40" s="369"/>
      <c r="K40" s="795">
        <f>INDEX(tbl_Neo_MedIV,NeoBerInfB!B28,2)</f>
        <v>0</v>
      </c>
      <c r="L40" s="795"/>
      <c r="M40" s="796"/>
      <c r="N40" s="797" t="str">
        <f>IF(NeoBerInfB!H28&gt;0,IF(NeoBerInfB!X28*10&gt;1,NeoBerInfB!W28&amp;" uren",NeoBerInfB!W28&amp;" minuten"),"")</f>
        <v/>
      </c>
    </row>
    <row r="41" spans="1:14" ht="9.75" customHeight="1" x14ac:dyDescent="0.4">
      <c r="A41" s="783"/>
      <c r="B41" s="798"/>
      <c r="C41" s="799"/>
      <c r="D41" s="799"/>
      <c r="E41" s="798"/>
      <c r="F41" s="279"/>
      <c r="G41" s="784"/>
      <c r="H41" s="799"/>
      <c r="I41" s="279"/>
      <c r="J41" s="279"/>
      <c r="K41" s="800"/>
      <c r="L41" s="800"/>
      <c r="M41" s="801"/>
      <c r="N41" s="802"/>
    </row>
    <row r="42" spans="1:14" ht="15.95" customHeight="1" x14ac:dyDescent="0.4">
      <c r="A42" s="783">
        <v>10</v>
      </c>
      <c r="B42" s="803" t="s">
        <v>613</v>
      </c>
      <c r="C42" s="787"/>
      <c r="D42" s="787"/>
      <c r="E42" s="787"/>
      <c r="F42" s="787"/>
      <c r="G42" s="788" t="str">
        <f>IF(NeoBerInfB!F29/10&gt;0,NeoBerInfB!F29/10&amp;" ml/uur","")</f>
        <v/>
      </c>
      <c r="H42" s="308" t="str">
        <f>IF(NeoBerInfB!H32&gt;0,"= "&amp;ROUND(NeoBerInfB!H32,2),"")</f>
        <v/>
      </c>
      <c r="I42" s="308"/>
      <c r="J42" s="279"/>
      <c r="K42" s="777"/>
      <c r="L42" s="777"/>
      <c r="M42" s="804"/>
      <c r="N42" s="784"/>
    </row>
    <row r="43" spans="1:14" ht="15.95" customHeight="1" x14ac:dyDescent="0.4">
      <c r="A43" s="783">
        <v>11</v>
      </c>
      <c r="B43" s="803" t="s">
        <v>614</v>
      </c>
      <c r="C43" s="787"/>
      <c r="D43" s="787"/>
      <c r="E43" s="787"/>
      <c r="F43" s="787"/>
      <c r="G43" s="788" t="str">
        <f>IF(NeoBerInfB!F30/10&gt;0,NeoBerInfB!F30/10&amp;" ml/uur","")</f>
        <v/>
      </c>
      <c r="H43" s="308" t="str">
        <f>IF(NeoBerInfB!H33&gt;0,"= "&amp;ROUND(NeoBerInfB!H33,2),"")</f>
        <v/>
      </c>
      <c r="I43" s="308"/>
      <c r="J43" s="279"/>
      <c r="K43" s="777"/>
      <c r="L43" s="777"/>
      <c r="M43" s="804"/>
      <c r="N43" s="784"/>
    </row>
    <row r="44" spans="1:14" ht="15.95" customHeight="1" x14ac:dyDescent="0.4">
      <c r="A44" s="783">
        <v>12</v>
      </c>
      <c r="B44" s="803" t="s">
        <v>615</v>
      </c>
      <c r="C44" s="787"/>
      <c r="D44" s="787"/>
      <c r="E44" s="787"/>
      <c r="F44" s="787"/>
      <c r="G44" s="788" t="str">
        <f>IF(NeoBerInfB!F31/10&gt;0,NeoBerInfB!F31/10&amp;" ml/uur","")</f>
        <v/>
      </c>
      <c r="H44" s="308" t="str">
        <f>IF(NeoBerInfB!H34&gt;0,"= "&amp;ROUND(NeoBerInfB!H34,2),"")</f>
        <v/>
      </c>
      <c r="I44" s="308"/>
      <c r="J44" s="279"/>
      <c r="K44" s="777"/>
      <c r="L44" s="777"/>
      <c r="M44" s="804"/>
      <c r="N44" s="784"/>
    </row>
    <row r="45" spans="1:14" ht="15.95" customHeight="1" x14ac:dyDescent="0.4">
      <c r="A45" s="783">
        <v>13</v>
      </c>
      <c r="B45" s="793" t="str">
        <f>IF(_Neo_InfB_MedTekst_1="","",_Neo_InfB_MedTekst_1)</f>
        <v/>
      </c>
      <c r="C45" s="792"/>
      <c r="D45" s="792"/>
      <c r="E45" s="792"/>
      <c r="F45" s="792"/>
      <c r="G45" s="792"/>
      <c r="H45" s="787"/>
      <c r="I45" s="787"/>
      <c r="J45" s="279"/>
      <c r="K45" s="777"/>
      <c r="L45" s="777"/>
      <c r="M45" s="804"/>
      <c r="N45" s="784"/>
    </row>
    <row r="46" spans="1:14" ht="15.95" customHeight="1" x14ac:dyDescent="0.4">
      <c r="A46" s="783">
        <v>14</v>
      </c>
      <c r="B46" s="784" t="str">
        <f>IF(_Neo_InfB_MedTekst_2="","",_Neo_InfB_MedTekst_2)</f>
        <v/>
      </c>
      <c r="C46" s="308"/>
      <c r="D46" s="308"/>
      <c r="E46" s="308"/>
      <c r="F46" s="308"/>
      <c r="G46" s="308"/>
      <c r="H46" s="308"/>
      <c r="I46" s="308"/>
      <c r="J46" s="279"/>
      <c r="K46" s="777"/>
      <c r="L46" s="777"/>
      <c r="M46" s="804"/>
      <c r="N46" s="784"/>
    </row>
    <row r="47" spans="1:14" ht="15.95" customHeight="1" x14ac:dyDescent="0.35">
      <c r="D47" s="318"/>
      <c r="K47" s="805" t="s">
        <v>600</v>
      </c>
      <c r="L47" s="805"/>
    </row>
    <row r="48" spans="1:14" ht="15.95" customHeight="1" x14ac:dyDescent="0.4">
      <c r="B48" s="772"/>
      <c r="C48" s="773"/>
      <c r="D48" s="806"/>
      <c r="E48" s="807" t="str">
        <f ca="1">IF(NeoBerInfB!C35&gt;0,NeoBerInfB!C35&amp;" ml","")</f>
        <v/>
      </c>
      <c r="F48" s="318" t="str">
        <f ca="1">IF(E48&lt;&gt;"",ROUND(NeoBerInfB!C35/(_Pat_Gewicht/10),0)&amp;" ml/ kg","")</f>
        <v/>
      </c>
      <c r="K48" s="776" t="str">
        <f ca="1">IF(NeoBerInfB!B35&gt;0,NeoBerInfB!B35&amp;" ml","")</f>
        <v>120 ml</v>
      </c>
      <c r="L48" s="776"/>
      <c r="M48" s="369"/>
    </row>
    <row r="49" spans="1:13" ht="12" customHeight="1" x14ac:dyDescent="0.4">
      <c r="B49" s="393"/>
      <c r="C49" s="279"/>
      <c r="D49" s="308"/>
      <c r="E49" s="784"/>
    </row>
    <row r="50" spans="1:13" ht="15.75" customHeight="1" x14ac:dyDescent="0.35">
      <c r="B50" s="808"/>
    </row>
    <row r="51" spans="1:13" ht="15.95" customHeight="1" x14ac:dyDescent="0.4">
      <c r="B51" s="398" t="s">
        <v>617</v>
      </c>
    </row>
    <row r="52" spans="1:13" ht="15.75" customHeight="1" x14ac:dyDescent="0.4">
      <c r="B52" s="809" t="s">
        <v>357</v>
      </c>
      <c r="C52" s="369"/>
      <c r="D52" s="369"/>
      <c r="E52" s="790" t="str">
        <f ca="1">IF(NeoBerInfB!$D$36=1,NeoBerInfB!C37&amp;" ml","")</f>
        <v>0 ml</v>
      </c>
      <c r="F52" s="369"/>
      <c r="G52" s="369"/>
      <c r="H52" s="369"/>
      <c r="I52" s="790" t="str">
        <f>IF(NeoBerInfB!$D$36=3,NeoBerInfB!C37&amp;" ml","")</f>
        <v/>
      </c>
      <c r="J52" s="369"/>
      <c r="K52" s="776" t="str">
        <f ca="1">IF(NeoBerInfB!B37&gt;0,NeoBerInfB!B37&amp;" ml","")</f>
        <v/>
      </c>
      <c r="L52" s="776"/>
      <c r="M52" s="369"/>
    </row>
    <row r="53" spans="1:13" ht="15.95" customHeight="1" x14ac:dyDescent="0.4">
      <c r="B53" s="810" t="s">
        <v>618</v>
      </c>
      <c r="C53" s="794"/>
      <c r="D53" s="794"/>
      <c r="E53" s="797" t="str">
        <f ca="1">IF(NeoBerInfB!$D$36=1,NeoBerInfB!C38&amp;" ml","")</f>
        <v>0 ml</v>
      </c>
      <c r="F53" s="794"/>
      <c r="G53" s="794"/>
      <c r="H53" s="794"/>
      <c r="I53" s="797" t="str">
        <f>IF(NeoBerInfB!$D$36=3,NeoBerInfB!C38&amp;" ml","")</f>
        <v/>
      </c>
      <c r="J53" s="794"/>
      <c r="K53" s="795" t="str">
        <f ca="1">IF(NeoBerInfB!B38&gt;0,NeoBerInfB!B38&amp;" ml","")</f>
        <v/>
      </c>
      <c r="L53" s="795"/>
      <c r="M53" s="795"/>
    </row>
    <row r="54" spans="1:13" ht="15.95" customHeight="1" x14ac:dyDescent="0.4">
      <c r="B54" s="810" t="s">
        <v>619</v>
      </c>
      <c r="C54" s="794"/>
      <c r="D54" s="794"/>
      <c r="E54" s="797" t="str">
        <f ca="1">IF(NeoBerInfB!$D$36=1,NeoBerInfB!C39&amp;" ml","")</f>
        <v>0 ml</v>
      </c>
      <c r="F54" s="794"/>
      <c r="G54" s="794"/>
      <c r="H54" s="794"/>
      <c r="I54" s="794"/>
      <c r="J54" s="794"/>
      <c r="K54" s="795" t="str">
        <f ca="1">IF(NeoBerInfB!B39&gt;0,NeoBerInfB!B39&amp;" ml","")</f>
        <v/>
      </c>
      <c r="L54" s="795"/>
      <c r="M54" s="795"/>
    </row>
    <row r="55" spans="1:13" ht="15.95" customHeight="1" x14ac:dyDescent="0.4">
      <c r="B55" s="810" t="s">
        <v>620</v>
      </c>
      <c r="C55" s="794"/>
      <c r="D55" s="794"/>
      <c r="E55" s="797" t="str">
        <f ca="1">IF(NeoBerInfB!$D$36=1,NeoBerInfB!C40&amp;" ml","")</f>
        <v>0 ml</v>
      </c>
      <c r="F55" s="794"/>
      <c r="G55" s="794"/>
      <c r="H55" s="794"/>
      <c r="I55" s="794"/>
      <c r="J55" s="794"/>
      <c r="K55" s="795" t="str">
        <f ca="1">IF(NeoBerInfB!B40&gt;0,NeoBerInfB!B40&amp;" ml","")</f>
        <v/>
      </c>
      <c r="L55" s="795"/>
      <c r="M55" s="795"/>
    </row>
    <row r="56" spans="1:13" ht="15.95" customHeight="1" x14ac:dyDescent="0.4">
      <c r="B56" s="810" t="s">
        <v>217</v>
      </c>
      <c r="C56" s="794"/>
      <c r="D56" s="794"/>
      <c r="E56" s="797" t="str">
        <f ca="1">IF(NeoBerInfB!$D$36=1,NeoBerInfB!C41&amp;" ml","")</f>
        <v>0 ml</v>
      </c>
      <c r="F56" s="794"/>
      <c r="G56" s="794"/>
      <c r="H56" s="794"/>
      <c r="I56" s="794"/>
      <c r="J56" s="794"/>
      <c r="K56" s="795" t="str">
        <f ca="1">IF(NeoBerInfB!B41&gt;0,NeoBerInfB!B41&amp;" ml","")</f>
        <v/>
      </c>
      <c r="L56" s="795"/>
      <c r="M56" s="795"/>
    </row>
    <row r="57" spans="1:13" ht="15.95" customHeight="1" x14ac:dyDescent="0.4">
      <c r="B57" s="810" t="s">
        <v>575</v>
      </c>
      <c r="C57" s="794"/>
      <c r="D57" s="794"/>
      <c r="E57" s="797" t="str">
        <f ca="1">IF(NeoBerInfB!$D$36=1,NeoBerInfB!C42&amp;" ml","")</f>
        <v>0 ml</v>
      </c>
      <c r="F57" s="794"/>
      <c r="G57" s="794"/>
      <c r="H57" s="794"/>
      <c r="I57" s="794"/>
      <c r="J57" s="794"/>
      <c r="K57" s="795" t="str">
        <f ca="1">IF(NeoBerInfB!B42&gt;0,NeoBerInfB!B42&amp;" ml","")</f>
        <v/>
      </c>
      <c r="L57" s="795"/>
      <c r="M57" s="795"/>
    </row>
    <row r="58" spans="1:13" ht="15.95" customHeight="1" x14ac:dyDescent="0.4">
      <c r="B58" s="810" t="s">
        <v>576</v>
      </c>
      <c r="C58" s="794"/>
      <c r="D58" s="794"/>
      <c r="E58" s="794"/>
      <c r="F58" s="794"/>
      <c r="G58" s="797" t="str">
        <f>IF(NeoBerInfB!D36=2,NeoBerInfB!C43&amp;" ml","")</f>
        <v/>
      </c>
      <c r="H58" s="811" t="str">
        <f>IF(G58&lt;&gt;"","("&amp;ROUND(NeoBerInfB!C43/(_Pat_Gewicht/10),0)&amp;" ml/kg)","")</f>
        <v/>
      </c>
      <c r="I58" s="794"/>
      <c r="J58" s="794"/>
      <c r="K58" s="795" t="str">
        <f ca="1">IF(NeoBerInfB!B43&gt;0,NeoBerInfB!B43&amp;" ml","")</f>
        <v>350 ml</v>
      </c>
      <c r="L58" s="795"/>
      <c r="M58" s="795"/>
    </row>
    <row r="59" spans="1:13" ht="15.95" customHeight="1" x14ac:dyDescent="0.4">
      <c r="B59" s="810" t="s">
        <v>355</v>
      </c>
      <c r="C59" s="794"/>
      <c r="D59" s="794"/>
      <c r="E59" s="794"/>
      <c r="F59" s="794"/>
      <c r="G59" s="794"/>
      <c r="H59" s="794"/>
      <c r="I59" s="797" t="str">
        <f>IF(NeoBerInfB!$D$36=3,NeoBerInfB!C44&amp;" ml","")</f>
        <v/>
      </c>
      <c r="J59" s="811" t="str">
        <f>IF(I59&lt;&gt;"","("&amp;ROUND(NeoBerInfB!C44/(_Pat_Gewicht/10),0)&amp;" ml/kg)","")</f>
        <v/>
      </c>
      <c r="K59" s="795" t="str">
        <f ca="1">IF(NeoBerInfB!B44&gt;0,NeoBerInfB!B44&amp;" ml","")</f>
        <v>350 ml</v>
      </c>
      <c r="L59" s="795"/>
      <c r="M59" s="795"/>
    </row>
    <row r="60" spans="1:13" ht="20.100000000000001" customHeight="1" x14ac:dyDescent="0.4">
      <c r="B60" s="794"/>
      <c r="C60" s="794"/>
      <c r="D60" s="794"/>
      <c r="E60" s="812">
        <f>IF(NeoBerInfB!D36=1,NeoBerInfB!K45,"")</f>
        <v>0</v>
      </c>
      <c r="F60" s="794" t="str">
        <f>IF(E60&lt;&gt;"","ml","")</f>
        <v>ml</v>
      </c>
      <c r="G60" s="812" t="str">
        <f>IF(NeoBerInfB!D36=2,NeoBerInfB!K45,"")</f>
        <v/>
      </c>
      <c r="H60" s="794" t="str">
        <f>IF(G60&lt;&gt;"","ml","")</f>
        <v/>
      </c>
      <c r="I60" s="812" t="str">
        <f>IF(NeoBerInfB!D36=3,NeoBerInfB!K45,"")</f>
        <v/>
      </c>
      <c r="J60" s="794" t="str">
        <f>IF(I60&lt;&gt;"","ml","")</f>
        <v/>
      </c>
      <c r="K60" s="795"/>
      <c r="L60" s="795"/>
      <c r="M60" s="795"/>
    </row>
    <row r="63" spans="1:13" ht="15.95" customHeight="1" x14ac:dyDescent="0.35">
      <c r="B63" s="773"/>
      <c r="C63" s="773"/>
      <c r="D63" s="773"/>
      <c r="E63" s="773"/>
      <c r="F63" s="773"/>
      <c r="G63" s="773"/>
      <c r="H63" s="773"/>
      <c r="I63" s="773"/>
      <c r="J63" s="773"/>
      <c r="K63" s="279"/>
      <c r="L63" s="279"/>
      <c r="M63" s="279"/>
    </row>
    <row r="64" spans="1:13" ht="15.95" customHeight="1" x14ac:dyDescent="0.35">
      <c r="A64" s="813"/>
      <c r="B64" s="814" t="s">
        <v>128</v>
      </c>
      <c r="C64" s="815"/>
      <c r="D64" s="815"/>
      <c r="E64" s="815"/>
      <c r="F64" s="815"/>
      <c r="G64" s="815"/>
      <c r="H64" s="815"/>
      <c r="I64" s="815"/>
      <c r="J64" s="815"/>
      <c r="K64" s="279"/>
      <c r="L64" s="279"/>
      <c r="M64" s="279"/>
    </row>
    <row r="65" spans="1:10" ht="12.85" x14ac:dyDescent="0.35">
      <c r="A65" s="816"/>
      <c r="B65" s="816"/>
      <c r="C65" s="767" t="s">
        <v>402</v>
      </c>
      <c r="D65" s="76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767"/>
      <c r="F65" s="767"/>
      <c r="G65" s="767"/>
      <c r="H65" s="767"/>
      <c r="I65" s="767"/>
      <c r="J65" s="767"/>
    </row>
    <row r="66" spans="1:10" s="818" customFormat="1" ht="12.85" x14ac:dyDescent="0.3">
      <c r="A66" s="817"/>
      <c r="B66" s="817"/>
      <c r="C66" s="767" t="s">
        <v>768</v>
      </c>
      <c r="D66" s="76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767"/>
      <c r="F66" s="767"/>
      <c r="G66" s="767"/>
      <c r="H66" s="767"/>
      <c r="I66" s="767"/>
      <c r="J66" s="767"/>
    </row>
    <row r="67" spans="1:10" s="818" customFormat="1" ht="12.85" x14ac:dyDescent="0.3">
      <c r="A67" s="817"/>
      <c r="B67" s="817"/>
      <c r="C67" s="767" t="s">
        <v>769</v>
      </c>
      <c r="D67" s="76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767"/>
      <c r="F67" s="767"/>
      <c r="G67" s="767"/>
      <c r="H67" s="767"/>
      <c r="I67" s="767"/>
      <c r="J67" s="767"/>
    </row>
    <row r="68" spans="1:10" s="818" customFormat="1" ht="12.85" x14ac:dyDescent="0.3">
      <c r="A68" s="817"/>
      <c r="B68" s="817"/>
      <c r="C68" s="767" t="s">
        <v>770</v>
      </c>
      <c r="D68" s="76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767"/>
      <c r="F68" s="767"/>
      <c r="G68" s="767"/>
      <c r="H68" s="767"/>
      <c r="I68" s="767"/>
      <c r="J68" s="767"/>
    </row>
    <row r="69" spans="1:10" s="818" customFormat="1" ht="12.85" x14ac:dyDescent="0.3">
      <c r="A69" s="817"/>
      <c r="B69" s="817"/>
      <c r="C69" s="767" t="s">
        <v>160</v>
      </c>
      <c r="D69" s="76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767"/>
      <c r="F69" s="767"/>
      <c r="G69" s="767"/>
      <c r="H69" s="767"/>
      <c r="I69" s="767"/>
      <c r="J69" s="767"/>
    </row>
    <row r="70" spans="1:10" s="818" customFormat="1" ht="12.85" x14ac:dyDescent="0.3">
      <c r="A70" s="817"/>
      <c r="B70" s="817"/>
      <c r="C70" s="767" t="s">
        <v>771</v>
      </c>
      <c r="D70" s="76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767"/>
      <c r="F70" s="767"/>
      <c r="G70" s="767"/>
      <c r="H70" s="767"/>
      <c r="I70" s="767"/>
      <c r="J70" s="767"/>
    </row>
    <row r="71" spans="1:10" s="818" customFormat="1" ht="12.85" x14ac:dyDescent="0.3">
      <c r="A71" s="817"/>
      <c r="B71" s="817"/>
      <c r="C71" s="767" t="s">
        <v>1179</v>
      </c>
      <c r="D71" s="76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767"/>
      <c r="F71" s="767"/>
      <c r="G71" s="767"/>
      <c r="H71" s="767"/>
      <c r="I71" s="767"/>
      <c r="J71" s="767"/>
    </row>
    <row r="72" spans="1:10" s="818" customFormat="1" ht="12.85" x14ac:dyDescent="0.3">
      <c r="A72" s="817"/>
      <c r="B72" s="817"/>
      <c r="C72" s="767" t="s">
        <v>1181</v>
      </c>
      <c r="D72" s="76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767"/>
      <c r="F72" s="767"/>
      <c r="G72" s="767"/>
      <c r="H72" s="767"/>
      <c r="I72" s="767"/>
      <c r="J72" s="767"/>
    </row>
    <row r="73" spans="1:10" s="818" customFormat="1" ht="12.85" x14ac:dyDescent="0.3">
      <c r="A73" s="817"/>
      <c r="B73" s="817"/>
      <c r="C73" s="767" t="s">
        <v>1180</v>
      </c>
      <c r="D73" s="76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767"/>
      <c r="F73" s="767"/>
      <c r="G73" s="767"/>
      <c r="H73" s="767"/>
      <c r="I73" s="767"/>
      <c r="J73" s="767"/>
    </row>
    <row r="74" spans="1:10" ht="15.95" customHeight="1" x14ac:dyDescent="0.35">
      <c r="A74" s="816"/>
      <c r="B74" s="816"/>
      <c r="C74" s="767" t="s">
        <v>313</v>
      </c>
      <c r="D74" s="944" t="str">
        <f>IF(_Neo_Lab_Opm=0,"",_Neo_Lab_Opm)</f>
        <v/>
      </c>
      <c r="E74" s="944"/>
      <c r="F74" s="944"/>
      <c r="G74" s="944"/>
      <c r="H74" s="944"/>
      <c r="I74" s="944"/>
      <c r="J74" s="944"/>
    </row>
    <row r="75" spans="1:10" ht="15.95" customHeight="1" x14ac:dyDescent="0.35">
      <c r="A75" s="815"/>
      <c r="B75" s="815"/>
      <c r="C75" s="819"/>
      <c r="D75" s="945"/>
      <c r="E75" s="945"/>
      <c r="F75" s="945"/>
      <c r="G75" s="945"/>
      <c r="H75" s="945"/>
      <c r="I75" s="945"/>
      <c r="J75" s="945"/>
    </row>
  </sheetData>
  <sheetProtection algorithmName="SHA-512" hashValue="VwMimpSpsDCGlAZU5U2VOvS79SFBG/Adk8mvYcMMS3FjnjgaW6ApcUvVgleJiOhdcSBpZ8nt5Dy+kjcpTmrHwA==" saltValue="JxOuYuy+BYO533f5MH6iVQ==" spinCount="10000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82" activePane="bottomRight" state="frozenSplit"/>
      <selection activeCell="J34" sqref="J34"/>
      <selection pane="topRight" activeCell="J34" sqref="J34"/>
      <selection pane="bottomLeft" activeCell="J34" sqref="J34"/>
      <selection pane="bottomRight" activeCell="B95" sqref="B95"/>
    </sheetView>
  </sheetViews>
  <sheetFormatPr defaultColWidth="9.1328125" defaultRowHeight="12.85" x14ac:dyDescent="0.35"/>
  <cols>
    <col min="1" max="1" width="40.1328125" style="219" customWidth="1"/>
    <col min="2" max="3" width="13.86328125" style="219" customWidth="1"/>
    <col min="4" max="4" width="11.73046875" style="219" customWidth="1"/>
    <col min="5" max="5" width="10.73046875" style="219" customWidth="1"/>
    <col min="6" max="6" width="10" style="219" customWidth="1"/>
    <col min="7" max="7" width="10.73046875" style="219" bestFit="1" customWidth="1"/>
    <col min="8" max="8" width="12.3984375" style="219" bestFit="1" customWidth="1"/>
    <col min="9" max="11" width="9.1328125" style="219"/>
    <col min="12" max="12" width="13.265625" style="219" bestFit="1" customWidth="1"/>
    <col min="13" max="16384" width="9.1328125" style="219"/>
  </cols>
  <sheetData>
    <row r="1" spans="1:24" x14ac:dyDescent="0.35">
      <c r="A1" s="434" t="s">
        <v>28</v>
      </c>
      <c r="B1" s="219" t="s">
        <v>318</v>
      </c>
      <c r="C1" s="219" t="s">
        <v>662</v>
      </c>
      <c r="E1" s="219" t="s">
        <v>200</v>
      </c>
      <c r="J1" s="219" t="s">
        <v>558</v>
      </c>
      <c r="K1" s="219" t="s">
        <v>333</v>
      </c>
      <c r="L1" s="219" t="s">
        <v>246</v>
      </c>
      <c r="M1" s="219" t="s">
        <v>247</v>
      </c>
      <c r="N1" s="219" t="s">
        <v>248</v>
      </c>
      <c r="O1" s="219" t="s">
        <v>249</v>
      </c>
      <c r="P1" s="219" t="s">
        <v>581</v>
      </c>
      <c r="Q1" s="219" t="s">
        <v>244</v>
      </c>
      <c r="R1" s="219" t="s">
        <v>582</v>
      </c>
      <c r="S1" s="219" t="s">
        <v>583</v>
      </c>
      <c r="T1" s="219" t="s">
        <v>584</v>
      </c>
      <c r="U1" s="219" t="s">
        <v>635</v>
      </c>
      <c r="V1" s="219" t="s">
        <v>593</v>
      </c>
      <c r="W1" s="219" t="s">
        <v>612</v>
      </c>
      <c r="X1" s="219" t="s">
        <v>663</v>
      </c>
    </row>
    <row r="2" spans="1:24" x14ac:dyDescent="0.35">
      <c r="A2" s="219" t="s">
        <v>548</v>
      </c>
      <c r="B2" s="219">
        <f>__1_Bed</f>
        <v>0</v>
      </c>
    </row>
    <row r="3" spans="1:24" x14ac:dyDescent="0.35">
      <c r="A3" s="219" t="s">
        <v>597</v>
      </c>
      <c r="B3" s="378">
        <f>__4_GebDatum</f>
        <v>0</v>
      </c>
      <c r="C3" s="373">
        <v>0</v>
      </c>
      <c r="E3" s="219" t="s">
        <v>664</v>
      </c>
      <c r="F3" s="219">
        <f>__0_PatNum</f>
        <v>0</v>
      </c>
    </row>
    <row r="4" spans="1:24" x14ac:dyDescent="0.35">
      <c r="A4" s="219" t="s">
        <v>568</v>
      </c>
      <c r="B4" s="381">
        <f>_Pat_Gewicht/10</f>
        <v>10</v>
      </c>
      <c r="C4" s="236" t="s">
        <v>665</v>
      </c>
      <c r="D4" s="377">
        <v>30</v>
      </c>
    </row>
    <row r="5" spans="1:24" x14ac:dyDescent="0.35">
      <c r="A5" s="219" t="s">
        <v>326</v>
      </c>
      <c r="B5" s="378">
        <f>_Pat_OpnDatum</f>
        <v>42370</v>
      </c>
      <c r="C5" s="236" t="s">
        <v>666</v>
      </c>
      <c r="D5" s="377">
        <v>0</v>
      </c>
    </row>
    <row r="6" spans="1:24" x14ac:dyDescent="0.35">
      <c r="A6" s="434" t="s">
        <v>667</v>
      </c>
      <c r="B6" s="373">
        <f ca="1">TODAY()-B3+1+C3</f>
        <v>42740</v>
      </c>
      <c r="C6" s="219">
        <f ca="1">IF(B6&lt;7,B6,6)</f>
        <v>6</v>
      </c>
    </row>
    <row r="7" spans="1:24" x14ac:dyDescent="0.35">
      <c r="A7" s="219" t="s">
        <v>200</v>
      </c>
    </row>
    <row r="8" spans="1:24" x14ac:dyDescent="0.35">
      <c r="A8" s="219" t="s">
        <v>601</v>
      </c>
    </row>
    <row r="9" spans="1:24" x14ac:dyDescent="0.35">
      <c r="A9" s="219" t="s">
        <v>668</v>
      </c>
    </row>
    <row r="10" spans="1:24" x14ac:dyDescent="0.35">
      <c r="A10" s="219" t="s">
        <v>317</v>
      </c>
      <c r="D10" s="219">
        <v>0</v>
      </c>
    </row>
    <row r="11" spans="1:24" x14ac:dyDescent="0.35">
      <c r="A11" s="219" t="s">
        <v>604</v>
      </c>
      <c r="D11" s="219">
        <v>0</v>
      </c>
      <c r="L11" s="219">
        <v>2</v>
      </c>
      <c r="M11" s="219">
        <v>3</v>
      </c>
      <c r="N11" s="219">
        <v>4</v>
      </c>
      <c r="O11" s="219">
        <v>5</v>
      </c>
      <c r="P11" s="219">
        <v>6</v>
      </c>
      <c r="Q11" s="219">
        <v>7</v>
      </c>
      <c r="R11" s="219">
        <v>8</v>
      </c>
      <c r="S11" s="219">
        <v>9</v>
      </c>
      <c r="T11" s="219">
        <v>10</v>
      </c>
      <c r="U11" s="219">
        <v>11</v>
      </c>
      <c r="V11" s="219">
        <v>12</v>
      </c>
    </row>
    <row r="12" spans="1:24" x14ac:dyDescent="0.35">
      <c r="A12" s="219" t="s">
        <v>317</v>
      </c>
      <c r="D12" s="219">
        <v>0</v>
      </c>
    </row>
    <row r="13" spans="1:24" x14ac:dyDescent="0.35">
      <c r="A13" s="219" t="s">
        <v>604</v>
      </c>
      <c r="D13" s="219">
        <v>0</v>
      </c>
    </row>
    <row r="14" spans="1:24" x14ac:dyDescent="0.35">
      <c r="A14" s="219" t="s">
        <v>305</v>
      </c>
      <c r="D14" s="219">
        <v>7</v>
      </c>
      <c r="J14" s="219">
        <v>2</v>
      </c>
      <c r="K14" s="219">
        <f>IF(AND(_Neo_InfB_VochtExtra_01=2,_Neo_InfB_Voeding&gt;1),(D10*D11+D12*D13)/10,0)</f>
        <v>0</v>
      </c>
      <c r="L14" s="219">
        <f t="shared" ref="L14:V14" si="0">INDEX(tbl_Neo_Pos,$D$14,L11)*$K$14</f>
        <v>0</v>
      </c>
      <c r="M14" s="219">
        <f t="shared" si="0"/>
        <v>0</v>
      </c>
      <c r="N14" s="219">
        <f t="shared" si="0"/>
        <v>0</v>
      </c>
      <c r="O14" s="219">
        <f t="shared" si="0"/>
        <v>0</v>
      </c>
      <c r="P14" s="219">
        <f t="shared" si="0"/>
        <v>0</v>
      </c>
      <c r="Q14" s="219">
        <f t="shared" si="0"/>
        <v>0</v>
      </c>
      <c r="R14" s="219">
        <f t="shared" si="0"/>
        <v>0</v>
      </c>
      <c r="S14" s="219">
        <f t="shared" si="0"/>
        <v>0</v>
      </c>
      <c r="T14" s="219">
        <f t="shared" si="0"/>
        <v>0</v>
      </c>
      <c r="U14" s="219">
        <f t="shared" si="0"/>
        <v>0</v>
      </c>
      <c r="V14" s="219">
        <f t="shared" si="0"/>
        <v>0</v>
      </c>
    </row>
    <row r="15" spans="1:24" x14ac:dyDescent="0.35">
      <c r="A15" s="219" t="s">
        <v>603</v>
      </c>
      <c r="B15" s="219">
        <v>2</v>
      </c>
    </row>
    <row r="16" spans="1:24" x14ac:dyDescent="0.35">
      <c r="A16" s="219" t="s">
        <v>669</v>
      </c>
      <c r="B16" s="219">
        <f ca="1">IF(AND(D4&lt;37,(_Pat_Gewicht/10)&gt;=1),INDEX(NeoBerAdvies!B4:G4,1,NeoBerInfB!C6),IF((_Pat_Gewicht/10)&lt;1,INDEX(NeoBerAdvies!B5:G5,1,NeoBerInfB!C6),INDEX(NeoBerAdvies!B6:G6,1,NeoBerInfB!C6)))+IF(B15=1,20,0)</f>
        <v>150</v>
      </c>
      <c r="C16" s="219">
        <f ca="1">ROUND(B16/5,0)*5+(D16-5000)</f>
        <v>150</v>
      </c>
      <c r="D16" s="219">
        <v>5000</v>
      </c>
    </row>
    <row r="17" spans="1:24" x14ac:dyDescent="0.35">
      <c r="A17" s="219" t="s">
        <v>670</v>
      </c>
      <c r="B17" s="219" t="b">
        <v>0</v>
      </c>
      <c r="C17" s="219">
        <f ca="1">ROUND(C16*(_Pat_Gewicht/10)-K14,0)</f>
        <v>1500</v>
      </c>
    </row>
    <row r="18" spans="1:24" x14ac:dyDescent="0.35">
      <c r="A18" s="219" t="s">
        <v>777</v>
      </c>
      <c r="B18" s="219">
        <v>0</v>
      </c>
      <c r="J18" s="219" t="b">
        <v>0</v>
      </c>
      <c r="K18" s="219">
        <f>IF(J18,0,B18*2.4)</f>
        <v>0</v>
      </c>
      <c r="L18" s="219">
        <f>0.155*K18/2</f>
        <v>0</v>
      </c>
    </row>
    <row r="19" spans="1:24" x14ac:dyDescent="0.35">
      <c r="B19" s="219" t="s">
        <v>632</v>
      </c>
      <c r="C19" s="219" t="s">
        <v>671</v>
      </c>
      <c r="D19" s="219" t="s">
        <v>672</v>
      </c>
      <c r="E19" s="219" t="s">
        <v>165</v>
      </c>
      <c r="F19" s="219" t="s">
        <v>52</v>
      </c>
      <c r="G19" s="219" t="s">
        <v>354</v>
      </c>
      <c r="H19" s="219" t="s">
        <v>674</v>
      </c>
      <c r="I19" s="219" t="s">
        <v>634</v>
      </c>
    </row>
    <row r="20" spans="1:24" x14ac:dyDescent="0.35">
      <c r="A20" s="219" t="s">
        <v>675</v>
      </c>
      <c r="B20" s="219">
        <v>1</v>
      </c>
      <c r="C20" s="219">
        <v>0</v>
      </c>
      <c r="D20" s="219">
        <v>0</v>
      </c>
      <c r="E20" s="219">
        <v>1</v>
      </c>
      <c r="F20" s="219">
        <v>0</v>
      </c>
      <c r="G20" s="219">
        <f>IF(INDEX(tbl_Neo_MedIV,NeoBerInfB!B20,5)=0,1,INDEX(tbl_Neo_MedIV,NeoBerInfB!B20,5))</f>
        <v>1</v>
      </c>
      <c r="H20" s="219">
        <f t="shared" ref="H20:H28" si="1">IF(D20&gt;0,(F20*IF(X20*10&gt;=24,2.4,2.4)*((C20/10)/D20))/($B$4)/I20,0)</f>
        <v>0</v>
      </c>
      <c r="I20" s="219">
        <f>IF(NeoBerInfB!G20&gt;1,INDEX(NeoTblLijst!$K$3:$K$11,NeoBerInfB!G20),1)</f>
        <v>1</v>
      </c>
      <c r="J20" s="219">
        <v>0</v>
      </c>
      <c r="K20" s="219">
        <f t="shared" ref="K20:K31" si="2">IF(J20,0,F20*2.4)</f>
        <v>0</v>
      </c>
      <c r="L20" s="219">
        <f t="shared" ref="L20:L31" si="3">IF($E20&gt;1,INDEX(tbl_Neo_Opl,$E20,3),0)*$K20</f>
        <v>0</v>
      </c>
      <c r="M20" s="219">
        <f t="shared" ref="M20:M31" si="4">IF($E20&gt;1,INDEX(tbl_Neo_Opl,$E20,4),0)*$K20</f>
        <v>0</v>
      </c>
      <c r="N20" s="219">
        <f t="shared" ref="N20:N31" si="5">IF($E20&gt;1,INDEX(tbl_Neo_Opl,$E20,6),0)*$K20</f>
        <v>0</v>
      </c>
      <c r="O20" s="219">
        <f t="shared" ref="O20:O31" si="6">IF($E20&gt;1,INDEX(tbl_Neo_Opl,$E20,7),0)*$K20</f>
        <v>0</v>
      </c>
      <c r="P20" s="219">
        <f t="shared" ref="P20:P31" si="7">IF($E20&gt;1,INDEX(tbl_Neo_Opl,$E20,8),0)*$K20</f>
        <v>0</v>
      </c>
      <c r="Q20" s="219">
        <f t="shared" ref="Q20:Q31" si="8">IF($E20&gt;1,INDEX(tbl_Neo_Opl,$E20,5),0)*$K20</f>
        <v>0</v>
      </c>
      <c r="R20" s="219">
        <f t="shared" ref="R20:R31" si="9">IF($E20&gt;1,INDEX(tbl_Neo_Opl,$E20,2),0)*$K20</f>
        <v>0</v>
      </c>
      <c r="W20" s="219">
        <f>ROUND(IF(X20*10&gt;1,X20*10,X20*600),0)</f>
        <v>0</v>
      </c>
      <c r="X20" s="219">
        <f t="shared" ref="X20:X31" si="10">IF(F20&gt;0,D20/F20,0)</f>
        <v>0</v>
      </c>
    </row>
    <row r="21" spans="1:24" x14ac:dyDescent="0.35">
      <c r="A21" s="219" t="s">
        <v>676</v>
      </c>
      <c r="B21" s="219">
        <v>1</v>
      </c>
      <c r="C21" s="219">
        <v>0</v>
      </c>
      <c r="D21" s="219">
        <v>0</v>
      </c>
      <c r="E21" s="219">
        <v>1</v>
      </c>
      <c r="F21" s="219">
        <v>0</v>
      </c>
      <c r="G21" s="219">
        <f>IF(INDEX(tbl_Neo_MedIV,NeoBerInfB!B21,5)=0,1,INDEX(tbl_Neo_MedIV,NeoBerInfB!B21,5))</f>
        <v>1</v>
      </c>
      <c r="H21" s="219">
        <f t="shared" si="1"/>
        <v>0</v>
      </c>
      <c r="I21" s="607">
        <f>IF(NeoBerInfB!G21&gt;1,INDEX(NeoTblLijst!$K$3:$K$11,NeoBerInfB!G21),1)</f>
        <v>1</v>
      </c>
      <c r="J21" s="219">
        <v>0</v>
      </c>
      <c r="K21" s="219">
        <f t="shared" si="2"/>
        <v>0</v>
      </c>
      <c r="L21" s="219">
        <f t="shared" si="3"/>
        <v>0</v>
      </c>
      <c r="M21" s="219">
        <f t="shared" si="4"/>
        <v>0</v>
      </c>
      <c r="N21" s="219">
        <f t="shared" si="5"/>
        <v>0</v>
      </c>
      <c r="O21" s="219">
        <f t="shared" si="6"/>
        <v>0</v>
      </c>
      <c r="P21" s="219">
        <f t="shared" si="7"/>
        <v>0</v>
      </c>
      <c r="Q21" s="219">
        <f t="shared" si="8"/>
        <v>0</v>
      </c>
      <c r="R21" s="219">
        <f t="shared" si="9"/>
        <v>0</v>
      </c>
      <c r="W21" s="219">
        <f t="shared" ref="W21:W28" si="11">ROUND(IF(X21*10&gt;1,X21*10,X21*600),0)</f>
        <v>0</v>
      </c>
      <c r="X21" s="219">
        <f t="shared" si="10"/>
        <v>0</v>
      </c>
    </row>
    <row r="22" spans="1:24" x14ac:dyDescent="0.35">
      <c r="A22" s="219" t="s">
        <v>677</v>
      </c>
      <c r="B22" s="219">
        <v>1</v>
      </c>
      <c r="C22" s="219">
        <v>0</v>
      </c>
      <c r="D22" s="219">
        <v>0</v>
      </c>
      <c r="E22" s="219">
        <v>1</v>
      </c>
      <c r="F22" s="219">
        <v>0</v>
      </c>
      <c r="G22" s="219">
        <f>IF(INDEX(tbl_Neo_MedIV,NeoBerInfB!B22,5)=0,1,INDEX(tbl_Neo_MedIV,NeoBerInfB!B22,5))</f>
        <v>1</v>
      </c>
      <c r="H22" s="219">
        <f t="shared" si="1"/>
        <v>0</v>
      </c>
      <c r="I22" s="607">
        <f>IF(NeoBerInfB!G22&gt;1,INDEX(NeoTblLijst!$K$3:$K$11,NeoBerInfB!G22),1)</f>
        <v>1</v>
      </c>
      <c r="J22" s="219">
        <v>0</v>
      </c>
      <c r="K22" s="219">
        <f t="shared" si="2"/>
        <v>0</v>
      </c>
      <c r="L22" s="219">
        <f t="shared" si="3"/>
        <v>0</v>
      </c>
      <c r="M22" s="219">
        <f t="shared" si="4"/>
        <v>0</v>
      </c>
      <c r="N22" s="219">
        <f t="shared" si="5"/>
        <v>0</v>
      </c>
      <c r="O22" s="219">
        <f t="shared" si="6"/>
        <v>0</v>
      </c>
      <c r="P22" s="219">
        <f t="shared" si="7"/>
        <v>0</v>
      </c>
      <c r="Q22" s="219">
        <f t="shared" si="8"/>
        <v>0</v>
      </c>
      <c r="R22" s="219">
        <f t="shared" si="9"/>
        <v>0</v>
      </c>
      <c r="W22" s="219">
        <f t="shared" si="11"/>
        <v>0</v>
      </c>
      <c r="X22" s="219">
        <f t="shared" si="10"/>
        <v>0</v>
      </c>
    </row>
    <row r="23" spans="1:24" x14ac:dyDescent="0.35">
      <c r="A23" s="219" t="s">
        <v>678</v>
      </c>
      <c r="B23" s="219">
        <v>1</v>
      </c>
      <c r="C23" s="219">
        <v>0</v>
      </c>
      <c r="D23" s="219">
        <v>0</v>
      </c>
      <c r="E23" s="219">
        <v>1</v>
      </c>
      <c r="F23" s="219">
        <v>0</v>
      </c>
      <c r="G23" s="219">
        <f>IF(INDEX(tbl_Neo_MedIV,NeoBerInfB!B23,5)=0,1,INDEX(tbl_Neo_MedIV,NeoBerInfB!B23,5))</f>
        <v>1</v>
      </c>
      <c r="H23" s="219">
        <f t="shared" si="1"/>
        <v>0</v>
      </c>
      <c r="I23" s="607">
        <f>IF(NeoBerInfB!G23&gt;1,INDEX(NeoTblLijst!$K$3:$K$11,NeoBerInfB!G23),1)</f>
        <v>1</v>
      </c>
      <c r="J23" s="219">
        <v>0</v>
      </c>
      <c r="K23" s="219">
        <f t="shared" si="2"/>
        <v>0</v>
      </c>
      <c r="L23" s="219">
        <f t="shared" si="3"/>
        <v>0</v>
      </c>
      <c r="M23" s="219">
        <f t="shared" si="4"/>
        <v>0</v>
      </c>
      <c r="N23" s="219">
        <f t="shared" si="5"/>
        <v>0</v>
      </c>
      <c r="O23" s="219">
        <f t="shared" si="6"/>
        <v>0</v>
      </c>
      <c r="P23" s="219">
        <f t="shared" si="7"/>
        <v>0</v>
      </c>
      <c r="Q23" s="219">
        <f t="shared" si="8"/>
        <v>0</v>
      </c>
      <c r="R23" s="219">
        <f t="shared" si="9"/>
        <v>0</v>
      </c>
      <c r="W23" s="219">
        <f t="shared" si="11"/>
        <v>0</v>
      </c>
      <c r="X23" s="219">
        <f t="shared" si="10"/>
        <v>0</v>
      </c>
    </row>
    <row r="24" spans="1:24" x14ac:dyDescent="0.35">
      <c r="A24" s="219" t="s">
        <v>679</v>
      </c>
      <c r="B24" s="219">
        <v>1</v>
      </c>
      <c r="C24" s="219">
        <v>0</v>
      </c>
      <c r="D24" s="219">
        <v>0</v>
      </c>
      <c r="E24" s="219">
        <v>1</v>
      </c>
      <c r="F24" s="219">
        <v>0</v>
      </c>
      <c r="G24" s="219">
        <f>IF(INDEX(tbl_Neo_MedIV,NeoBerInfB!B24,5)=0,1,INDEX(tbl_Neo_MedIV,NeoBerInfB!B24,5))</f>
        <v>1</v>
      </c>
      <c r="H24" s="219">
        <f t="shared" si="1"/>
        <v>0</v>
      </c>
      <c r="I24" s="607">
        <f>IF(NeoBerInfB!G24&gt;1,INDEX(NeoTblLijst!$K$3:$K$11,NeoBerInfB!G24),1)</f>
        <v>1</v>
      </c>
      <c r="J24" s="219">
        <v>0</v>
      </c>
      <c r="K24" s="219">
        <f t="shared" si="2"/>
        <v>0</v>
      </c>
      <c r="L24" s="219">
        <f t="shared" si="3"/>
        <v>0</v>
      </c>
      <c r="M24" s="219">
        <f t="shared" si="4"/>
        <v>0</v>
      </c>
      <c r="N24" s="219">
        <f t="shared" si="5"/>
        <v>0</v>
      </c>
      <c r="O24" s="219">
        <f t="shared" si="6"/>
        <v>0</v>
      </c>
      <c r="P24" s="219">
        <f t="shared" si="7"/>
        <v>0</v>
      </c>
      <c r="Q24" s="219">
        <f t="shared" si="8"/>
        <v>0</v>
      </c>
      <c r="R24" s="219">
        <f t="shared" si="9"/>
        <v>0</v>
      </c>
      <c r="W24" s="219">
        <f t="shared" si="11"/>
        <v>0</v>
      </c>
      <c r="X24" s="219">
        <f t="shared" si="10"/>
        <v>0</v>
      </c>
    </row>
    <row r="25" spans="1:24" x14ac:dyDescent="0.35">
      <c r="A25" s="219" t="s">
        <v>680</v>
      </c>
      <c r="B25" s="219">
        <v>1</v>
      </c>
      <c r="C25" s="219">
        <v>0</v>
      </c>
      <c r="D25" s="219">
        <v>0</v>
      </c>
      <c r="E25" s="219">
        <v>1</v>
      </c>
      <c r="F25" s="219">
        <v>0</v>
      </c>
      <c r="G25" s="219">
        <f>IF(INDEX(tbl_Neo_MedIV,NeoBerInfB!B25,5)=0,1,INDEX(tbl_Neo_MedIV,NeoBerInfB!B25,5))</f>
        <v>1</v>
      </c>
      <c r="H25" s="219">
        <f t="shared" si="1"/>
        <v>0</v>
      </c>
      <c r="I25" s="607">
        <f>IF(NeoBerInfB!G25&gt;1,INDEX(NeoTblLijst!$K$3:$K$11,NeoBerInfB!G25),1)</f>
        <v>1</v>
      </c>
      <c r="J25" s="219">
        <v>0</v>
      </c>
      <c r="K25" s="219">
        <f t="shared" si="2"/>
        <v>0</v>
      </c>
      <c r="L25" s="219">
        <f t="shared" si="3"/>
        <v>0</v>
      </c>
      <c r="M25" s="219">
        <f t="shared" si="4"/>
        <v>0</v>
      </c>
      <c r="N25" s="219">
        <f t="shared" si="5"/>
        <v>0</v>
      </c>
      <c r="O25" s="219">
        <f t="shared" si="6"/>
        <v>0</v>
      </c>
      <c r="P25" s="219">
        <f t="shared" si="7"/>
        <v>0</v>
      </c>
      <c r="Q25" s="219">
        <f t="shared" si="8"/>
        <v>0</v>
      </c>
      <c r="R25" s="219">
        <f t="shared" si="9"/>
        <v>0</v>
      </c>
      <c r="W25" s="219">
        <f t="shared" si="11"/>
        <v>0</v>
      </c>
      <c r="X25" s="219">
        <f t="shared" si="10"/>
        <v>0</v>
      </c>
    </row>
    <row r="26" spans="1:24" x14ac:dyDescent="0.35">
      <c r="A26" s="219" t="s">
        <v>681</v>
      </c>
      <c r="B26" s="219">
        <v>1</v>
      </c>
      <c r="C26" s="219">
        <v>0</v>
      </c>
      <c r="D26" s="219">
        <v>0</v>
      </c>
      <c r="E26" s="219">
        <v>1</v>
      </c>
      <c r="F26" s="219">
        <v>0</v>
      </c>
      <c r="G26" s="219">
        <f>IF(INDEX(tbl_Neo_MedIV,NeoBerInfB!B26,5)=0,1,INDEX(tbl_Neo_MedIV,NeoBerInfB!B26,5))</f>
        <v>1</v>
      </c>
      <c r="H26" s="219">
        <f t="shared" si="1"/>
        <v>0</v>
      </c>
      <c r="I26" s="607">
        <f>IF(NeoBerInfB!G26&gt;1,INDEX(NeoTblLijst!$K$3:$K$11,NeoBerInfB!G26),1)</f>
        <v>1</v>
      </c>
      <c r="J26" s="219">
        <v>0</v>
      </c>
      <c r="K26" s="219">
        <f t="shared" si="2"/>
        <v>0</v>
      </c>
      <c r="L26" s="219">
        <f t="shared" si="3"/>
        <v>0</v>
      </c>
      <c r="M26" s="219">
        <f t="shared" si="4"/>
        <v>0</v>
      </c>
      <c r="N26" s="219">
        <f t="shared" si="5"/>
        <v>0</v>
      </c>
      <c r="O26" s="219">
        <f t="shared" si="6"/>
        <v>0</v>
      </c>
      <c r="P26" s="219">
        <f t="shared" si="7"/>
        <v>0</v>
      </c>
      <c r="Q26" s="219">
        <f t="shared" si="8"/>
        <v>0</v>
      </c>
      <c r="R26" s="219">
        <f t="shared" si="9"/>
        <v>0</v>
      </c>
      <c r="W26" s="219">
        <f t="shared" si="11"/>
        <v>0</v>
      </c>
      <c r="X26" s="219">
        <f t="shared" si="10"/>
        <v>0</v>
      </c>
    </row>
    <row r="27" spans="1:24" x14ac:dyDescent="0.35">
      <c r="A27" s="219" t="s">
        <v>682</v>
      </c>
      <c r="B27" s="219">
        <v>1</v>
      </c>
      <c r="C27" s="219">
        <v>0</v>
      </c>
      <c r="D27" s="219">
        <v>0</v>
      </c>
      <c r="E27" s="219">
        <v>1</v>
      </c>
      <c r="F27" s="219">
        <v>0</v>
      </c>
      <c r="G27" s="219">
        <f>IF(INDEX(tbl_Neo_MedIV,NeoBerInfB!B27,5)=0,1,INDEX(tbl_Neo_MedIV,NeoBerInfB!B27,5))</f>
        <v>1</v>
      </c>
      <c r="H27" s="219">
        <f t="shared" si="1"/>
        <v>0</v>
      </c>
      <c r="I27" s="607">
        <f>IF(NeoBerInfB!G27&gt;1,INDEX(NeoTblLijst!$K$3:$K$11,NeoBerInfB!G27),1)</f>
        <v>1</v>
      </c>
      <c r="J27" s="219">
        <v>0</v>
      </c>
      <c r="K27" s="219">
        <f t="shared" si="2"/>
        <v>0</v>
      </c>
      <c r="L27" s="219">
        <f t="shared" si="3"/>
        <v>0</v>
      </c>
      <c r="M27" s="219">
        <f t="shared" si="4"/>
        <v>0</v>
      </c>
      <c r="N27" s="219">
        <f t="shared" si="5"/>
        <v>0</v>
      </c>
      <c r="O27" s="219">
        <f t="shared" si="6"/>
        <v>0</v>
      </c>
      <c r="P27" s="219">
        <f t="shared" si="7"/>
        <v>0</v>
      </c>
      <c r="Q27" s="219">
        <f t="shared" si="8"/>
        <v>0</v>
      </c>
      <c r="R27" s="219">
        <f t="shared" si="9"/>
        <v>0</v>
      </c>
      <c r="W27" s="219">
        <f t="shared" si="11"/>
        <v>0</v>
      </c>
      <c r="X27" s="219">
        <f t="shared" si="10"/>
        <v>0</v>
      </c>
    </row>
    <row r="28" spans="1:24" x14ac:dyDescent="0.35">
      <c r="A28" s="219" t="s">
        <v>683</v>
      </c>
      <c r="B28" s="219">
        <v>1</v>
      </c>
      <c r="C28" s="219">
        <v>0</v>
      </c>
      <c r="D28" s="219">
        <v>0</v>
      </c>
      <c r="E28" s="219">
        <v>1</v>
      </c>
      <c r="F28" s="219">
        <v>0</v>
      </c>
      <c r="G28" s="219">
        <f>IF(INDEX(tbl_Neo_MedIV,NeoBerInfB!B28,5)=0,1,INDEX(tbl_Neo_MedIV,NeoBerInfB!B28,5))</f>
        <v>1</v>
      </c>
      <c r="H28" s="219">
        <f t="shared" si="1"/>
        <v>0</v>
      </c>
      <c r="I28" s="607">
        <f>IF(NeoBerInfB!G28&gt;1,INDEX(NeoTblLijst!$K$3:$K$11,NeoBerInfB!G28),1)</f>
        <v>1</v>
      </c>
      <c r="J28" s="219">
        <v>0</v>
      </c>
      <c r="K28" s="219">
        <f t="shared" si="2"/>
        <v>0</v>
      </c>
      <c r="L28" s="219">
        <f t="shared" si="3"/>
        <v>0</v>
      </c>
      <c r="M28" s="219">
        <f t="shared" si="4"/>
        <v>0</v>
      </c>
      <c r="N28" s="219">
        <f t="shared" si="5"/>
        <v>0</v>
      </c>
      <c r="O28" s="219">
        <f t="shared" si="6"/>
        <v>0</v>
      </c>
      <c r="P28" s="219">
        <f t="shared" si="7"/>
        <v>0</v>
      </c>
      <c r="Q28" s="219">
        <f t="shared" si="8"/>
        <v>0</v>
      </c>
      <c r="R28" s="219">
        <f t="shared" si="9"/>
        <v>0</v>
      </c>
      <c r="W28" s="219">
        <f t="shared" si="11"/>
        <v>0</v>
      </c>
      <c r="X28" s="219">
        <f t="shared" si="10"/>
        <v>0</v>
      </c>
    </row>
    <row r="29" spans="1:24" x14ac:dyDescent="0.35">
      <c r="A29" s="219" t="s">
        <v>613</v>
      </c>
      <c r="E29" s="219">
        <v>0</v>
      </c>
      <c r="F29" s="219">
        <v>0</v>
      </c>
      <c r="J29" s="219" t="b">
        <v>0</v>
      </c>
      <c r="K29" s="219">
        <f t="shared" si="2"/>
        <v>0</v>
      </c>
      <c r="L29" s="219">
        <f t="shared" si="3"/>
        <v>0</v>
      </c>
      <c r="M29" s="219">
        <f t="shared" si="4"/>
        <v>0</v>
      </c>
      <c r="N29" s="219">
        <f t="shared" si="5"/>
        <v>0</v>
      </c>
      <c r="O29" s="219">
        <f t="shared" si="6"/>
        <v>0</v>
      </c>
      <c r="P29" s="219">
        <f t="shared" si="7"/>
        <v>0</v>
      </c>
      <c r="Q29" s="219">
        <f t="shared" si="8"/>
        <v>0</v>
      </c>
      <c r="R29" s="219">
        <f t="shared" si="9"/>
        <v>0</v>
      </c>
      <c r="W29" s="219">
        <f>ROUND(IF(X29*10&gt;1,X29*10,X29*600),0)</f>
        <v>0</v>
      </c>
      <c r="X29" s="219">
        <f t="shared" si="10"/>
        <v>0</v>
      </c>
    </row>
    <row r="30" spans="1:24" x14ac:dyDescent="0.35">
      <c r="A30" s="219" t="s">
        <v>614</v>
      </c>
      <c r="E30" s="219">
        <v>0</v>
      </c>
      <c r="F30" s="219">
        <v>0</v>
      </c>
      <c r="J30" s="219" t="b">
        <v>0</v>
      </c>
      <c r="K30" s="219">
        <f t="shared" si="2"/>
        <v>0</v>
      </c>
      <c r="L30" s="219">
        <f t="shared" si="3"/>
        <v>0</v>
      </c>
      <c r="M30" s="219">
        <f t="shared" si="4"/>
        <v>0</v>
      </c>
      <c r="N30" s="219">
        <f t="shared" si="5"/>
        <v>0</v>
      </c>
      <c r="O30" s="219">
        <f t="shared" si="6"/>
        <v>0</v>
      </c>
      <c r="P30" s="219">
        <f t="shared" si="7"/>
        <v>0</v>
      </c>
      <c r="Q30" s="219">
        <f t="shared" si="8"/>
        <v>0</v>
      </c>
      <c r="R30" s="219">
        <f t="shared" si="9"/>
        <v>0</v>
      </c>
      <c r="W30" s="219">
        <f>ROUND(IF(X30*10&gt;1,X30*10,X30*600),0)</f>
        <v>0</v>
      </c>
      <c r="X30" s="219">
        <f t="shared" si="10"/>
        <v>0</v>
      </c>
    </row>
    <row r="31" spans="1:24" x14ac:dyDescent="0.35">
      <c r="A31" s="219" t="s">
        <v>615</v>
      </c>
      <c r="E31" s="219">
        <v>0</v>
      </c>
      <c r="F31" s="219">
        <v>0</v>
      </c>
      <c r="J31" s="219" t="b">
        <v>0</v>
      </c>
      <c r="K31" s="219">
        <f t="shared" si="2"/>
        <v>0</v>
      </c>
      <c r="L31" s="219">
        <f t="shared" si="3"/>
        <v>0</v>
      </c>
      <c r="M31" s="219">
        <f t="shared" si="4"/>
        <v>0</v>
      </c>
      <c r="N31" s="219">
        <f t="shared" si="5"/>
        <v>0</v>
      </c>
      <c r="O31" s="219">
        <f t="shared" si="6"/>
        <v>0</v>
      </c>
      <c r="P31" s="219">
        <f t="shared" si="7"/>
        <v>0</v>
      </c>
      <c r="Q31" s="219">
        <f t="shared" si="8"/>
        <v>0</v>
      </c>
      <c r="R31" s="219">
        <f t="shared" si="9"/>
        <v>0</v>
      </c>
      <c r="W31" s="219">
        <f>ROUND(IF(X31*10&gt;1,X31*10,X31*600),0)</f>
        <v>0</v>
      </c>
      <c r="X31" s="219">
        <f t="shared" si="10"/>
        <v>0</v>
      </c>
    </row>
    <row r="32" spans="1:24" x14ac:dyDescent="0.35">
      <c r="A32" s="512" t="s">
        <v>1163</v>
      </c>
    </row>
    <row r="33" spans="1:22" x14ac:dyDescent="0.35">
      <c r="A33" s="512" t="s">
        <v>1164</v>
      </c>
    </row>
    <row r="34" spans="1:22" x14ac:dyDescent="0.35">
      <c r="B34" s="219" t="s">
        <v>684</v>
      </c>
      <c r="C34" s="219" t="s">
        <v>685</v>
      </c>
      <c r="D34" s="219" t="s">
        <v>686</v>
      </c>
      <c r="F34" s="219" t="s">
        <v>1177</v>
      </c>
    </row>
    <row r="35" spans="1:22" x14ac:dyDescent="0.35">
      <c r="A35" s="219" t="str">
        <f>INDEX(tbl_Neo_IntralipidSmof,_Neo_InfB_IntralipidSmof)</f>
        <v>Intralipid 20% (incl vitintra)</v>
      </c>
      <c r="B35" s="373">
        <f ca="1">ROUND((_Pat_Gewicht/10)*INDEX(NeoBerAdvies!$B$9:$G$16,8,NeoBerInfB!$C$6),0)</f>
        <v>120</v>
      </c>
      <c r="C35" s="219">
        <f ca="1">ROUND(IF(AND(B17,B35+(D35-5000)&gt;0),B35+(D35-5000),0),0)</f>
        <v>0</v>
      </c>
      <c r="D35" s="219">
        <v>5000</v>
      </c>
      <c r="F35" s="219">
        <v>1</v>
      </c>
      <c r="K35" s="219">
        <f ca="1">C35</f>
        <v>0</v>
      </c>
      <c r="S35" s="219">
        <f ca="1">0.2*K35*10/12</f>
        <v>0</v>
      </c>
      <c r="V35" s="219">
        <f ca="1">40*C35*2/12</f>
        <v>0</v>
      </c>
    </row>
    <row r="36" spans="1:22" x14ac:dyDescent="0.35">
      <c r="A36" s="219" t="s">
        <v>617</v>
      </c>
      <c r="B36" s="373"/>
      <c r="D36" s="219">
        <v>1</v>
      </c>
    </row>
    <row r="37" spans="1:22" x14ac:dyDescent="0.35">
      <c r="A37" s="219" t="s">
        <v>357</v>
      </c>
      <c r="B37" s="373">
        <f ca="1">ROUND((_Pat_Gewicht/10)*INDEX(NeoBerAdvies!$B$9:$G$16,2,NeoBerInfB!$C$6),0)</f>
        <v>0</v>
      </c>
      <c r="C37" s="219">
        <f ca="1">IF(AND($B$17,B37+(D37-5000)/10&gt;0),ROUND(B37+(D37-5000)/10,1),0)</f>
        <v>0</v>
      </c>
      <c r="D37" s="219">
        <v>5000</v>
      </c>
      <c r="K37" s="219">
        <f ca="1">IF(OR($D$36=1,$D$36=3),C37,0)</f>
        <v>0</v>
      </c>
      <c r="L37" s="219">
        <f ca="1">K37*0.5</f>
        <v>0</v>
      </c>
      <c r="U37" s="219">
        <f ca="1">K37*0.5</f>
        <v>0</v>
      </c>
    </row>
    <row r="38" spans="1:22" x14ac:dyDescent="0.35">
      <c r="A38" s="219" t="s">
        <v>618</v>
      </c>
      <c r="B38" s="373">
        <f ca="1">ROUND((_Pat_Gewicht/10)*INDEX(NeoBerAdvies!$B$9:$G$16,3,NeoBerInfB!$C$6),0)</f>
        <v>0</v>
      </c>
      <c r="C38" s="219">
        <f ca="1">IF(AND($B$17,B38+(D38-5000)/10&gt;0),ROUND(B38+(D38-5000)/10,1),0)</f>
        <v>0</v>
      </c>
      <c r="D38" s="219">
        <v>5000</v>
      </c>
      <c r="K38" s="219">
        <f ca="1">IF(OR($D$36=1,$D$36=3),C38,0)</f>
        <v>0</v>
      </c>
      <c r="M38" s="219">
        <f ca="1">K38</f>
        <v>0</v>
      </c>
    </row>
    <row r="39" spans="1:22" x14ac:dyDescent="0.35">
      <c r="A39" s="219" t="s">
        <v>619</v>
      </c>
      <c r="B39" s="373">
        <f ca="1">ROUND((_Pat_Gewicht/10)*INDEX(NeoBerAdvies!$B$9:$G$16,4,NeoBerInfB!$C$6),0)</f>
        <v>0</v>
      </c>
      <c r="C39" s="219">
        <f ca="1">IF(AND($B$17,B39+(D39-5000)/10&gt;0),ROUND(B39+(D39-5000)/10,1),0)</f>
        <v>0</v>
      </c>
      <c r="D39" s="219">
        <v>5000</v>
      </c>
      <c r="K39" s="219">
        <f ca="1">IF($D$36=1,C39,0)</f>
        <v>0</v>
      </c>
      <c r="N39" s="219">
        <f ca="1">K39*0.225</f>
        <v>0</v>
      </c>
      <c r="U39" s="219">
        <f ca="1">K39*0.225*2</f>
        <v>0</v>
      </c>
    </row>
    <row r="40" spans="1:22" x14ac:dyDescent="0.35">
      <c r="A40" s="219" t="s">
        <v>620</v>
      </c>
      <c r="B40" s="373">
        <f ca="1">ROUND((_Pat_Gewicht/10)*INDEX(NeoBerAdvies!$B$9:$G$16,5,NeoBerInfB!$C$6),1)</f>
        <v>0</v>
      </c>
      <c r="C40" s="219">
        <f ca="1">IF(AND($B$17,B40+(D40-5000)/10&gt;0),ROUND(B40+(D40-5000)/10,1),0)</f>
        <v>0</v>
      </c>
      <c r="D40" s="219">
        <v>5000</v>
      </c>
      <c r="K40" s="219">
        <f ca="1">IF($D$36=1,C40,0)</f>
        <v>0</v>
      </c>
      <c r="O40" s="219">
        <f ca="1">K40*0.5</f>
        <v>0</v>
      </c>
      <c r="U40" s="219">
        <f ca="1">K40*0.5*2</f>
        <v>0</v>
      </c>
    </row>
    <row r="41" spans="1:22" x14ac:dyDescent="0.35">
      <c r="A41" s="219" t="s">
        <v>217</v>
      </c>
      <c r="B41" s="373">
        <f ca="1">ROUND((_Pat_Gewicht/10)*INDEX(NeoBerAdvies!$B$9:$G$16,6,NeoBerInfB!$C$6),1)</f>
        <v>0</v>
      </c>
      <c r="C41" s="219">
        <f ca="1">IF(AND($B$17,B41+(D41-5000)/10&gt;0),ROUND(B41+(D41-5000)/10,1),0)</f>
        <v>0</v>
      </c>
      <c r="D41" s="219">
        <v>5000</v>
      </c>
      <c r="K41" s="219">
        <f ca="1">IF($D$36=1,C41,0)</f>
        <v>0</v>
      </c>
      <c r="V41" s="219">
        <f ca="1">40*C41</f>
        <v>0</v>
      </c>
    </row>
    <row r="42" spans="1:22" x14ac:dyDescent="0.35">
      <c r="A42" s="219" t="s">
        <v>575</v>
      </c>
      <c r="B42" s="373">
        <f ca="1">ROUND((_Pat_Gewicht/10)*INDEX(NeoBerAdvies!$B$9:$G$16,7,NeoBerInfB!$C$6),0)</f>
        <v>0</v>
      </c>
      <c r="C42" s="219">
        <f ca="1">IF(AND($B$17,B42+(D42-5000)&gt;0),ROUND(B42+(D42-5000),0),0)</f>
        <v>0</v>
      </c>
      <c r="D42" s="219">
        <v>5000</v>
      </c>
      <c r="K42" s="219">
        <f ca="1">IF($D$36=1,C42,0)</f>
        <v>0</v>
      </c>
      <c r="Q42" s="219">
        <f ca="1">0.1*K42</f>
        <v>0</v>
      </c>
    </row>
    <row r="43" spans="1:22" x14ac:dyDescent="0.35">
      <c r="A43" s="219" t="s">
        <v>576</v>
      </c>
      <c r="B43" s="373">
        <f ca="1">ROUND((_Pat_Gewicht/10)*INDEX(NeoBerAdvies!$B$9:$G$16,1,NeoBerInfB!$C$6),1)</f>
        <v>350</v>
      </c>
      <c r="C43" s="219">
        <f ca="1">ROUND(IF(AND($B$17,B43+(D43-5000)&gt;0),B43+(D43-5000),0),0)</f>
        <v>0</v>
      </c>
      <c r="D43" s="219">
        <v>5000</v>
      </c>
      <c r="K43" s="219">
        <f>IF(D36=2,C43,0)</f>
        <v>0</v>
      </c>
      <c r="L43" s="219">
        <f>INDEX(tbl_Neo_TpnNICU,2,L11)*$K$43</f>
        <v>0</v>
      </c>
      <c r="M43" s="219">
        <f t="shared" ref="M43:T43" si="12">INDEX(tbl_Neo_TpnNICU,2,M11)*$K$43</f>
        <v>0</v>
      </c>
      <c r="N43" s="219">
        <f t="shared" si="12"/>
        <v>0</v>
      </c>
      <c r="O43" s="219">
        <f t="shared" si="12"/>
        <v>0</v>
      </c>
      <c r="P43" s="219">
        <f t="shared" si="12"/>
        <v>0</v>
      </c>
      <c r="Q43" s="219">
        <f t="shared" si="12"/>
        <v>0</v>
      </c>
      <c r="R43" s="219">
        <f t="shared" si="12"/>
        <v>0</v>
      </c>
      <c r="S43" s="219">
        <f t="shared" si="12"/>
        <v>0</v>
      </c>
      <c r="T43" s="219">
        <f t="shared" si="12"/>
        <v>0</v>
      </c>
    </row>
    <row r="44" spans="1:22" x14ac:dyDescent="0.35">
      <c r="A44" s="219" t="s">
        <v>355</v>
      </c>
      <c r="B44" s="373">
        <f ca="1">ROUND((_Pat_Gewicht/10)*INDEX(NeoBerAdvies!$B$9:$G$16,1,NeoBerInfB!$C$6),1)</f>
        <v>350</v>
      </c>
      <c r="C44" s="219">
        <f ca="1">ROUND(IF(AND($B$17,B44+(D44-5000)&gt;0),B44+(D44-5000),0),0)</f>
        <v>0</v>
      </c>
      <c r="D44" s="219">
        <v>5000</v>
      </c>
      <c r="K44" s="219">
        <f>IF(D36=3,C44,0)</f>
        <v>0</v>
      </c>
      <c r="L44" s="219">
        <f>INDEX(tbl_Neo_TpnNICU,1,L11)*$K$44</f>
        <v>0</v>
      </c>
      <c r="M44" s="219">
        <f t="shared" ref="M44:T44" si="13">INDEX(tbl_Neo_TpnNICU,1,M11)*$K$44</f>
        <v>0</v>
      </c>
      <c r="N44" s="219">
        <f t="shared" si="13"/>
        <v>0</v>
      </c>
      <c r="O44" s="219">
        <f t="shared" si="13"/>
        <v>0</v>
      </c>
      <c r="P44" s="219">
        <f t="shared" si="13"/>
        <v>0</v>
      </c>
      <c r="Q44" s="219">
        <f t="shared" si="13"/>
        <v>0</v>
      </c>
      <c r="R44" s="219">
        <f t="shared" si="13"/>
        <v>0</v>
      </c>
      <c r="S44" s="219">
        <f t="shared" si="13"/>
        <v>0</v>
      </c>
      <c r="T44" s="219">
        <f t="shared" si="13"/>
        <v>0</v>
      </c>
    </row>
    <row r="45" spans="1:22" x14ac:dyDescent="0.35">
      <c r="A45" s="219" t="s">
        <v>687</v>
      </c>
      <c r="D45" s="219">
        <v>2</v>
      </c>
      <c r="K45" s="219">
        <f>IF(B17,ROUND(C17-SUM(K18:K44),1),0)</f>
        <v>0</v>
      </c>
      <c r="R45" s="219">
        <f>INDEX(tbl_Neo_Opl,D45+1,2)*K45</f>
        <v>0</v>
      </c>
    </row>
    <row r="47" spans="1:22" x14ac:dyDescent="0.35">
      <c r="A47" s="219" t="s">
        <v>124</v>
      </c>
      <c r="K47" s="219">
        <f ca="1">K49+K50</f>
        <v>0</v>
      </c>
      <c r="L47" s="219">
        <f t="shared" ref="L47:V47" ca="1" si="14">L49+L50</f>
        <v>0</v>
      </c>
      <c r="M47" s="219">
        <f t="shared" ca="1" si="14"/>
        <v>0</v>
      </c>
      <c r="N47" s="219">
        <f t="shared" ca="1" si="14"/>
        <v>0</v>
      </c>
      <c r="O47" s="219">
        <f t="shared" ca="1" si="14"/>
        <v>0</v>
      </c>
      <c r="P47" s="219">
        <f t="shared" si="14"/>
        <v>0</v>
      </c>
      <c r="Q47" s="219">
        <f t="shared" ca="1" si="14"/>
        <v>0</v>
      </c>
      <c r="R47" s="219">
        <f t="shared" si="14"/>
        <v>0</v>
      </c>
      <c r="S47" s="219">
        <f t="shared" ca="1" si="14"/>
        <v>0</v>
      </c>
      <c r="T47" s="219">
        <f t="shared" ca="1" si="14"/>
        <v>0</v>
      </c>
      <c r="U47" s="219">
        <f t="shared" ca="1" si="14"/>
        <v>0</v>
      </c>
      <c r="V47" s="219">
        <f t="shared" ca="1" si="14"/>
        <v>0</v>
      </c>
    </row>
    <row r="49" spans="1:22" x14ac:dyDescent="0.35">
      <c r="A49" s="219" t="s">
        <v>220</v>
      </c>
      <c r="K49" s="219">
        <f>K14</f>
        <v>0</v>
      </c>
      <c r="L49" s="219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219" t="s">
        <v>218</v>
      </c>
      <c r="K50" s="219">
        <f ca="1">SUM(K18:K45)</f>
        <v>0</v>
      </c>
      <c r="L50" s="219">
        <f t="shared" ref="L50:V50" ca="1" si="16">SUM(L18:L45)</f>
        <v>0</v>
      </c>
      <c r="M50" s="219">
        <f t="shared" ca="1" si="16"/>
        <v>0</v>
      </c>
      <c r="N50" s="219">
        <f t="shared" ca="1" si="16"/>
        <v>0</v>
      </c>
      <c r="O50" s="219">
        <f t="shared" ca="1" si="16"/>
        <v>0</v>
      </c>
      <c r="P50" s="219">
        <f t="shared" si="16"/>
        <v>0</v>
      </c>
      <c r="Q50" s="219">
        <f t="shared" ca="1" si="16"/>
        <v>0</v>
      </c>
      <c r="R50" s="219">
        <f t="shared" si="16"/>
        <v>0</v>
      </c>
      <c r="S50" s="219">
        <f t="shared" ca="1" si="16"/>
        <v>0</v>
      </c>
      <c r="T50" s="219">
        <f ca="1">S50*9+R50*4+Q50*4</f>
        <v>0</v>
      </c>
      <c r="U50" s="219">
        <f t="shared" ca="1" si="16"/>
        <v>0</v>
      </c>
      <c r="V50" s="219">
        <f t="shared" ca="1" si="16"/>
        <v>0</v>
      </c>
    </row>
    <row r="52" spans="1:22" x14ac:dyDescent="0.35">
      <c r="A52" s="219" t="s">
        <v>980</v>
      </c>
      <c r="B52" s="219">
        <v>1</v>
      </c>
      <c r="J52" s="219">
        <v>1</v>
      </c>
      <c r="K52" s="607">
        <f>INDEX(tbl_Neo_NutrBMFWaard,NeoBerInfB!J52)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219" t="s">
        <v>971</v>
      </c>
      <c r="B53" s="219">
        <v>1</v>
      </c>
      <c r="C53" s="219">
        <f>_Neo_InfB_Toevoeging_1+1</f>
        <v>2</v>
      </c>
      <c r="J53" s="219">
        <v>1</v>
      </c>
      <c r="K53" s="607">
        <f>INDEX(tbl_Neo_NutrToevWaard,NeoBerInfB!J53)</f>
        <v>0</v>
      </c>
      <c r="L53" s="503">
        <f>IF($B53&gt;1,($K53)*$K$49*HLOOKUP(NeoBerInfB!L$1,tbl_Neo_OpzoektabelMM,$C53,FALSE)/100,0)</f>
        <v>0</v>
      </c>
      <c r="M53" s="503">
        <f>IF($B53&gt;1,($K53)*$K$49*HLOOKUP(NeoBerInfB!M$1,tbl_Neo_OpzoektabelMM,$C53,FALSE)/100,0)</f>
        <v>0</v>
      </c>
      <c r="N53" s="503">
        <f>IF($B53&gt;1,($K53)*$K$49*HLOOKUP(NeoBerInfB!N$1,tbl_Neo_OpzoektabelMM,$C53,FALSE)/100,0)</f>
        <v>0</v>
      </c>
      <c r="O53" s="503">
        <f>IF($B53&gt;1,($K53)*$K$49*HLOOKUP(NeoBerInfB!O$1,tbl_Neo_OpzoektabelMM,$C53,FALSE)/100,0)</f>
        <v>0</v>
      </c>
      <c r="P53" s="503">
        <f>IF($B53&gt;1,($K53)*$K$49*HLOOKUP(NeoBerInfB!P$1,tbl_Neo_OpzoektabelMM,$C53,FALSE)/100,0)</f>
        <v>0</v>
      </c>
      <c r="Q53" s="503">
        <f>IF($B53&gt;1,($K53)*$K$49*HLOOKUP(NeoBerInfB!Q$1,tbl_Neo_OpzoektabelMM,$C53,FALSE)/100,0)</f>
        <v>0</v>
      </c>
      <c r="R53" s="503">
        <f>IF($B53&gt;1,($K53)*$K$49*HLOOKUP(NeoBerInfB!R$1,tbl_Neo_OpzoektabelMM,$C53,FALSE)/100,0)</f>
        <v>0</v>
      </c>
      <c r="S53" s="503">
        <f>IF($B53&gt;1,($K53)*$K$49*HLOOKUP(NeoBerInfB!S$1,tbl_Neo_OpzoektabelMM,$C53,FALSE)/100,0)</f>
        <v>0</v>
      </c>
      <c r="T53" s="503">
        <f>IF($B53&gt;1,($K53)*$K$49*HLOOKUP(NeoBerInfB!T$1,tbl_Neo_OpzoektabelMM,$C53,FALSE)/100,0)</f>
        <v>0</v>
      </c>
      <c r="U53" s="503">
        <f>IF($B53&gt;1,($K53)*$K$49*HLOOKUP(NeoBerInfB!U$1,tbl_Neo_OpzoektabelMM,$C53,FALSE)/100,0)</f>
        <v>0</v>
      </c>
      <c r="V53" s="503">
        <f>IF($B53&gt;1,($K53)*$K$49*HLOOKUP(NeoBerInfB!V$1,tbl_Neo_OpzoektabelMM,$C53,FALSE)/100,0)</f>
        <v>0</v>
      </c>
    </row>
    <row r="54" spans="1:22" x14ac:dyDescent="0.35">
      <c r="A54" s="219" t="s">
        <v>972</v>
      </c>
      <c r="B54" s="219">
        <v>1</v>
      </c>
      <c r="C54" s="490">
        <f>_Neo_InfB_Toevoeging_2+1</f>
        <v>2</v>
      </c>
      <c r="J54" s="219">
        <v>1</v>
      </c>
      <c r="K54" s="607">
        <f>INDEX(tbl_Neo_NutrToevWaard,NeoBerInfB!J54)</f>
        <v>0</v>
      </c>
      <c r="L54" s="503">
        <f>IF($B54&gt;1,($K54)*$K$49*HLOOKUP(NeoBerInfB!L$1,tbl_Neo_OpzoektabelMM,$C54,FALSE)/100,0)</f>
        <v>0</v>
      </c>
      <c r="M54" s="503">
        <f>IF($B54&gt;1,($K54)*$K$49*HLOOKUP(NeoBerInfB!M$1,tbl_Neo_OpzoektabelMM,$C54,FALSE)/100,0)</f>
        <v>0</v>
      </c>
      <c r="N54" s="503">
        <f>IF($B54&gt;1,($K54)*$K$49*HLOOKUP(NeoBerInfB!N$1,tbl_Neo_OpzoektabelMM,$C54,FALSE)/100,0)</f>
        <v>0</v>
      </c>
      <c r="O54" s="503">
        <f>IF($B54&gt;1,($K54)*$K$49*HLOOKUP(NeoBerInfB!O$1,tbl_Neo_OpzoektabelMM,$C54,FALSE)/100,0)</f>
        <v>0</v>
      </c>
      <c r="P54" s="503">
        <f>IF($B54&gt;1,($K54)*$K$49*HLOOKUP(NeoBerInfB!P$1,tbl_Neo_OpzoektabelMM,$C54,FALSE)/100,0)</f>
        <v>0</v>
      </c>
      <c r="Q54" s="503">
        <f>IF($B54&gt;1,($K54)*$K$49*HLOOKUP(NeoBerInfB!Q$1,tbl_Neo_OpzoektabelMM,$C54,FALSE)/100,0)</f>
        <v>0</v>
      </c>
      <c r="R54" s="503">
        <f>IF($B54&gt;1,($K54)*$K$49*HLOOKUP(NeoBerInfB!R$1,tbl_Neo_OpzoektabelMM,$C54,FALSE)/100,0)</f>
        <v>0</v>
      </c>
      <c r="S54" s="503">
        <f>IF($B54&gt;1,($K54)*$K$49*HLOOKUP(NeoBerInfB!S$1,tbl_Neo_OpzoektabelMM,$C54,FALSE)/100,0)</f>
        <v>0</v>
      </c>
      <c r="T54" s="503">
        <f>IF($B54&gt;1,($K54)*$K$49*HLOOKUP(NeoBerInfB!T$1,tbl_Neo_OpzoektabelMM,$C54,FALSE)/100,0)</f>
        <v>0</v>
      </c>
      <c r="U54" s="503">
        <f>IF($B54&gt;1,($K54)*$K$49*HLOOKUP(NeoBerInfB!U$1,tbl_Neo_OpzoektabelMM,$C54,FALSE)/100,0)</f>
        <v>0</v>
      </c>
      <c r="V54" s="503">
        <f>IF($B54&gt;1,($K54)*$K$49*HLOOKUP(NeoBerInfB!V$1,tbl_Neo_OpzoektabelMM,$C54,FALSE)/100,0)</f>
        <v>0</v>
      </c>
    </row>
    <row r="55" spans="1:22" x14ac:dyDescent="0.35">
      <c r="A55" s="219" t="s">
        <v>973</v>
      </c>
      <c r="B55" s="219">
        <v>1</v>
      </c>
      <c r="C55" s="490">
        <f>_Neo_InfB_Toevoeging_3+1</f>
        <v>2</v>
      </c>
      <c r="J55" s="219">
        <v>1</v>
      </c>
      <c r="K55" s="607">
        <f>INDEX(tbl_Neo_NutrToevWaard,NeoBerInfB!J55)</f>
        <v>0</v>
      </c>
      <c r="L55" s="503">
        <f>IF($B55&gt;1,($K55)*$K$49*HLOOKUP(NeoBerInfB!L$1,tbl_Neo_OpzoektabelMM,$C55,FALSE)/100,0)</f>
        <v>0</v>
      </c>
      <c r="M55" s="503">
        <f>IF($B55&gt;1,($K55)*$K$49*HLOOKUP(NeoBerInfB!M$1,tbl_Neo_OpzoektabelMM,$C55,FALSE)/100,0)</f>
        <v>0</v>
      </c>
      <c r="N55" s="503">
        <f>IF($B55&gt;1,($K55)*$K$49*HLOOKUP(NeoBerInfB!N$1,tbl_Neo_OpzoektabelMM,$C55,FALSE)/100,0)</f>
        <v>0</v>
      </c>
      <c r="O55" s="503">
        <f>IF($B55&gt;1,($K55)*$K$49*HLOOKUP(NeoBerInfB!O$1,tbl_Neo_OpzoektabelMM,$C55,FALSE)/100,0)</f>
        <v>0</v>
      </c>
      <c r="P55" s="503">
        <f>IF($B55&gt;1,($K55)*$K$49*HLOOKUP(NeoBerInfB!P$1,tbl_Neo_OpzoektabelMM,$C55,FALSE)/100,0)</f>
        <v>0</v>
      </c>
      <c r="Q55" s="503">
        <f>IF($B55&gt;1,($K55)*$K$49*HLOOKUP(NeoBerInfB!Q$1,tbl_Neo_OpzoektabelMM,$C55,FALSE)/100,0)</f>
        <v>0</v>
      </c>
      <c r="R55" s="503">
        <f>IF($B55&gt;1,($K55)*$K$49*HLOOKUP(NeoBerInfB!R$1,tbl_Neo_OpzoektabelMM,$C55,FALSE)/100,0)</f>
        <v>0</v>
      </c>
      <c r="S55" s="503">
        <f>IF($B55&gt;1,($K55)*$K$49*HLOOKUP(NeoBerInfB!S$1,tbl_Neo_OpzoektabelMM,$C55,FALSE)/100,0)</f>
        <v>0</v>
      </c>
      <c r="T55" s="503">
        <f>IF($B55&gt;1,($K55)*$K$49*HLOOKUP(NeoBerInfB!T$1,tbl_Neo_OpzoektabelMM,$C55,FALSE)/100,0)</f>
        <v>0</v>
      </c>
      <c r="U55" s="503">
        <f>IF($B55&gt;1,($K55)*$K$49*HLOOKUP(NeoBerInfB!U$1,tbl_Neo_OpzoektabelMM,$C55,FALSE)/100,0)</f>
        <v>0</v>
      </c>
      <c r="V55" s="503">
        <f>IF($B55&gt;1,($K55)*$K$49*HLOOKUP(NeoBerInfB!V$1,tbl_Neo_OpzoektabelMM,$C55,FALSE)/100,0)</f>
        <v>0</v>
      </c>
    </row>
    <row r="56" spans="1:22" x14ac:dyDescent="0.35">
      <c r="A56" s="219" t="s">
        <v>974</v>
      </c>
      <c r="B56" s="219">
        <v>1</v>
      </c>
      <c r="C56" s="490">
        <f>_Neo_InfB_Toevoeging_4+1</f>
        <v>2</v>
      </c>
      <c r="J56" s="219">
        <v>1</v>
      </c>
      <c r="K56" s="607">
        <f>INDEX(tbl_Neo_NutrToevWaard,NeoBerInfB!J56)</f>
        <v>0</v>
      </c>
      <c r="L56" s="503">
        <f>IF($B56&gt;1,($K56)*$K$49*HLOOKUP(NeoBerInfB!L$1,tbl_Neo_OpzoektabelMM,$C56,FALSE)/100,0)</f>
        <v>0</v>
      </c>
      <c r="M56" s="503">
        <f>IF($B56&gt;1,($K56)*$K$49*HLOOKUP(NeoBerInfB!M$1,tbl_Neo_OpzoektabelMM,$C56,FALSE)/100,0)</f>
        <v>0</v>
      </c>
      <c r="N56" s="503">
        <f>IF($B56&gt;1,($K56)*$K$49*HLOOKUP(NeoBerInfB!N$1,tbl_Neo_OpzoektabelMM,$C56,FALSE)/100,0)</f>
        <v>0</v>
      </c>
      <c r="O56" s="503">
        <f>IF($B56&gt;1,($K56)*$K$49*HLOOKUP(NeoBerInfB!O$1,tbl_Neo_OpzoektabelMM,$C56,FALSE)/100,0)</f>
        <v>0</v>
      </c>
      <c r="P56" s="503">
        <f>IF($B56&gt;1,($K56)*$K$49*HLOOKUP(NeoBerInfB!P$1,tbl_Neo_OpzoektabelMM,$C56,FALSE)/100,0)</f>
        <v>0</v>
      </c>
      <c r="Q56" s="503">
        <f>IF($B56&gt;1,($K56)*$K$49*HLOOKUP(NeoBerInfB!Q$1,tbl_Neo_OpzoektabelMM,$C56,FALSE)/100,0)</f>
        <v>0</v>
      </c>
      <c r="R56" s="503">
        <f>IF($B56&gt;1,($K56)*$K$49*HLOOKUP(NeoBerInfB!R$1,tbl_Neo_OpzoektabelMM,$C56,FALSE)/100,0)</f>
        <v>0</v>
      </c>
      <c r="S56" s="503">
        <f>IF($B56&gt;1,($K56)*$K$49*HLOOKUP(NeoBerInfB!S$1,tbl_Neo_OpzoektabelMM,$C56,FALSE)/100,0)</f>
        <v>0</v>
      </c>
      <c r="T56" s="503">
        <f>IF($B56&gt;1,($K56)*$K$49*HLOOKUP(NeoBerInfB!T$1,tbl_Neo_OpzoektabelMM,$C56,FALSE)/100,0)</f>
        <v>0</v>
      </c>
      <c r="U56" s="503">
        <f>IF($B56&gt;1,($K56)*$K$49*HLOOKUP(NeoBerInfB!U$1,tbl_Neo_OpzoektabelMM,$C56,FALSE)/100,0)</f>
        <v>0</v>
      </c>
      <c r="V56" s="503">
        <f>IF($B56&gt;1,($K56)*$K$49*HLOOKUP(NeoBerInfB!V$1,tbl_Neo_OpzoektabelMM,$C56,FALSE)/100,0)</f>
        <v>0</v>
      </c>
    </row>
    <row r="57" spans="1:22" x14ac:dyDescent="0.35">
      <c r="A57" s="219" t="s">
        <v>1069</v>
      </c>
      <c r="C57" s="490"/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219" t="s">
        <v>975</v>
      </c>
      <c r="B58" s="219">
        <v>1</v>
      </c>
      <c r="C58" s="490">
        <f>_Neo_InfB_Toevoeging_5+1</f>
        <v>2</v>
      </c>
      <c r="J58" s="219">
        <v>1</v>
      </c>
      <c r="K58" s="607">
        <f>INDEX(tbl_Neo_NutrToevWaard,NeoBerInfB!J58)</f>
        <v>0</v>
      </c>
      <c r="L58" s="503">
        <f>IF($B58&gt;1,($K58)*$K$49*HLOOKUP(NeoBerInfB!L$1,tbl_Neo_OpzoektabelKV,$C58,FALSE)/100,0)</f>
        <v>0</v>
      </c>
      <c r="M58" s="503">
        <f>IF($B58&gt;1,($K58)*$K$49*HLOOKUP(NeoBerInfB!M$1,tbl_Neo_OpzoektabelKV,$C58,FALSE)/100,0)</f>
        <v>0</v>
      </c>
      <c r="N58" s="503">
        <f>IF($B58&gt;1,($K58)*$K$49*HLOOKUP(NeoBerInfB!N$1,tbl_Neo_OpzoektabelKV,$C58,FALSE)/100,0)</f>
        <v>0</v>
      </c>
      <c r="O58" s="503">
        <f>IF($B58&gt;1,($K58)*$K$49*HLOOKUP(NeoBerInfB!O$1,tbl_Neo_OpzoektabelKV,$C58,FALSE)/100,0)</f>
        <v>0</v>
      </c>
      <c r="P58" s="503">
        <f>IF($B58&gt;1,($K58)*$K$49*HLOOKUP(NeoBerInfB!P$1,tbl_Neo_OpzoektabelKV,$C58,FALSE)/100,0)</f>
        <v>0</v>
      </c>
      <c r="Q58" s="503">
        <f>IF($B58&gt;1,($K58)*$K$49*HLOOKUP(NeoBerInfB!Q$1,tbl_Neo_OpzoektabelKV,$C58,FALSE)/100,0)</f>
        <v>0</v>
      </c>
      <c r="R58" s="503">
        <f>IF($B58&gt;1,($K58)*$K$49*HLOOKUP(NeoBerInfB!R$1,tbl_Neo_OpzoektabelKV,$C58,FALSE)/100,0)</f>
        <v>0</v>
      </c>
      <c r="S58" s="503">
        <f>IF($B58&gt;1,($K58)*$K$49*HLOOKUP(NeoBerInfB!S$1,tbl_Neo_OpzoektabelKV,$C58,FALSE)/100,0)</f>
        <v>0</v>
      </c>
      <c r="T58" s="503">
        <f>IF($B58&gt;1,($K58)*$K$49*HLOOKUP(NeoBerInfB!T$1,tbl_Neo_OpzoektabelKV,$C58,FALSE)/100,0)</f>
        <v>0</v>
      </c>
      <c r="U58" s="503">
        <f>IF($B58&gt;1,($K58)*$K$49*HLOOKUP(NeoBerInfB!U$1,tbl_Neo_OpzoektabelKV,$C58,FALSE)/100,0)</f>
        <v>0</v>
      </c>
      <c r="V58" s="503">
        <f>IF($B58&gt;1,($K58)*$K$49*HLOOKUP(NeoBerInfB!V$1,tbl_Neo_OpzoektabelKV,$C58,FALSE)/100,0)</f>
        <v>0</v>
      </c>
    </row>
    <row r="59" spans="1:22" x14ac:dyDescent="0.35">
      <c r="A59" s="219" t="s">
        <v>976</v>
      </c>
      <c r="B59" s="219">
        <v>1</v>
      </c>
      <c r="C59" s="490">
        <f>_Neo_InfB_Toevoeging_6+1</f>
        <v>2</v>
      </c>
      <c r="J59" s="219">
        <v>1</v>
      </c>
      <c r="K59" s="607">
        <f>INDEX(tbl_Neo_NutrToevWaard,NeoBerInfB!J59)</f>
        <v>0</v>
      </c>
      <c r="L59" s="503">
        <f>IF($B59&gt;1,($K59)*$K$49*HLOOKUP(NeoBerInfB!L$1,tbl_Neo_OpzoektabelKV,$C59,FALSE)/100,0)</f>
        <v>0</v>
      </c>
      <c r="M59" s="503">
        <f>IF($B59&gt;1,($K59)*$K$49*HLOOKUP(NeoBerInfB!M$1,tbl_Neo_OpzoektabelKV,$C59,FALSE)/100,0)</f>
        <v>0</v>
      </c>
      <c r="N59" s="503">
        <f>IF($B59&gt;1,($K59)*$K$49*HLOOKUP(NeoBerInfB!N$1,tbl_Neo_OpzoektabelKV,$C59,FALSE)/100,0)</f>
        <v>0</v>
      </c>
      <c r="O59" s="503">
        <f>IF($B59&gt;1,($K59)*$K$49*HLOOKUP(NeoBerInfB!O$1,tbl_Neo_OpzoektabelKV,$C59,FALSE)/100,0)</f>
        <v>0</v>
      </c>
      <c r="P59" s="503">
        <f>IF($B59&gt;1,($K59)*$K$49*HLOOKUP(NeoBerInfB!P$1,tbl_Neo_OpzoektabelKV,$C59,FALSE)/100,0)</f>
        <v>0</v>
      </c>
      <c r="Q59" s="503">
        <f>IF($B59&gt;1,($K59)*$K$49*HLOOKUP(NeoBerInfB!Q$1,tbl_Neo_OpzoektabelKV,$C59,FALSE)/100,0)</f>
        <v>0</v>
      </c>
      <c r="R59" s="503">
        <f>IF($B59&gt;1,($K59)*$K$49*HLOOKUP(NeoBerInfB!R$1,tbl_Neo_OpzoektabelKV,$C59,FALSE)/100,0)</f>
        <v>0</v>
      </c>
      <c r="S59" s="503">
        <f>IF($B59&gt;1,($K59)*$K$49*HLOOKUP(NeoBerInfB!S$1,tbl_Neo_OpzoektabelKV,$C59,FALSE)/100,0)</f>
        <v>0</v>
      </c>
      <c r="T59" s="503">
        <f>IF($B59&gt;1,($K59)*$K$49*HLOOKUP(NeoBerInfB!T$1,tbl_Neo_OpzoektabelKV,$C59,FALSE)/100,0)</f>
        <v>0</v>
      </c>
      <c r="U59" s="503">
        <f>IF($B59&gt;1,($K59)*$K$49*HLOOKUP(NeoBerInfB!U$1,tbl_Neo_OpzoektabelKV,$C59,FALSE)/100,0)</f>
        <v>0</v>
      </c>
      <c r="V59" s="503">
        <f>IF($B59&gt;1,($K59)*$K$49*HLOOKUP(NeoBerInfB!V$1,tbl_Neo_OpzoektabelKV,$C59,FALSE)/100,0)</f>
        <v>0</v>
      </c>
    </row>
    <row r="60" spans="1:22" x14ac:dyDescent="0.35">
      <c r="A60" s="219" t="s">
        <v>977</v>
      </c>
      <c r="B60" s="219">
        <v>1</v>
      </c>
      <c r="C60" s="490">
        <f>_Neo_InfB_Toevoeging_7+1</f>
        <v>2</v>
      </c>
      <c r="J60" s="219">
        <v>1</v>
      </c>
      <c r="K60" s="607">
        <f>INDEX(tbl_Neo_NutrToevWaard,NeoBerInfB!J60)</f>
        <v>0</v>
      </c>
      <c r="L60" s="503">
        <f>IF($B60&gt;1,($K60)*$K$49*HLOOKUP(NeoBerInfB!L$1,tbl_Neo_OpzoektabelKV,$C60,FALSE)/100,0)</f>
        <v>0</v>
      </c>
      <c r="M60" s="503">
        <f>IF($B60&gt;1,($K60)*$K$49*HLOOKUP(NeoBerInfB!M$1,tbl_Neo_OpzoektabelKV,$C60,FALSE)/100,0)</f>
        <v>0</v>
      </c>
      <c r="N60" s="503">
        <f>IF($B60&gt;1,($K60)*$K$49*HLOOKUP(NeoBerInfB!N$1,tbl_Neo_OpzoektabelKV,$C60,FALSE)/100,0)</f>
        <v>0</v>
      </c>
      <c r="O60" s="503">
        <f>IF($B60&gt;1,($K60)*$K$49*HLOOKUP(NeoBerInfB!O$1,tbl_Neo_OpzoektabelKV,$C60,FALSE)/100,0)</f>
        <v>0</v>
      </c>
      <c r="P60" s="503">
        <f>IF($B60&gt;1,($K60)*$K$49*HLOOKUP(NeoBerInfB!P$1,tbl_Neo_OpzoektabelKV,$C60,FALSE)/100,0)</f>
        <v>0</v>
      </c>
      <c r="Q60" s="503">
        <f>IF($B60&gt;1,($K60)*$K$49*HLOOKUP(NeoBerInfB!Q$1,tbl_Neo_OpzoektabelKV,$C60,FALSE)/100,0)</f>
        <v>0</v>
      </c>
      <c r="R60" s="503">
        <f>IF($B60&gt;1,($K60)*$K$49*HLOOKUP(NeoBerInfB!R$1,tbl_Neo_OpzoektabelKV,$C60,FALSE)/100,0)</f>
        <v>0</v>
      </c>
      <c r="S60" s="503">
        <f>IF($B60&gt;1,($K60)*$K$49*HLOOKUP(NeoBerInfB!S$1,tbl_Neo_OpzoektabelKV,$C60,FALSE)/100,0)</f>
        <v>0</v>
      </c>
      <c r="T60" s="503">
        <f>IF($B60&gt;1,($K60)*$K$49*HLOOKUP(NeoBerInfB!T$1,tbl_Neo_OpzoektabelKV,$C60,FALSE)/100,0)</f>
        <v>0</v>
      </c>
      <c r="U60" s="503">
        <f>IF($B60&gt;1,($K60)*$K$49*HLOOKUP(NeoBerInfB!U$1,tbl_Neo_OpzoektabelKV,$C60,FALSE)/100,0)</f>
        <v>0</v>
      </c>
      <c r="V60" s="503">
        <f>IF($B60&gt;1,($K60)*$K$49*HLOOKUP(NeoBerInfB!V$1,tbl_Neo_OpzoektabelKV,$C60,FALSE)/100,0)</f>
        <v>0</v>
      </c>
    </row>
    <row r="61" spans="1:22" x14ac:dyDescent="0.35">
      <c r="A61" s="219" t="s">
        <v>978</v>
      </c>
      <c r="B61" s="219">
        <v>1</v>
      </c>
      <c r="C61" s="490">
        <f>_Neo_InfB_Toevoeging_8+1</f>
        <v>2</v>
      </c>
      <c r="J61" s="219">
        <v>1</v>
      </c>
      <c r="K61" s="607">
        <f>INDEX(tbl_Neo_NutrToevWaard,NeoBerInfB!J61)</f>
        <v>0</v>
      </c>
      <c r="L61" s="503">
        <f>IF($B61&gt;1,($K61)*$K$49*HLOOKUP(NeoBerInfB!L$1,tbl_Neo_OpzoektabelKV,$C61,FALSE)/100,0)</f>
        <v>0</v>
      </c>
      <c r="M61" s="503">
        <f>IF($B61&gt;1,($K61)*$K$49*HLOOKUP(NeoBerInfB!M$1,tbl_Neo_OpzoektabelKV,$C61,FALSE)/100,0)</f>
        <v>0</v>
      </c>
      <c r="N61" s="503">
        <f>IF($B61&gt;1,($K61)*$K$49*HLOOKUP(NeoBerInfB!N$1,tbl_Neo_OpzoektabelKV,$C61,FALSE)/100,0)</f>
        <v>0</v>
      </c>
      <c r="O61" s="503">
        <f>IF($B61&gt;1,($K61)*$K$49*HLOOKUP(NeoBerInfB!O$1,tbl_Neo_OpzoektabelKV,$C61,FALSE)/100,0)</f>
        <v>0</v>
      </c>
      <c r="P61" s="503">
        <f>IF($B61&gt;1,($K61)*$K$49*HLOOKUP(NeoBerInfB!P$1,tbl_Neo_OpzoektabelKV,$C61,FALSE)/100,0)</f>
        <v>0</v>
      </c>
      <c r="Q61" s="503">
        <f>IF($B61&gt;1,($K61)*$K$49*HLOOKUP(NeoBerInfB!Q$1,tbl_Neo_OpzoektabelKV,$C61,FALSE)/100,0)</f>
        <v>0</v>
      </c>
      <c r="R61" s="503">
        <f>IF($B61&gt;1,($K61)*$K$49*HLOOKUP(NeoBerInfB!R$1,tbl_Neo_OpzoektabelKV,$C61,FALSE)/100,0)</f>
        <v>0</v>
      </c>
      <c r="S61" s="503">
        <f>IF($B61&gt;1,($K61)*$K$49*HLOOKUP(NeoBerInfB!S$1,tbl_Neo_OpzoektabelKV,$C61,FALSE)/100,0)</f>
        <v>0</v>
      </c>
      <c r="T61" s="503">
        <f>IF($B61&gt;1,($K61)*$K$49*HLOOKUP(NeoBerInfB!T$1,tbl_Neo_OpzoektabelKV,$C61,FALSE)/100,0)</f>
        <v>0</v>
      </c>
      <c r="U61" s="503">
        <f>IF($B61&gt;1,($K61)*$K$49*HLOOKUP(NeoBerInfB!U$1,tbl_Neo_OpzoektabelKV,$C61,FALSE)/100,0)</f>
        <v>0</v>
      </c>
      <c r="V61" s="503">
        <f>IF($B61&gt;1,($K61)*$K$49*HLOOKUP(NeoBerInfB!V$1,tbl_Neo_OpzoektabelKV,$C61,FALSE)/100,0)</f>
        <v>0</v>
      </c>
    </row>
    <row r="62" spans="1:22" x14ac:dyDescent="0.35">
      <c r="A62" s="219" t="s">
        <v>1070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3" spans="1:22" x14ac:dyDescent="0.35">
      <c r="A63" s="219" t="s">
        <v>688</v>
      </c>
      <c r="B63" s="219">
        <v>1</v>
      </c>
    </row>
    <row r="65" spans="1:12" x14ac:dyDescent="0.35">
      <c r="A65" s="219" t="s">
        <v>614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219" t="s">
        <v>946</v>
      </c>
      <c r="B73" s="219" t="str">
        <f ca="1">IF(NeoGuiInfB!E18=0,"",CONCATENATE(NeoGuiInfB!B18,": ",NeoGuiInfB!E18," ",NeoGuiInfB!F18," = "&amp;NeoBerInfB!K47&amp;" ml"))</f>
        <v/>
      </c>
    </row>
    <row r="74" spans="1:12" x14ac:dyDescent="0.35">
      <c r="A74" s="219" t="s">
        <v>947</v>
      </c>
      <c r="B74" s="219" t="str">
        <f>IF(INDEX(tbl_Neo_Pos,NeoBerInfB!D14,1)=0,"",CONCATENATE(NeoGuiInfB!H21," ",INDEX(tbl_Neo_Pos,NeoBerInfB!D14,1)))</f>
        <v>Voeding: MM of Nenatal 1</v>
      </c>
    </row>
    <row r="75" spans="1:12" x14ac:dyDescent="0.35">
      <c r="A75" s="219" t="s">
        <v>948</v>
      </c>
      <c r="B75" s="512" t="str">
        <f>IF(INDEX(tbl_Neo_Pos,NeoBerInfB!D14,1)=0,"",CONCATENATE("Hoeveelheid 1:  ",NeoGuiInfB!E21," ",NeoGuiInfB!F21," ",NeoGuiInfB!G21))</f>
        <v>Hoeveelheid 1:  0 maal 0 ml</v>
      </c>
    </row>
    <row r="76" spans="1:12" x14ac:dyDescent="0.35">
      <c r="A76" s="219" t="s">
        <v>949</v>
      </c>
      <c r="B76" s="219" t="str">
        <f>IF(INDEX(tbl_Neo_Pos,NeoBerInfB!D14,1)=0,"",CONCATENATE("Hoeveelheid 2:  ",NeoGuiInfB!E22," ",NeoGuiInfB!F22," ",NeoGuiInfB!G22))</f>
        <v>Hoeveelheid 2:  0 maal 0 ml</v>
      </c>
    </row>
    <row r="77" spans="1:12" x14ac:dyDescent="0.35">
      <c r="A77" s="219" t="s">
        <v>950</v>
      </c>
      <c r="B77" s="512" t="str">
        <f>IF(AND(INDEX(tbl_Neo_LijstVoeding,_Neo_InfB_Voeding,14)="MM",Var_Neo_Percentage_0 &gt; 0), CONCATENATE("Toev MM: BMF ",Var_Neo_Percentage_0," %"),"")</f>
        <v/>
      </c>
    </row>
    <row r="78" spans="1:12" x14ac:dyDescent="0.35">
      <c r="A78" s="219" t="s">
        <v>951</v>
      </c>
      <c r="B78" s="512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35">
      <c r="A79" s="219" t="s">
        <v>952</v>
      </c>
      <c r="B79" s="512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35">
      <c r="A80" s="219" t="s">
        <v>953</v>
      </c>
      <c r="B80" s="512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35">
      <c r="A81" s="219" t="s">
        <v>954</v>
      </c>
      <c r="B81" s="512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35">
      <c r="A82" s="219" t="s">
        <v>955</v>
      </c>
      <c r="B82" s="512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512" t="s">
        <v>1121</v>
      </c>
      <c r="B83" s="512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512" t="s">
        <v>1122</v>
      </c>
      <c r="B84" s="512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512" t="s">
        <v>1123</v>
      </c>
      <c r="B85" s="512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512" t="s">
        <v>1124</v>
      </c>
      <c r="B86" s="219" t="str">
        <f ca="1">IF(NeoGuiInfB!E28&gt;0,CONCATENATE(NeoGuiInfB!B28," ",NeoGuiInfB!E28," ",NeoGuiInfB!F28),"")</f>
        <v/>
      </c>
    </row>
    <row r="87" spans="1:2" x14ac:dyDescent="0.35">
      <c r="A87" s="512" t="s">
        <v>1125</v>
      </c>
      <c r="B87" s="219" t="str">
        <f>CONCATENATE(NeoGuiInfB!B19,": ",IF(NeoBerInfB!B15=1,"Ja","Nee"))</f>
        <v>Fototherapie: Nee</v>
      </c>
    </row>
    <row r="90" spans="1:2" x14ac:dyDescent="0.35">
      <c r="A90" s="384" t="s">
        <v>1161</v>
      </c>
      <c r="B90" s="21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35">
      <c r="A91" s="384" t="s">
        <v>1161</v>
      </c>
      <c r="B91" s="607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35">
      <c r="A92" s="384" t="s">
        <v>1161</v>
      </c>
      <c r="B92" s="607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35">
      <c r="A93" s="384" t="s">
        <v>1161</v>
      </c>
      <c r="B93" s="607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35">
      <c r="A94" s="384" t="s">
        <v>1161</v>
      </c>
      <c r="B94" s="607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35">
      <c r="A95" s="384" t="s">
        <v>1161</v>
      </c>
      <c r="B95" s="607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35">
      <c r="A96" s="384" t="s">
        <v>1161</v>
      </c>
      <c r="B96" s="607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35">
      <c r="A97" s="384" t="s">
        <v>1161</v>
      </c>
      <c r="B97" s="607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35">
      <c r="A98" s="384" t="s">
        <v>1161</v>
      </c>
      <c r="B98" s="607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35">
      <c r="A99" s="384" t="s">
        <v>1161</v>
      </c>
      <c r="B99" s="607" t="str">
        <f>IF(NeoBerInfB!E29&lt;&gt;0, NeoGuiInfB!B42&amp;": "&amp; INDEX(tbl_Neo_Opl,NeoBerInfB!$E29,1)&amp;" " &amp; NeoGuiInfB!G42,"")</f>
        <v/>
      </c>
    </row>
    <row r="100" spans="1:2" x14ac:dyDescent="0.35">
      <c r="A100" s="384" t="s">
        <v>1161</v>
      </c>
      <c r="B100" s="607" t="str">
        <f>IF(NeoBerInfB!E30&lt;&gt;0, NeoGuiInfB!B43&amp;": "&amp; INDEX(tbl_Neo_Opl,NeoBerInfB!$E30,1)&amp;" " &amp; NeoGuiInfB!G43,"")</f>
        <v/>
      </c>
    </row>
    <row r="101" spans="1:2" x14ac:dyDescent="0.35">
      <c r="A101" s="384" t="s">
        <v>1161</v>
      </c>
      <c r="B101" s="607" t="str">
        <f>IF(NeoBerInfB!E31&lt;&gt;0, NeoGuiInfB!B44&amp;": "&amp; INDEX(tbl_Neo_Opl,NeoBerInfB!$E31,1)&amp;" " &amp; NeoGuiInfB!G44,"")</f>
        <v/>
      </c>
    </row>
    <row r="102" spans="1:2" x14ac:dyDescent="0.35">
      <c r="A102" s="384" t="s">
        <v>1161</v>
      </c>
      <c r="B102" s="219" t="str">
        <f>IF(NeoBerInfB!B32="","",NeoBerInfB!B32)</f>
        <v/>
      </c>
    </row>
    <row r="103" spans="1:2" x14ac:dyDescent="0.35">
      <c r="A103" s="384" t="s">
        <v>1161</v>
      </c>
      <c r="B103" s="607" t="str">
        <f>IF(NeoBerInfB!B33="","",NeoBerInfB!B33)</f>
        <v/>
      </c>
    </row>
    <row r="104" spans="1:2" x14ac:dyDescent="0.35">
      <c r="A104" s="384" t="s">
        <v>1161</v>
      </c>
      <c r="B104" s="219" t="str">
        <f ca="1">IF(NeoBerInfB!C35&lt;&gt;0,CONCATENATE("Intralipid 20% (incl.vitintra) ",ROUNDUP(NeoBerInfB!C35/24,1)," ml/uur"),"")</f>
        <v/>
      </c>
    </row>
    <row r="105" spans="1:2" x14ac:dyDescent="0.35">
      <c r="A105" s="384" t="s">
        <v>1161</v>
      </c>
      <c r="B105" s="219" t="str">
        <f ca="1">IF(Var_Neo_WerkbriefActueelTPNStand&lt;&gt;"",CONCATENATE("TPN: ",Var_Neo_WerkbriefActueelTPNStand, " ml/uur"),"")</f>
        <v/>
      </c>
    </row>
    <row r="106" spans="1:2" x14ac:dyDescent="0.35">
      <c r="A106" s="384" t="s">
        <v>1161</v>
      </c>
      <c r="B106" s="219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384" t="s">
        <v>1161</v>
      </c>
      <c r="B107" s="219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384" t="s">
        <v>1161</v>
      </c>
      <c r="B108" s="219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384" t="s">
        <v>1161</v>
      </c>
      <c r="B109" s="219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384" t="s">
        <v>1161</v>
      </c>
      <c r="B110" s="219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384" t="s">
        <v>1161</v>
      </c>
      <c r="B111" s="219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384" t="s">
        <v>1161</v>
      </c>
      <c r="B112" s="219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384" t="s">
        <v>1161</v>
      </c>
      <c r="B113" s="219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384" t="s">
        <v>1161</v>
      </c>
      <c r="B114" s="219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384" t="s">
        <v>1161</v>
      </c>
      <c r="B115" s="219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384" t="s">
        <v>1161</v>
      </c>
      <c r="B116" s="219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I4" sqref="I4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564</v>
      </c>
      <c r="L1" s="269" t="s">
        <v>549</v>
      </c>
      <c r="M1" s="270">
        <f>__1_Bed</f>
        <v>0</v>
      </c>
    </row>
    <row r="2" spans="1:16" ht="13.2" x14ac:dyDescent="0.4">
      <c r="A2" s="269" t="s">
        <v>565</v>
      </c>
      <c r="C2" s="271" t="str">
        <f>__3_VoorNaam&amp;" "&amp;__2_AchterNaam</f>
        <v xml:space="preserve"> </v>
      </c>
      <c r="G2" s="269" t="s">
        <v>566</v>
      </c>
      <c r="I2" s="946">
        <f ca="1">TODAY()</f>
        <v>42739</v>
      </c>
      <c r="J2" s="946"/>
      <c r="K2" s="946"/>
      <c r="L2" s="269" t="s">
        <v>567</v>
      </c>
      <c r="M2" s="947">
        <f ca="1">NOW()</f>
        <v>42739.609596064816</v>
      </c>
      <c r="N2" s="947"/>
    </row>
    <row r="3" spans="1:16" ht="13.2" x14ac:dyDescent="0.4">
      <c r="A3" s="269" t="s">
        <v>568</v>
      </c>
      <c r="C3" s="271">
        <f>(_Pat_Gewicht/10)*1000</f>
        <v>10000</v>
      </c>
      <c r="D3" s="269" t="s">
        <v>31</v>
      </c>
      <c r="I3" s="608"/>
      <c r="J3" s="608"/>
      <c r="K3" s="608"/>
      <c r="M3" s="273"/>
      <c r="N3" s="273"/>
    </row>
    <row r="4" spans="1:16" ht="13.2" x14ac:dyDescent="0.4">
      <c r="G4" s="269" t="s">
        <v>569</v>
      </c>
      <c r="I4" s="271" t="str">
        <f>IF(_Neo_InfB_Arts&gt;0,_Neo_InfB_Arts,"")</f>
        <v/>
      </c>
      <c r="L4" s="269" t="s">
        <v>570</v>
      </c>
      <c r="M4" s="274"/>
      <c r="N4" s="274"/>
      <c r="O4" s="274"/>
      <c r="P4" s="274"/>
    </row>
    <row r="5" spans="1:16" ht="13.2" x14ac:dyDescent="0.4">
      <c r="A5" s="275" t="s">
        <v>191</v>
      </c>
      <c r="B5" s="276"/>
      <c r="C5" s="277" t="s">
        <v>571</v>
      </c>
      <c r="D5" s="277"/>
      <c r="E5" s="277"/>
      <c r="F5" s="277"/>
      <c r="G5" s="277"/>
      <c r="H5" s="278">
        <f ca="1">NeoGuiInfB!E28</f>
        <v>0</v>
      </c>
      <c r="I5" s="277" t="s">
        <v>177</v>
      </c>
      <c r="J5" s="277"/>
      <c r="K5" s="277"/>
      <c r="L5" s="277"/>
      <c r="M5" s="948" t="s">
        <v>572</v>
      </c>
      <c r="N5" s="949"/>
      <c r="O5" s="279" t="s">
        <v>573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NeoGuiInfB!B30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IF(24*NeoBerInfB!B18&gt;0,TRUNC(24*NeoBerInfB!B18/10),"")</f>
        <v/>
      </c>
      <c r="N6" s="283" t="str">
        <f>IF(NeoBerInfB!B18&gt;0,(24*NeoBerInfB!B18/10-M6)*10,"")</f>
        <v/>
      </c>
      <c r="O6" s="279" t="str">
        <f>IF(NeoBerInfB!J18,"extra","")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5.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IF(NeoBerInfB!$K$37&gt;0,IF(_Neo_InfB_DagKeuze&lt;&gt;2,TRUNC(NeoBerInfB!$C$37),0),"")</f>
        <v/>
      </c>
      <c r="N8" s="290" t="str">
        <f ca="1">IF(NeoBerInfB!$K$37&gt;0,IF(_Neo_1700_DagKeuze&lt;&gt;2,(NeoBerInfB!$C$37-M8)*100,0),"")</f>
        <v/>
      </c>
      <c r="O8" s="279"/>
      <c r="P8" s="280"/>
    </row>
    <row r="9" spans="1:16" ht="14.7" x14ac:dyDescent="0.35">
      <c r="A9" s="291"/>
      <c r="B9" s="279"/>
      <c r="C9" s="275"/>
      <c r="D9" s="282"/>
      <c r="E9" s="282"/>
      <c r="F9" s="282"/>
      <c r="G9" s="282"/>
      <c r="H9" s="282" t="s">
        <v>574</v>
      </c>
      <c r="I9" s="282"/>
      <c r="J9" s="282"/>
      <c r="K9" s="282"/>
      <c r="L9" s="276"/>
      <c r="M9" s="292" t="str">
        <f ca="1">IF(NeoBerInfB!$K$38&gt;0,IF(_Neo_1700_DagKeuze&lt;&gt;2,TRUNC(NeoBerInfB!$C$38),0),"")</f>
        <v/>
      </c>
      <c r="N9" s="283" t="str">
        <f ca="1">IF(NeoBerInfB!$K$38&gt;0,IF(_Neo_1700_DagKeuze&lt;&gt;2,(NeoBerInfB!$C$38-M9)*100,0),"")</f>
        <v/>
      </c>
      <c r="O9" s="279"/>
      <c r="P9" s="280"/>
    </row>
    <row r="10" spans="1:16" ht="14.7" x14ac:dyDescent="0.35">
      <c r="A10" s="291"/>
      <c r="B10" s="279"/>
      <c r="C10" s="286"/>
      <c r="D10" s="287"/>
      <c r="E10" s="287"/>
      <c r="F10" s="287"/>
      <c r="G10" s="287"/>
      <c r="H10" s="287" t="s">
        <v>451</v>
      </c>
      <c r="I10" s="287"/>
      <c r="J10" s="287"/>
      <c r="K10" s="287"/>
      <c r="L10" s="288"/>
      <c r="M10" s="289" t="str">
        <f ca="1">IF(NeoBerInfB!$K$39&gt;0,TRUNC(NeoBerInfB!$C$39),"")</f>
        <v/>
      </c>
      <c r="N10" s="290" t="str">
        <f ca="1">IF(NeoBerInfB!$K$39&gt;0,IF(_Neo_1700_DagKeuze=1,NeoBerInfB!$C$39-M10,0),"")</f>
        <v/>
      </c>
      <c r="O10" s="279"/>
      <c r="P10" s="280"/>
    </row>
    <row r="11" spans="1:16" ht="14.7" x14ac:dyDescent="0.35">
      <c r="A11" s="291"/>
      <c r="B11" s="279"/>
      <c r="C11" s="275"/>
      <c r="D11" s="282"/>
      <c r="E11" s="282"/>
      <c r="F11" s="282"/>
      <c r="G11" s="282"/>
      <c r="H11" s="282" t="s">
        <v>452</v>
      </c>
      <c r="I11" s="282"/>
      <c r="J11" s="282"/>
      <c r="K11" s="282"/>
      <c r="L11" s="276"/>
      <c r="M11" s="292" t="str">
        <f ca="1">IF(NeoBerInfB!$K$40&gt;0,TRUNC(NeoBerInfB!$C$40),"")</f>
        <v/>
      </c>
      <c r="N11" s="283" t="str">
        <f ca="1">IF(NeoBerInfB!$K$40&gt;0,IF(_Neo_1700_DagKeuze=1,(NeoBerInfB!$C$40-M11)*100,0),"")</f>
        <v/>
      </c>
      <c r="O11" s="279"/>
      <c r="P11" s="280"/>
    </row>
    <row r="12" spans="1:16" ht="14.7" x14ac:dyDescent="0.35">
      <c r="A12" s="291"/>
      <c r="B12" s="279"/>
      <c r="C12" s="286"/>
      <c r="D12" s="287"/>
      <c r="E12" s="287"/>
      <c r="F12" s="287"/>
      <c r="G12" s="287"/>
      <c r="H12" s="287" t="s">
        <v>217</v>
      </c>
      <c r="I12" s="287"/>
      <c r="J12" s="287"/>
      <c r="K12" s="287"/>
      <c r="L12" s="288"/>
      <c r="M12" s="289" t="str">
        <f ca="1">IF(NeoBerInfB!$K$41&gt;0,TRUNC(NeoBerInfB!$C$41),"")</f>
        <v/>
      </c>
      <c r="N12" s="290" t="str">
        <f ca="1">IF(NeoBerInfB!$K$41&gt;0,IF(_Neo_1700_DagKeuze=1,(NeoBerInfB!$C$41-M12)*100,0),"")</f>
        <v/>
      </c>
      <c r="O12" s="279"/>
      <c r="P12" s="280"/>
    </row>
    <row r="13" spans="1:16" ht="14.7" x14ac:dyDescent="0.35">
      <c r="A13" s="291"/>
      <c r="B13" s="279"/>
      <c r="C13" s="275"/>
      <c r="D13" s="282"/>
      <c r="E13" s="282"/>
      <c r="F13" s="282"/>
      <c r="G13" s="282"/>
      <c r="H13" s="282" t="s">
        <v>575</v>
      </c>
      <c r="I13" s="282"/>
      <c r="J13" s="282"/>
      <c r="K13" s="282"/>
      <c r="L13" s="276"/>
      <c r="M13" s="292" t="str">
        <f ca="1">IF(NeoBerInfB!$K$42&gt;0,TRUNC(NeoBerInfB!$C$42),"")</f>
        <v/>
      </c>
      <c r="N13" s="283" t="str">
        <f ca="1">IF(NeoBerInfB!$K$42&gt;0,IF(_Neo_1700_DagKeuze&lt;&gt;1,(NeoBerInfB!$C$42-M13)*100,0),"")</f>
        <v/>
      </c>
      <c r="O13" s="279"/>
      <c r="P13" s="280"/>
    </row>
    <row r="14" spans="1:16" ht="14.7" x14ac:dyDescent="0.35">
      <c r="A14" s="291"/>
      <c r="B14" s="279"/>
      <c r="C14" s="286"/>
      <c r="D14" s="287"/>
      <c r="E14" s="287"/>
      <c r="F14" s="287"/>
      <c r="G14" s="287"/>
      <c r="H14" s="287" t="s">
        <v>576</v>
      </c>
      <c r="I14" s="287"/>
      <c r="J14" s="287"/>
      <c r="K14" s="287"/>
      <c r="L14" s="288"/>
      <c r="M14" s="289" t="str">
        <f>IF(_Neo_InfB_DagKeuze=2,TRUNC(NeoBerInfB!$C$43),"")</f>
        <v/>
      </c>
      <c r="N14" s="290" t="str">
        <f>IF(_Neo_InfB_DagKeuze=2,(NeoBerInfB!$C$43-M14)*100,"")</f>
        <v/>
      </c>
      <c r="O14" s="279"/>
      <c r="P14" s="280"/>
    </row>
    <row r="15" spans="1:16" ht="14.7" x14ac:dyDescent="0.35">
      <c r="A15" s="291"/>
      <c r="B15" s="279"/>
      <c r="C15" s="275"/>
      <c r="D15" s="282"/>
      <c r="E15" s="282"/>
      <c r="F15" s="282"/>
      <c r="G15" s="282"/>
      <c r="H15" s="282" t="s">
        <v>355</v>
      </c>
      <c r="I15" s="282"/>
      <c r="J15" s="282"/>
      <c r="K15" s="282"/>
      <c r="L15" s="276"/>
      <c r="M15" s="292" t="str">
        <f>IF(_Neo_InfB_DagKeuze=3,TRUNC(NeoBerInfB!$C$44),"")</f>
        <v/>
      </c>
      <c r="N15" s="283" t="str">
        <f>IF(_Neo_InfB_DagKeuze=3,(NeoBerInfB!$C$44-M15)*100,"")</f>
        <v/>
      </c>
      <c r="O15" s="279"/>
      <c r="P15" s="280"/>
    </row>
    <row r="16" spans="1:16" ht="14.7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INDEX(tbl_Neo_Opl,NeoBerInfB!D45+1,1)</f>
        <v>glucose 10%</v>
      </c>
      <c r="I16" s="287"/>
      <c r="J16" s="287"/>
      <c r="K16" s="287"/>
      <c r="L16" s="288"/>
      <c r="M16" s="289" t="str">
        <f>IF(NeoBerInfB!$K$45&gt;0,TRUNC(NeoBerInfB!$K$45),"")</f>
        <v/>
      </c>
      <c r="N16" s="290" t="str">
        <f>IF(NeoBerInfB!$K$45&gt;0,(NeoBerInfB!$K$45-M16)*100,"")</f>
        <v/>
      </c>
      <c r="O16" s="279"/>
      <c r="P16" s="280"/>
    </row>
    <row r="17" spans="1:18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e">
        <f ca="1">ROUND(IF(SUM(M8:N16)&gt;0,(SUM(M8:M16)+SUM(N8:N16)/100-M17)*100,""),0)</f>
        <v>#VALUE!</v>
      </c>
      <c r="O17" s="279"/>
      <c r="P17" s="280"/>
    </row>
    <row r="18" spans="1:18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8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8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IF(NeoBerInfB!E29&gt;1,INDEX(tbl_Neo_Opl,NeoBerInfB!E29,1),"")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8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IF(NeoBerInfB!E30&gt;1,INDEX(tbl_Neo_Opl,NeoBerInfB!E30,1),"")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8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IF(NeoBerInfB!E31&gt;1,INDEX(tbl_Neo_Opl,NeoBerInfB!E31,1),"")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8" ht="14.25" customHeight="1" x14ac:dyDescent="0.4">
      <c r="A23" s="299" t="str">
        <f ca="1">IF(D23&lt;&gt;"",ROUNDUP(NeoBerInfB!C35/24,1),"")</f>
        <v/>
      </c>
      <c r="B23" s="300"/>
      <c r="C23" s="301"/>
      <c r="D23" s="275" t="str">
        <f ca="1">IF(NeoBerInfB!C35&lt;&gt;0,INDEX(tbl_Neo_IntralipidSmof,_Neo_InfB_IntralipidSmof),"")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IF(D23&lt;&gt;"",TRUNC(NeoBerInfB!C35),"")</f>
        <v/>
      </c>
      <c r="N23" s="283" t="str">
        <f ca="1">IF(D23&lt;&gt;"",(NeoBerInfB!C35-M23)*100,"")</f>
        <v/>
      </c>
      <c r="O23" s="279"/>
      <c r="P23" s="280"/>
    </row>
    <row r="24" spans="1:18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8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8" ht="14.25" customHeight="1" x14ac:dyDescent="0.4">
      <c r="A26" s="299" t="str">
        <f>IF(NeoBerInfB!B20&gt;1,NeoBerInfB!F20/10,"")</f>
        <v/>
      </c>
      <c r="B26" s="299"/>
      <c r="C26" s="304" t="str">
        <f>IF(A26&lt;&gt;"",IF(NeoBerInfB!B20&gt;1,INDEX(tbl_Neo_MedIV,NeoBerInfB!B20,1),""),"")</f>
        <v/>
      </c>
      <c r="D26" s="277"/>
      <c r="E26" s="278" t="str">
        <f>IF(A26&lt;&gt;"",IF(NeoBerInfB!B20&gt;1,NeoBerInfB!C20/10,""),"")</f>
        <v/>
      </c>
      <c r="F26" s="277" t="str">
        <f>IF(_Neo_InfB_Medicament_1&lt;&gt;5,"mg","ml")</f>
        <v>mg</v>
      </c>
      <c r="G26" s="305" t="s">
        <v>577</v>
      </c>
      <c r="H26" s="277" t="str">
        <f>IF(A26&lt;&gt;"",IF(NeoBerInfB!B20&gt;1,INDEX(tbl_Neo_MedIV,NeoBerInfB!B20,3),""),"")</f>
        <v/>
      </c>
      <c r="I26" s="277" t="s">
        <v>578</v>
      </c>
      <c r="J26" s="277" t="str">
        <f>IF(A26&lt;&gt;"",IF(NeoBerInfB!B20&gt;1,INDEX(tbl_Neo_MedIV,NeoBerInfB!B20,4),""),"")</f>
        <v/>
      </c>
      <c r="K26" s="277" t="s">
        <v>579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  <c r="R26" s="269">
        <f>NeoBerInfB!B20</f>
        <v>1</v>
      </c>
    </row>
    <row r="27" spans="1:18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580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8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8" ht="14.25" customHeight="1" x14ac:dyDescent="0.4">
      <c r="A29" s="299" t="str">
        <f>IF(NeoBerInfB!B21&gt;1,NeoBerInfB!F21/10,"")</f>
        <v/>
      </c>
      <c r="B29" s="299"/>
      <c r="C29" s="304" t="str">
        <f>IF(A29&lt;&gt;"",IF(NeoBerInfB!B21&gt;1,INDEX(tbl_Neo_MedIV,NeoBerInfB!B21,1),""),"")</f>
        <v/>
      </c>
      <c r="D29" s="277"/>
      <c r="E29" s="278" t="str">
        <f>IF(A29&lt;&gt;"",IF(NeoBerInfB!B21&gt;1,NeoBerInfB!C21/10,""),"")</f>
        <v/>
      </c>
      <c r="F29" s="277" t="str">
        <f>IF(_Neo_InfB_Medicament_2&lt;&gt;5,"mg","ml")</f>
        <v>mg</v>
      </c>
      <c r="G29" s="305" t="s">
        <v>577</v>
      </c>
      <c r="H29" s="277" t="str">
        <f>IF(A29&lt;&gt;"",IF(NeoBerInfB!B21&gt;1,INDEX(tbl_Neo_MedIV,NeoBerInfB!B21,3),""),"")</f>
        <v/>
      </c>
      <c r="I29" s="277" t="s">
        <v>578</v>
      </c>
      <c r="J29" s="277" t="str">
        <f>IF(A29&lt;&gt;"",IF(NeoBerInfB!B21&gt;1,INDEX(tbl_Neo_MedIV,NeoBerInfB!B21,4),""),"")</f>
        <v/>
      </c>
      <c r="K29" s="277" t="s">
        <v>579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8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580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8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8" ht="14.25" customHeight="1" x14ac:dyDescent="0.4">
      <c r="A32" s="299" t="str">
        <f>IF(NeoBerInfB!B22&gt;1,NeoBerInfB!F22/10,"")</f>
        <v/>
      </c>
      <c r="B32" s="299"/>
      <c r="C32" s="304" t="str">
        <f>IF(A32&lt;&gt;"",IF(NeoBerInfB!B22&gt;1,INDEX(tbl_Neo_MedIV,NeoBerInfB!B22,1),""),"")</f>
        <v/>
      </c>
      <c r="D32" s="277"/>
      <c r="E32" s="278" t="str">
        <f>IF(A32&lt;&gt;"",IF(NeoBerInfB!B22&gt;1,NeoBerInfB!C22/10,""),"")</f>
        <v/>
      </c>
      <c r="F32" s="277" t="str">
        <f>IF(_Neo_InfB_Medicament_3&lt;&gt;5,"mg","ml")</f>
        <v>mg</v>
      </c>
      <c r="G32" s="305" t="s">
        <v>577</v>
      </c>
      <c r="H32" s="277" t="str">
        <f>IF(A32&lt;&gt;"",IF(NeoBerInfB!B22&gt;1,INDEX(tbl_Neo_MedIV,NeoBerInfB!B22,3),""),"")</f>
        <v/>
      </c>
      <c r="I32" s="277" t="s">
        <v>578</v>
      </c>
      <c r="J32" s="277" t="str">
        <f>IF(A32&lt;&gt;"",IF(NeoBerInfB!B22&gt;1,INDEX(tbl_Neo_MedIV,NeoBerInfB!B22,4),""),"")</f>
        <v/>
      </c>
      <c r="K32" s="277" t="s">
        <v>579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5.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580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5.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5.1" x14ac:dyDescent="0.4">
      <c r="A35" s="299" t="str">
        <f>IF(NeoBerInfB!B23&gt;1,NeoBerInfB!F23/10,"")</f>
        <v/>
      </c>
      <c r="B35" s="299"/>
      <c r="C35" s="304" t="str">
        <f>IF(A35&lt;&gt;"",IF(NeoBerInfB!B23&gt;1,INDEX(tbl_Neo_MedIV,NeoBerInfB!B23,1),""),"")</f>
        <v/>
      </c>
      <c r="D35" s="277"/>
      <c r="E35" s="278" t="str">
        <f>IF(A35&lt;&gt;"",IF(NeoBerInfB!B23&gt;1,NeoBerInfB!C23/10,""),"")</f>
        <v/>
      </c>
      <c r="F35" s="277" t="str">
        <f>IF(_Neo_InfB_Medicament_4&lt;&gt;5,"mg","ml")</f>
        <v>mg</v>
      </c>
      <c r="G35" s="305" t="s">
        <v>577</v>
      </c>
      <c r="H35" s="277" t="str">
        <f>IF(A35&lt;&gt;"",IF(NeoBerInfB!B23&gt;1,INDEX(tbl_Neo_MedIV,NeoBerInfB!B23,3),""),"")</f>
        <v/>
      </c>
      <c r="I35" s="277" t="s">
        <v>578</v>
      </c>
      <c r="J35" s="277" t="str">
        <f>IF(A35&lt;&gt;"",IF(NeoBerInfB!B23&gt;1,INDEX(tbl_Neo_MedIV,NeoBerInfB!B23,4),""),"")</f>
        <v/>
      </c>
      <c r="K35" s="277" t="s">
        <v>579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5.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580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5.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5.1" x14ac:dyDescent="0.4">
      <c r="A38" s="299" t="str">
        <f>IF(NeoBerInfB!B24&gt;1,NeoBerInfB!F24/10,"")</f>
        <v/>
      </c>
      <c r="B38" s="299"/>
      <c r="C38" s="304" t="str">
        <f>IF(A38&lt;&gt;"",IF(NeoBerInfB!B24&gt;1,INDEX(tbl_Neo_MedIV,NeoBerInfB!B24,1),""),"")</f>
        <v/>
      </c>
      <c r="D38" s="277"/>
      <c r="E38" s="278" t="str">
        <f>IF(A38&lt;&gt;"",IF(NeoBerInfB!B24&gt;1,NeoBerInfB!C24/10,""),"")</f>
        <v/>
      </c>
      <c r="F38" s="277" t="str">
        <f>IF(_Neo_InfB_Medicament_5&lt;&gt;5,"mg","ml")</f>
        <v>mg</v>
      </c>
      <c r="G38" s="305" t="s">
        <v>577</v>
      </c>
      <c r="H38" s="277" t="str">
        <f>IF(A38&lt;&gt;"",IF(NeoBerInfB!B24&gt;1,INDEX(tbl_Neo_MedIV,NeoBerInfB!B24,3),""),"")</f>
        <v/>
      </c>
      <c r="I38" s="277" t="s">
        <v>578</v>
      </c>
      <c r="J38" s="277" t="str">
        <f>IF(A38&lt;&gt;"",IF(NeoBerInfB!B24&gt;1,INDEX(tbl_Neo_MedIV,NeoBerInfB!B24,4),""),"")</f>
        <v/>
      </c>
      <c r="K38" s="277" t="s">
        <v>579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5.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580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5.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5.1" x14ac:dyDescent="0.4">
      <c r="A41" s="299" t="str">
        <f>IF(NeoBerInfB!B25&gt;1,NeoBerInfB!F25/10,"")</f>
        <v/>
      </c>
      <c r="B41" s="299"/>
      <c r="C41" s="304" t="str">
        <f>IF(A41&lt;&gt;"",IF(NeoBerInfB!B25&gt;1,INDEX(tbl_Neo_MedIV,NeoBerInfB!B25,1),""),"")</f>
        <v/>
      </c>
      <c r="D41" s="277"/>
      <c r="E41" s="278" t="str">
        <f>IF(A41&lt;&gt;"",IF(NeoBerInfB!B25&gt;1,NeoBerInfB!C25/10,""),"")</f>
        <v/>
      </c>
      <c r="F41" s="277" t="str">
        <f>IF(_Neo_InfB_Medicament_6&lt;&gt;5,"mg","ml")</f>
        <v>mg</v>
      </c>
      <c r="G41" s="305" t="s">
        <v>577</v>
      </c>
      <c r="H41" s="277" t="str">
        <f>IF(A41&lt;&gt;"",IF(NeoBerInfB!B25&gt;1,INDEX(tbl_Neo_MedIV,NeoBerInfB!B25,3),""),"")</f>
        <v/>
      </c>
      <c r="I41" s="277" t="s">
        <v>578</v>
      </c>
      <c r="J41" s="277" t="str">
        <f>IF(A41&lt;&gt;"",IF(NeoBerInfB!B25&gt;1,INDEX(tbl_Neo_MedIV,NeoBerInfB!B25,4),""),"")</f>
        <v/>
      </c>
      <c r="K41" s="277" t="s">
        <v>579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5.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580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5.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5.1" x14ac:dyDescent="0.4">
      <c r="A44" s="299" t="str">
        <f>IF(NeoBerInfB!B26&gt;1,NeoBerInfB!F26/10,"")</f>
        <v/>
      </c>
      <c r="B44" s="299"/>
      <c r="C44" s="304" t="str">
        <f>IF(A44&lt;&gt;"",IF(NeoBerInfB!B26&gt;1,INDEX(tbl_Neo_MedIV,NeoBerInfB!B26,1),""),"")</f>
        <v/>
      </c>
      <c r="D44" s="277"/>
      <c r="E44" s="278" t="str">
        <f>IF(A44&lt;&gt;"",IF(NeoBerInfB!B26&gt;1,NeoBerInfB!C26/10,""),"")</f>
        <v/>
      </c>
      <c r="F44" s="277" t="str">
        <f>IF(_Neo_InfB_Medicament_7&lt;&gt;5,"mg","ml")</f>
        <v>mg</v>
      </c>
      <c r="G44" s="305" t="s">
        <v>577</v>
      </c>
      <c r="H44" s="277" t="str">
        <f>IF(A44&lt;&gt;"",IF(NeoBerInfB!B26&gt;1,INDEX(tbl_Neo_MedIV,NeoBerInfB!B26,3),""),"")</f>
        <v/>
      </c>
      <c r="I44" s="277" t="s">
        <v>578</v>
      </c>
      <c r="J44" s="277" t="str">
        <f>IF(A44&lt;&gt;"",IF(NeoBerInfB!B26&gt;1,INDEX(tbl_Neo_MedIV,NeoBerInfB!B26,4),""),"")</f>
        <v/>
      </c>
      <c r="K44" s="277" t="s">
        <v>579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5.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580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5.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5.1" x14ac:dyDescent="0.4">
      <c r="A47" s="299" t="str">
        <f>IF(NeoBerInfB!B27&gt;1,NeoBerInfB!F27/10,"")</f>
        <v/>
      </c>
      <c r="B47" s="299"/>
      <c r="C47" s="304" t="str">
        <f>IF(A47&lt;&gt;"",IF(NeoBerInfB!B27&gt;1,INDEX(tbl_Neo_MedIV,NeoBerInfB!B27,1),""),"")</f>
        <v/>
      </c>
      <c r="D47" s="277"/>
      <c r="E47" s="278" t="str">
        <f>IF(A47&lt;&gt;"",IF(NeoBerInfB!B27&gt;1,NeoBerInfB!C27/10,""),"")</f>
        <v/>
      </c>
      <c r="F47" s="277" t="str">
        <f>IF(_Neo_InfB_Medicament_8&lt;&gt;5,"mg","ml")</f>
        <v>mg</v>
      </c>
      <c r="G47" s="305" t="s">
        <v>577</v>
      </c>
      <c r="H47" s="277" t="str">
        <f>IF(A47&lt;&gt;"",IF(NeoBerInfB!B27&gt;1,INDEX(tbl_Neo_MedIV,NeoBerInfB!B27,3),""),"")</f>
        <v/>
      </c>
      <c r="I47" s="277" t="s">
        <v>578</v>
      </c>
      <c r="J47" s="277" t="str">
        <f>IF(A47&lt;&gt;"",IF(NeoBerInfB!B27&gt;1,INDEX(tbl_Neo_MedIV,NeoBerInfB!B27,4),""),"")</f>
        <v/>
      </c>
      <c r="K47" s="277" t="s">
        <v>579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5.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580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5.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5.1" x14ac:dyDescent="0.4">
      <c r="A50" s="299" t="str">
        <f>IF(NeoBerInfB!B28&gt;1,NeoBerInfB!F28/10,"")</f>
        <v/>
      </c>
      <c r="B50" s="299"/>
      <c r="C50" s="304" t="str">
        <f>IF(A50&lt;&gt;"",IF(NeoBerInfB!B28&gt;1,INDEX(tbl_Neo_MedIV,NeoBerInfB!B28,1),""),"")</f>
        <v/>
      </c>
      <c r="D50" s="277"/>
      <c r="E50" s="278" t="str">
        <f>IF(A50&lt;&gt;"",IF(NeoBerInfB!B28&gt;1,NeoBerInfB!C28/10,""),"")</f>
        <v/>
      </c>
      <c r="F50" s="277" t="str">
        <f>IF(_Neo_InfB_Medicament_9&lt;&gt;5,"mg","ml")</f>
        <v>mg</v>
      </c>
      <c r="G50" s="305" t="s">
        <v>577</v>
      </c>
      <c r="H50" s="277" t="str">
        <f>IF(A50&lt;&gt;"",IF(NeoBerInfB!B28&gt;1,INDEX(tbl_Neo_MedIV,NeoBerInfB!B28,3),""),"")</f>
        <v/>
      </c>
      <c r="I50" s="277" t="s">
        <v>578</v>
      </c>
      <c r="J50" s="277" t="str">
        <f>IF(A50&lt;&gt;"",IF(NeoBerInfB!B28&gt;1,INDEX(tbl_Neo_MedIV,NeoBerInfB!B28,4),""),"")</f>
        <v/>
      </c>
      <c r="K50" s="277" t="s">
        <v>579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5.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580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5.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x14ac:dyDescent="0.35">
      <c r="D57" s="318"/>
    </row>
  </sheetData>
  <sheetProtection algorithmName="SHA-512" hashValue="tr5B4nnKUWbwv9MaKAL1lkpVyv89EMmXWf6Cam7W2w9h7EwrjeOkAhQofIpt/SCWEtYdMtPqH42NKGgtLRoRDA==" saltValue="Hjmhg4x8doq65RitBAy2DA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D17" sqref="D17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820"/>
      <c r="B1" s="821" t="str">
        <f>IF(E60&lt;0,"Te weinig volume voor TPN!","")</f>
        <v/>
      </c>
    </row>
    <row r="2" spans="1:15" ht="15.95" customHeight="1" x14ac:dyDescent="0.35">
      <c r="B2" s="759" t="s">
        <v>379</v>
      </c>
      <c r="C2" s="759" t="s">
        <v>589</v>
      </c>
      <c r="D2" s="759" t="s">
        <v>590</v>
      </c>
      <c r="E2" s="759" t="s">
        <v>124</v>
      </c>
      <c r="F2" s="760"/>
      <c r="G2" s="759"/>
      <c r="H2" s="759" t="s">
        <v>589</v>
      </c>
      <c r="I2" s="759" t="s">
        <v>590</v>
      </c>
      <c r="J2" s="759" t="s">
        <v>124</v>
      </c>
      <c r="K2" s="950" t="s">
        <v>1165</v>
      </c>
      <c r="L2" s="950"/>
      <c r="M2" s="950"/>
      <c r="N2" s="950"/>
    </row>
    <row r="3" spans="1:15" ht="15.95" customHeight="1" x14ac:dyDescent="0.4">
      <c r="B3" s="761" t="s">
        <v>333</v>
      </c>
      <c r="C3" s="762" t="str">
        <f ca="1">ROUND(NeoBer1700!K50/(_Pat_Gewicht/10),0)&amp;" ml/kg"</f>
        <v>0 ml/kg</v>
      </c>
      <c r="D3" s="762" t="str">
        <f>ROUND(NeoBer1700!K49/(_Pat_Gewicht/10),0)&amp;" ml/kg"</f>
        <v>0 ml/kg</v>
      </c>
      <c r="E3" s="762" t="str">
        <f ca="1">ROUND(NeoBer1700!K47/(_Pat_Gewicht/10),0)&amp;" ml/kg  "&amp;"= "&amp;ROUND(NeoBer1700!K47,0)&amp;" ml"</f>
        <v>0 ml/kg  = 0 ml</v>
      </c>
      <c r="F3" s="760"/>
      <c r="G3" s="761" t="s">
        <v>183</v>
      </c>
      <c r="H3" s="762" t="str">
        <f ca="1">ROUND(NeoBer1700!L50/(_Pat_Gewicht/10),1)&amp;" mmol/kg"</f>
        <v>0 mmol/kg</v>
      </c>
      <c r="I3" s="762" t="str">
        <f>ROUND(NeoBer1700!L49/(_Pat_Gewicht/10),1)&amp;" mmol/kg"</f>
        <v>0 mmol/kg</v>
      </c>
      <c r="J3" s="762" t="str">
        <f ca="1">ROUND(NeoBer1700!L47/(_Pat_Gewicht/10),1)&amp;" mmol/kg"</f>
        <v>0 mmol/kg</v>
      </c>
      <c r="K3" s="950"/>
      <c r="L3" s="950"/>
      <c r="M3" s="950"/>
      <c r="N3" s="950"/>
    </row>
    <row r="4" spans="1:15" ht="15.95" customHeight="1" x14ac:dyDescent="0.4">
      <c r="B4" s="761" t="s">
        <v>239</v>
      </c>
      <c r="C4" s="762" t="str">
        <f ca="1">ROUND(NeoBer1700!Q50/(_Pat_Gewicht/10),1)&amp;" g/kg"</f>
        <v>0 g/kg</v>
      </c>
      <c r="D4" s="762" t="str">
        <f>ROUND(NeoBer1700!Q49/(_Pat_Gewicht/10),1)&amp;" g/kg"</f>
        <v>0 g/kg</v>
      </c>
      <c r="E4" s="762" t="str">
        <f ca="1">ROUND(NeoBer1700!Q47/(_Pat_Gewicht/10),1)&amp;" g/kg"</f>
        <v>0 g/kg</v>
      </c>
      <c r="F4" s="760"/>
      <c r="G4" s="761" t="s">
        <v>300</v>
      </c>
      <c r="H4" s="762" t="str">
        <f ca="1">ROUND(NeoBer1700!M50/(_Pat_Gewicht/10),1)&amp;" mmol/kg"</f>
        <v>0 mmol/kg</v>
      </c>
      <c r="I4" s="762" t="str">
        <f>ROUND(NeoBer1700!M49/(_Pat_Gewicht/10),1)&amp;" mmol/kg"</f>
        <v>0 mmol/kg</v>
      </c>
      <c r="J4" s="762" t="str">
        <f ca="1">ROUND(NeoBer1700!M47/(_Pat_Gewicht/10),1)&amp;" mmol/kg"</f>
        <v>0 mmol/kg</v>
      </c>
      <c r="K4" s="950"/>
      <c r="L4" s="950"/>
      <c r="M4" s="950"/>
      <c r="N4" s="950"/>
    </row>
    <row r="5" spans="1:15" ht="15.95" customHeight="1" x14ac:dyDescent="0.4">
      <c r="B5" s="761" t="s">
        <v>240</v>
      </c>
      <c r="C5" s="762" t="str">
        <f ca="1">ROUND(NeoBer1700!S50/(_Pat_Gewicht/10),1)&amp;" g/kg"</f>
        <v>0 g/kg</v>
      </c>
      <c r="D5" s="762" t="str">
        <f>ROUND(NeoBer1700!S49/(_Pat_Gewicht/10),1)&amp;" g/kg"</f>
        <v>0 g/kg</v>
      </c>
      <c r="E5" s="762" t="str">
        <f ca="1">ROUND(NeoBer1700!S47/(_Pat_Gewicht/10),1)&amp;" g/kg"</f>
        <v>0 g/kg</v>
      </c>
      <c r="F5" s="760"/>
      <c r="G5" s="761" t="s">
        <v>241</v>
      </c>
      <c r="H5" s="762" t="str">
        <f ca="1">ROUND(NeoBer1700!N50/(_Pat_Gewicht/10),1)&amp;" mmol/kg"</f>
        <v>0 mmol/kg</v>
      </c>
      <c r="I5" s="762" t="str">
        <f>ROUND(NeoBer1700!N49/(_Pat_Gewicht/10),1)&amp;" mmol/kg"</f>
        <v>0 mmol/kg</v>
      </c>
      <c r="J5" s="762" t="str">
        <f ca="1">ROUND(NeoBer1700!N47/(_Pat_Gewicht/10),1)&amp;" mmol/kg"</f>
        <v>0 mmol/kg</v>
      </c>
      <c r="K5" s="950"/>
      <c r="L5" s="950"/>
      <c r="M5" s="950"/>
      <c r="N5" s="950"/>
    </row>
    <row r="6" spans="1:15" ht="15.95" customHeight="1" x14ac:dyDescent="0.4">
      <c r="A6" s="820"/>
      <c r="B6" s="761" t="s">
        <v>591</v>
      </c>
      <c r="C6" s="762" t="str">
        <f>ROUND(1000*NeoBer1700!R50/(_Pat_Gewicht/10)/1440,1)&amp;" mg/kg/min"</f>
        <v>0 mg/kg/min</v>
      </c>
      <c r="D6" s="762" t="str">
        <f>ROUND(1000*NeoBer1700!R49/(_Pat_Gewicht/10)/1440,1)&amp;" mg/kg/min"</f>
        <v>0 mg/kg/min</v>
      </c>
      <c r="E6" s="762" t="str">
        <f>ROUND(1000*NeoBer1700!R47/(_Pat_Gewicht/10)/1440,1)&amp;" mg/kg/min"</f>
        <v>0 mg/kg/min</v>
      </c>
      <c r="F6" s="760"/>
      <c r="G6" s="761" t="s">
        <v>338</v>
      </c>
      <c r="H6" s="762" t="str">
        <f ca="1">ROUND(NeoBer1700!O50/(_Pat_Gewicht/10),1)&amp;" mmol/kg"</f>
        <v>0 mmol/kg</v>
      </c>
      <c r="I6" s="762" t="str">
        <f>ROUND(NeoBer1700!O49/(_Pat_Gewicht/10),1)&amp;" mmol/kg"</f>
        <v>0 mmol/kg</v>
      </c>
      <c r="J6" s="762" t="str">
        <f ca="1">ROUND(NeoBer1700!O47/(_Pat_Gewicht/10),1)&amp;" mmol/kg"</f>
        <v>0 mmol/kg</v>
      </c>
    </row>
    <row r="7" spans="1:15" ht="15.95" customHeight="1" x14ac:dyDescent="0.4">
      <c r="B7" s="761" t="s">
        <v>584</v>
      </c>
      <c r="C7" s="762" t="str">
        <f ca="1">ROUND(NeoBer1700!T50/(_Pat_Gewicht/10),1)&amp; " kcal/kg"</f>
        <v>0 kcal/kg</v>
      </c>
      <c r="D7" s="762" t="str">
        <f>ROUND(NeoBer1700!T49/(_Pat_Gewicht/10),1)&amp; " kcal/kg"</f>
        <v>0 kcal/kg</v>
      </c>
      <c r="E7" s="762" t="str">
        <f ca="1">ROUND(NeoBer1700!T47/(_Pat_Gewicht/10),1)&amp; " kcal/kg"</f>
        <v>0 kcal/kg</v>
      </c>
      <c r="F7" s="760"/>
      <c r="G7" s="761" t="s">
        <v>592</v>
      </c>
      <c r="H7" s="762" t="str">
        <f ca="1">ROUND(NeoBer1700!U50/(_Pat_Gewicht/10),1)&amp;" mmol/kg"</f>
        <v>0 mmol/kg</v>
      </c>
      <c r="I7" s="762" t="str">
        <f>ROUND(NeoBer1700!U49/(_Pat_Gewicht/10),1)&amp;" mmol/kg"</f>
        <v>0 mmol/kg</v>
      </c>
      <c r="J7" s="762" t="str">
        <f ca="1">ROUND(NeoBer1700!U47/(_Pat_Gewicht/10),1)&amp;" mmol/kg"</f>
        <v>0 mmol/kg</v>
      </c>
    </row>
    <row r="8" spans="1:15" ht="15.95" customHeight="1" thickBot="1" x14ac:dyDescent="0.45">
      <c r="A8" s="758"/>
      <c r="B8" s="763" t="s">
        <v>593</v>
      </c>
      <c r="C8" s="764" t="str">
        <f ca="1">ROUND(NeoBer1700!V50,0)&amp; " IE/ml"</f>
        <v>0 IE/ml</v>
      </c>
      <c r="D8" s="764" t="str">
        <f>ROUND(NeoBer1700!V49,0)&amp; " IE/ml"</f>
        <v>0 IE/ml</v>
      </c>
      <c r="E8" s="764" t="str">
        <f ca="1">ROUND(NeoBer1700!V47,0)&amp; " IE/ml"</f>
        <v>0 IE/ml</v>
      </c>
      <c r="F8" s="765"/>
      <c r="G8" s="763" t="s">
        <v>242</v>
      </c>
      <c r="H8" s="764" t="str">
        <f>ROUND(NeoBer1700!P50/(_Pat_Gewicht/10),1)&amp;" mmol/kg"</f>
        <v>0 mmol/kg</v>
      </c>
      <c r="I8" s="764" t="str">
        <f>ROUND(NeoBer1700!P49/(_Pat_Gewicht/10),1)&amp;" mmol/kg"</f>
        <v>0 mmol/kg</v>
      </c>
      <c r="J8" s="764" t="str">
        <f>ROUND(NeoBer1700!P47/(_Pat_Gewicht/10),1)&amp;" mmol/kg"</f>
        <v>0 mmol/kg</v>
      </c>
      <c r="K8" s="758"/>
      <c r="L8" s="758"/>
      <c r="M8" s="758"/>
      <c r="N8" s="758"/>
      <c r="O8" s="758"/>
    </row>
    <row r="9" spans="1:15" ht="8.3000000000000007" customHeight="1" thickTop="1" x14ac:dyDescent="0.4">
      <c r="A9" s="822"/>
      <c r="B9" s="823"/>
      <c r="C9" s="824"/>
      <c r="D9" s="824"/>
      <c r="E9" s="824"/>
      <c r="F9" s="825"/>
      <c r="G9" s="823"/>
      <c r="H9" s="824"/>
      <c r="I9" s="824"/>
      <c r="J9" s="824"/>
      <c r="K9" s="825"/>
      <c r="L9" s="825"/>
      <c r="M9" s="825"/>
      <c r="N9" s="825"/>
    </row>
    <row r="10" spans="1:15" ht="15.95" customHeight="1" x14ac:dyDescent="0.4">
      <c r="B10" s="741" t="s">
        <v>594</v>
      </c>
      <c r="C10" s="742"/>
      <c r="D10" s="742"/>
      <c r="E10" s="742"/>
      <c r="F10" s="742"/>
      <c r="G10" s="743" t="s">
        <v>369</v>
      </c>
      <c r="H10" s="742"/>
      <c r="I10" s="742">
        <f>__0_PatNum</f>
        <v>0</v>
      </c>
      <c r="J10" s="742"/>
      <c r="K10" s="742"/>
      <c r="L10" s="742"/>
      <c r="M10" s="742"/>
    </row>
    <row r="11" spans="1:15" ht="15.95" customHeight="1" x14ac:dyDescent="0.4">
      <c r="B11" s="741" t="s">
        <v>595</v>
      </c>
      <c r="C11" s="742"/>
      <c r="D11" s="742"/>
      <c r="E11" s="742"/>
      <c r="F11" s="742"/>
      <c r="G11" s="743" t="s">
        <v>28</v>
      </c>
      <c r="H11" s="742"/>
      <c r="I11" s="744" t="str">
        <f>__2_AchterNaam &amp;",  "&amp;__3_VoorNaam</f>
        <v xml:space="preserve">,  </v>
      </c>
      <c r="J11" s="745"/>
      <c r="K11" s="742"/>
      <c r="L11" s="742"/>
      <c r="M11" s="742"/>
    </row>
    <row r="12" spans="1:15" ht="15.95" customHeight="1" x14ac:dyDescent="0.4">
      <c r="B12" s="741" t="s">
        <v>596</v>
      </c>
      <c r="C12" s="742"/>
      <c r="D12" s="742"/>
      <c r="E12" s="742"/>
      <c r="F12" s="742"/>
      <c r="G12" s="743" t="s">
        <v>597</v>
      </c>
      <c r="H12" s="742"/>
      <c r="I12" s="746">
        <f>NeoBer1700!B3-NeoBer1700!C3</f>
        <v>0</v>
      </c>
      <c r="J12" s="747" t="str">
        <f ca="1">"=dag "&amp;NeoBer1700!B6</f>
        <v>=dag 42740</v>
      </c>
      <c r="K12" s="742"/>
      <c r="L12" s="742"/>
      <c r="M12" s="742"/>
    </row>
    <row r="13" spans="1:15" ht="15.95" customHeight="1" x14ac:dyDescent="0.4">
      <c r="B13" s="742"/>
      <c r="C13" s="742"/>
      <c r="D13" s="742"/>
      <c r="E13" s="742"/>
      <c r="F13" s="742"/>
      <c r="G13" s="743" t="s">
        <v>554</v>
      </c>
      <c r="H13" s="748">
        <f>NeoBerInfB!D4</f>
        <v>30</v>
      </c>
      <c r="I13" s="749" t="s">
        <v>598</v>
      </c>
      <c r="J13" s="748">
        <f>NeoBerInfB!D5</f>
        <v>0</v>
      </c>
      <c r="K13" s="749" t="s">
        <v>599</v>
      </c>
      <c r="L13" s="749"/>
      <c r="M13" s="742"/>
    </row>
    <row r="14" spans="1:15" ht="15.95" customHeight="1" x14ac:dyDescent="0.4">
      <c r="B14" s="743" t="s">
        <v>326</v>
      </c>
      <c r="C14" s="746">
        <f>NeoBer1700!B5</f>
        <v>42370</v>
      </c>
      <c r="D14" s="742"/>
      <c r="E14" s="742"/>
      <c r="F14" s="742"/>
      <c r="G14" s="742"/>
      <c r="H14" s="742"/>
      <c r="I14" s="742"/>
      <c r="J14" s="742"/>
      <c r="K14" s="742"/>
      <c r="L14" s="742"/>
      <c r="M14" s="742"/>
    </row>
    <row r="15" spans="1:15" ht="15.95" customHeight="1" x14ac:dyDescent="0.4">
      <c r="B15" s="750" t="s">
        <v>549</v>
      </c>
      <c r="C15" s="751">
        <f>__1_Bed</f>
        <v>0</v>
      </c>
      <c r="D15" s="752"/>
      <c r="E15" s="742"/>
      <c r="F15" s="742"/>
      <c r="G15" s="743" t="s">
        <v>296</v>
      </c>
      <c r="H15" s="753" t="str">
        <f ca="1">TRUNC((H13*7+J13+NeoBer1700!B6-1)/7)&amp;" weken en "&amp; H13*7+J13+NeoBer1700!B6-1-TRUNC((H13*7+J13+NeoBer1700!B6-1)/7)*7&amp;" dag(-en)"</f>
        <v>6135 weken en 4 dag(-en)</v>
      </c>
      <c r="I15" s="742"/>
      <c r="J15" s="742"/>
      <c r="K15" s="742"/>
      <c r="L15" s="742"/>
      <c r="M15" s="742"/>
    </row>
    <row r="16" spans="1:15" ht="15.95" customHeight="1" x14ac:dyDescent="0.4">
      <c r="B16" s="754"/>
      <c r="C16" s="755"/>
      <c r="D16" s="755"/>
      <c r="E16" s="755"/>
      <c r="F16" s="755"/>
      <c r="G16" s="754" t="s">
        <v>568</v>
      </c>
      <c r="H16" s="755" t="str">
        <f>NeoBerInfB!B4&amp;" kg"</f>
        <v>10 kg</v>
      </c>
      <c r="I16" s="755"/>
      <c r="J16" s="755"/>
      <c r="K16" s="755"/>
      <c r="L16" s="755"/>
      <c r="M16" s="755"/>
    </row>
    <row r="17" spans="1:15" ht="15.95" customHeight="1" x14ac:dyDescent="0.4">
      <c r="B17" s="757"/>
      <c r="K17" s="831" t="s">
        <v>600</v>
      </c>
      <c r="L17" s="831"/>
    </row>
    <row r="18" spans="1:15" ht="15.95" customHeight="1" x14ac:dyDescent="0.4">
      <c r="B18" s="757" t="s">
        <v>601</v>
      </c>
      <c r="E18" s="832">
        <f ca="1">IF(NeoBer1700!B17,NeoBer1700!C16,ROUND(NeoBer1700!K47/(_Pat_Gewicht/10),1))</f>
        <v>0</v>
      </c>
      <c r="F18" s="833" t="s">
        <v>602</v>
      </c>
      <c r="K18" s="834" t="str">
        <f ca="1">ROUND(NeoBer1700!B16,0)&amp;" ml/ kg/ 24 uur"</f>
        <v>150 ml/ kg/ 24 uur</v>
      </c>
      <c r="L18" s="834"/>
      <c r="M18" s="835"/>
    </row>
    <row r="19" spans="1:15" ht="15.95" customHeight="1" x14ac:dyDescent="0.4">
      <c r="B19" s="757" t="s">
        <v>603</v>
      </c>
      <c r="F19" s="833"/>
      <c r="K19" s="836"/>
      <c r="L19" s="836"/>
      <c r="M19" s="825"/>
    </row>
    <row r="21" spans="1:15" ht="15.95" customHeight="1" x14ac:dyDescent="0.4">
      <c r="D21" s="837" t="s">
        <v>604</v>
      </c>
      <c r="E21" s="827" t="str">
        <f>IF(_Neo_1700_Voeding&gt;1,NeoBer1700!D10,"")</f>
        <v/>
      </c>
      <c r="F21" s="827" t="s">
        <v>605</v>
      </c>
      <c r="G21" s="828" t="str">
        <f>IF(_Neo_1700_Voeding&gt;1,NeoBer1700!D11/10&amp;" ml","")</f>
        <v/>
      </c>
      <c r="H21" s="838" t="s">
        <v>606</v>
      </c>
    </row>
    <row r="22" spans="1:15" ht="15.95" customHeight="1" x14ac:dyDescent="0.4">
      <c r="D22" s="837" t="s">
        <v>607</v>
      </c>
      <c r="E22" s="827" t="str">
        <f>IF(_Neo_1700_Voeding&gt;1,NeoBer1700!D12,"")</f>
        <v/>
      </c>
      <c r="F22" s="827" t="s">
        <v>605</v>
      </c>
      <c r="G22" s="828" t="str">
        <f>IF(_Neo_1700_Voeding&gt;1,NeoBer1700!D13/10&amp;" ml","")</f>
        <v/>
      </c>
      <c r="I22" s="837" t="s">
        <v>961</v>
      </c>
      <c r="M22" s="837" t="s">
        <v>962</v>
      </c>
    </row>
    <row r="23" spans="1:15" ht="15.95" customHeight="1" x14ac:dyDescent="0.4">
      <c r="H23" s="837"/>
      <c r="I23" s="839" t="s">
        <v>979</v>
      </c>
      <c r="K23" s="835" t="e">
        <f>INDEX(tbl_Neo_NutrBMFWaard,NeoBer1700!K52)&amp;" %"</f>
        <v>#VALUE!</v>
      </c>
    </row>
    <row r="24" spans="1:15" ht="15.95" customHeight="1" x14ac:dyDescent="0.4">
      <c r="H24" s="837"/>
      <c r="K24" s="835" t="e">
        <f>INDEX(tbl_Neo_NutrToevWaard,NeoBer1700!K53)&amp;" %"</f>
        <v>#VALUE!</v>
      </c>
      <c r="O24" s="835" t="e">
        <f>INDEX(tbl_Neo_NutrToevWaard,NeoBer1700!K58)&amp;" %"</f>
        <v>#VALUE!</v>
      </c>
    </row>
    <row r="25" spans="1:15" ht="15.95" customHeight="1" x14ac:dyDescent="0.4">
      <c r="H25" s="837"/>
      <c r="K25" s="835" t="e">
        <f>INDEX(tbl_Neo_NutrToevWaard,NeoBer1700!K54)&amp;" %"</f>
        <v>#VALUE!</v>
      </c>
      <c r="O25" s="835" t="e">
        <f>INDEX(tbl_Neo_NutrToevWaard,NeoBer1700!K59)&amp;" %"</f>
        <v>#VALUE!</v>
      </c>
    </row>
    <row r="26" spans="1:15" ht="15.95" customHeight="1" x14ac:dyDescent="0.4">
      <c r="H26" s="837"/>
      <c r="K26" s="835" t="e">
        <f>INDEX(tbl_Neo_NutrToevWaard,NeoBer1700!K55)&amp;" %"</f>
        <v>#VALUE!</v>
      </c>
      <c r="O26" s="835" t="e">
        <f>INDEX(tbl_Neo_NutrToevWaard,NeoBer1700!K60)&amp;" %"</f>
        <v>#VALUE!</v>
      </c>
    </row>
    <row r="27" spans="1:15" ht="15.95" customHeight="1" x14ac:dyDescent="0.4">
      <c r="B27" s="840"/>
      <c r="C27" s="840"/>
      <c r="D27" s="840"/>
      <c r="E27" s="841"/>
      <c r="F27" s="840"/>
      <c r="G27" s="840"/>
      <c r="H27" s="841"/>
      <c r="I27" s="840"/>
      <c r="J27" s="840"/>
      <c r="K27" s="835" t="e">
        <f>INDEX(tbl_Neo_NutrToevWaard,NeoBer1700!K56)&amp;" %"</f>
        <v>#VALUE!</v>
      </c>
      <c r="L27" s="840"/>
      <c r="M27" s="840"/>
      <c r="N27" s="840"/>
      <c r="O27" s="835" t="e">
        <f>INDEX(tbl_Neo_NutrToevWaard,NeoBer1700!K61)&amp;" %"</f>
        <v>#VALUE!</v>
      </c>
    </row>
    <row r="28" spans="1:15" ht="15.95" customHeight="1" x14ac:dyDescent="0.4">
      <c r="B28" s="757" t="s">
        <v>608</v>
      </c>
      <c r="E28" s="832">
        <f ca="1">IF(NeoBer1700!B17,NeoBer1700!C17,NeoBer1700!K50)</f>
        <v>0</v>
      </c>
      <c r="F28" s="833" t="s">
        <v>609</v>
      </c>
    </row>
    <row r="29" spans="1:15" ht="15.95" customHeight="1" x14ac:dyDescent="0.35">
      <c r="H29" s="831" t="s">
        <v>610</v>
      </c>
      <c r="I29" s="831"/>
      <c r="J29" s="842" t="s">
        <v>558</v>
      </c>
      <c r="K29" s="831" t="s">
        <v>611</v>
      </c>
      <c r="L29" s="831"/>
      <c r="N29" s="831" t="s">
        <v>612</v>
      </c>
    </row>
    <row r="30" spans="1:15" ht="15.95" customHeight="1" x14ac:dyDescent="0.4">
      <c r="A30" s="843"/>
      <c r="B30" s="823" t="s">
        <v>777</v>
      </c>
      <c r="C30" s="825"/>
      <c r="D30" s="825"/>
      <c r="E30" s="825"/>
      <c r="F30" s="825"/>
      <c r="G30" s="844" t="str">
        <f>NeoBer1700!B18/10&amp;" ml/uur"</f>
        <v>0 ml/uur</v>
      </c>
      <c r="H30" s="825"/>
      <c r="I30" s="825"/>
      <c r="J30" s="825"/>
      <c r="K30" s="825"/>
      <c r="L30" s="825"/>
      <c r="M30" s="845"/>
      <c r="N30" s="825"/>
    </row>
    <row r="31" spans="1:15" ht="7.55" customHeight="1" x14ac:dyDescent="0.4">
      <c r="A31" s="843"/>
      <c r="B31" s="823"/>
      <c r="C31" s="825"/>
      <c r="D31" s="825"/>
      <c r="E31" s="825"/>
      <c r="F31" s="825"/>
      <c r="G31" s="844"/>
      <c r="H31" s="825"/>
      <c r="I31" s="825"/>
      <c r="J31" s="825"/>
      <c r="K31" s="825"/>
      <c r="L31" s="825"/>
      <c r="M31" s="845"/>
      <c r="N31" s="825"/>
    </row>
    <row r="32" spans="1:15" ht="15.95" customHeight="1" x14ac:dyDescent="0.4">
      <c r="A32" s="843">
        <v>1</v>
      </c>
      <c r="B32" s="846"/>
      <c r="C32" s="847" t="str">
        <f>IF(NeoBer1700!C20&gt;0,IF(NeoBer1700!B20&lt;&gt;5,NeoBer1700!C20/10&amp;" mg",NeoBer1700!C20/10&amp;" ml"),"")</f>
        <v/>
      </c>
      <c r="D32" s="847" t="str">
        <f>IF(NeoBer1700!D20&gt;0,"in "&amp;NeoBer1700!D20&amp;" ml","")</f>
        <v/>
      </c>
      <c r="E32" s="846"/>
      <c r="F32" s="846"/>
      <c r="G32" s="848" t="str">
        <f>IF(NeoBer1700!F20/10&gt;0,NeoBer1700!F20/10&amp;" ml/uur","")</f>
        <v/>
      </c>
      <c r="H32" s="847" t="str">
        <f>IF(AND(NeoBer1700!H20&gt;0),ROUND(NeoBer1700!H20,2),"")</f>
        <v/>
      </c>
      <c r="I32" s="847" t="str">
        <f>IF(_Neo_1700_Medicament_1&gt;1,INDEX(tbl_Neo_MedIV,NeoBer1700!B20,6),"")</f>
        <v/>
      </c>
      <c r="J32" s="835"/>
      <c r="K32" s="834">
        <f>INDEX(tbl_Neo_MedIV,NeoBer1700!B20,2)</f>
        <v>0</v>
      </c>
      <c r="L32" s="834"/>
      <c r="M32" s="849"/>
      <c r="N32" s="850" t="str">
        <f>IF(NeoBer1700!H20&gt;0,IF(NeoBer1700!X20*10&gt;1,NeoBer1700!W20&amp;" uren",NeoBer1700!W20&amp;" minuten"),"")</f>
        <v/>
      </c>
    </row>
    <row r="33" spans="1:14" ht="15.95" customHeight="1" x14ac:dyDescent="0.4">
      <c r="A33" s="843">
        <v>2</v>
      </c>
      <c r="B33" s="851"/>
      <c r="C33" s="852" t="str">
        <f>IF(NeoBer1700!C21&gt;0,NeoBer1700!C21/10&amp;" mg","")</f>
        <v/>
      </c>
      <c r="D33" s="852" t="str">
        <f>IF(NeoBer1700!D21&gt;0,"in "&amp;NeoBer1700!D21&amp;" ml","")</f>
        <v/>
      </c>
      <c r="E33" s="851"/>
      <c r="F33" s="851"/>
      <c r="G33" s="853" t="str">
        <f>IF(NeoBer1700!F21/10&gt;0,NeoBer1700!F21/10&amp;" ml/uur","")</f>
        <v/>
      </c>
      <c r="H33" s="847" t="str">
        <f>IF(AND(NeoBer1700!H21&gt;0),ROUND(NeoBer1700!H21,2),"")</f>
        <v/>
      </c>
      <c r="I33" s="847" t="str">
        <f>IF(_Neo_1700_Medicament_2&gt;1,INDEX(tbl_Neo_MedIV,NeoBer1700!B21,6),"")</f>
        <v/>
      </c>
      <c r="J33" s="854"/>
      <c r="K33" s="855">
        <f>INDEX(tbl_Neo_MedIV,NeoBer1700!B21,2)</f>
        <v>0</v>
      </c>
      <c r="L33" s="855"/>
      <c r="M33" s="856"/>
      <c r="N33" s="857" t="str">
        <f>IF(NeoBer1700!H21&gt;0,IF(NeoBer1700!X21*10&gt;1,NeoBer1700!W21&amp;" uren",NeoBer1700!W21&amp;" minuten"),"")</f>
        <v/>
      </c>
    </row>
    <row r="34" spans="1:14" ht="15.95" customHeight="1" x14ac:dyDescent="0.4">
      <c r="A34" s="843">
        <v>3</v>
      </c>
      <c r="B34" s="851"/>
      <c r="C34" s="852" t="str">
        <f>IF(NeoBer1700!C22&gt;0,NeoBer1700!C22/10&amp;" mg","")</f>
        <v/>
      </c>
      <c r="D34" s="852" t="str">
        <f>IF(NeoBer1700!D22&gt;0,"in "&amp;NeoBer1700!D22&amp;" ml","")</f>
        <v/>
      </c>
      <c r="E34" s="851"/>
      <c r="F34" s="851"/>
      <c r="G34" s="853" t="str">
        <f>IF(NeoBer1700!F22/10&gt;0,NeoBer1700!F22/10&amp;" ml/uur","")</f>
        <v/>
      </c>
      <c r="H34" s="847" t="str">
        <f>IF(AND(NeoBer1700!H22&gt;0),ROUND(NeoBer1700!H22,2),"")</f>
        <v/>
      </c>
      <c r="I34" s="847" t="str">
        <f>IF(_Neo_1700_Medicament_3&gt;1,INDEX(tbl_Neo_MedIV,NeoBer1700!B22,6),"")</f>
        <v/>
      </c>
      <c r="J34" s="854"/>
      <c r="K34" s="855">
        <f>INDEX(tbl_Neo_MedIV,NeoBer1700!B22,2)</f>
        <v>0</v>
      </c>
      <c r="L34" s="855"/>
      <c r="M34" s="856"/>
      <c r="N34" s="857" t="str">
        <f>IF(NeoBer1700!H22&gt;0,IF(NeoBer1700!X22*10&gt;1,NeoBer1700!W22&amp;" uren",NeoBer1700!W22&amp;" minuten"),"")</f>
        <v/>
      </c>
    </row>
    <row r="35" spans="1:14" ht="15.95" customHeight="1" x14ac:dyDescent="0.4">
      <c r="A35" s="843">
        <v>4</v>
      </c>
      <c r="B35" s="851"/>
      <c r="C35" s="852" t="str">
        <f>IF(NeoBer1700!C23&gt;0,NeoBer1700!C23/10&amp;" mg","")</f>
        <v/>
      </c>
      <c r="D35" s="852" t="str">
        <f>IF(NeoBer1700!D23&gt;0,"in "&amp;NeoBer1700!D23&amp;" ml","")</f>
        <v/>
      </c>
      <c r="E35" s="851"/>
      <c r="F35" s="851"/>
      <c r="G35" s="853" t="str">
        <f>IF(NeoBer1700!F23/10&gt;0,NeoBer1700!F23/10&amp;" ml/uur","")</f>
        <v/>
      </c>
      <c r="H35" s="847" t="str">
        <f>IF(AND(NeoBer1700!H23&gt;0),ROUND(NeoBer1700!H23,2),"")</f>
        <v/>
      </c>
      <c r="I35" s="847" t="str">
        <f>IF(_Neo_1700_Medicament_4&gt;1,INDEX(tbl_Neo_MedIV,NeoBer1700!B23,6),"")</f>
        <v/>
      </c>
      <c r="J35" s="854"/>
      <c r="K35" s="855">
        <f>INDEX(tbl_Neo_MedIV,NeoBer1700!B23,2)</f>
        <v>0</v>
      </c>
      <c r="L35" s="855"/>
      <c r="M35" s="856"/>
      <c r="N35" s="857" t="str">
        <f>IF(NeoBer1700!H23&gt;0,IF(NeoBer1700!X23*10&gt;1,NeoBer1700!W23&amp;" uren",NeoBer1700!W23&amp;" minuten"),"")</f>
        <v/>
      </c>
    </row>
    <row r="36" spans="1:14" ht="15.95" customHeight="1" x14ac:dyDescent="0.4">
      <c r="A36" s="843">
        <v>5</v>
      </c>
      <c r="B36" s="851"/>
      <c r="C36" s="852" t="str">
        <f>IF(NeoBer1700!C24&gt;0,NeoBer1700!C24/10&amp;" mg","")</f>
        <v/>
      </c>
      <c r="D36" s="852" t="str">
        <f>IF(NeoBer1700!D24&gt;0,"in "&amp;NeoBer1700!D24&amp;" ml","")</f>
        <v/>
      </c>
      <c r="E36" s="851"/>
      <c r="F36" s="851"/>
      <c r="G36" s="853" t="str">
        <f>IF(NeoBer1700!F24/10&gt;0,NeoBer1700!F24/10&amp;" ml/uur","")</f>
        <v/>
      </c>
      <c r="H36" s="847" t="str">
        <f>IF(AND(NeoBer1700!H24&gt;0),ROUND(NeoBer1700!H24,2),"")</f>
        <v/>
      </c>
      <c r="I36" s="847" t="str">
        <f>IF(_Neo_1700_Medicament_5&gt;1,INDEX(tbl_Neo_MedIV,NeoBer1700!B24,6),"")</f>
        <v/>
      </c>
      <c r="J36" s="854"/>
      <c r="K36" s="855">
        <f>INDEX(tbl_Neo_MedIV,NeoBer1700!B24,2)</f>
        <v>0</v>
      </c>
      <c r="L36" s="855"/>
      <c r="M36" s="856"/>
      <c r="N36" s="857" t="str">
        <f>IF(NeoBer1700!H24&gt;0,IF(NeoBer1700!X24*10&gt;1,NeoBer1700!W24&amp;" uren",NeoBer1700!W24&amp;" minuten"),"")</f>
        <v/>
      </c>
    </row>
    <row r="37" spans="1:14" ht="15.95" customHeight="1" x14ac:dyDescent="0.4">
      <c r="A37" s="843">
        <v>6</v>
      </c>
      <c r="B37" s="851"/>
      <c r="C37" s="852" t="str">
        <f>IF(NeoBer1700!C25&gt;0,NeoBer1700!C25/10&amp;" mg","")</f>
        <v/>
      </c>
      <c r="D37" s="852" t="str">
        <f>IF(NeoBer1700!D25&gt;0,"in "&amp;NeoBer1700!D25&amp;" ml","")</f>
        <v/>
      </c>
      <c r="E37" s="851"/>
      <c r="F37" s="851"/>
      <c r="G37" s="853" t="str">
        <f>IF(NeoBer1700!F25/10&gt;0,NeoBer1700!F25/10&amp;" ml/uur","")</f>
        <v/>
      </c>
      <c r="H37" s="847" t="str">
        <f>IF(AND(NeoBer1700!H25&gt;0),ROUND(NeoBer1700!H25,2),"")</f>
        <v/>
      </c>
      <c r="I37" s="847" t="str">
        <f>IF(_Neo_1700_Medicament_6&gt;1,INDEX(tbl_Neo_MedIV,NeoBer1700!B25,6),"")</f>
        <v/>
      </c>
      <c r="J37" s="854"/>
      <c r="K37" s="855">
        <f>INDEX(tbl_Neo_MedIV,NeoBer1700!B25,2)</f>
        <v>0</v>
      </c>
      <c r="L37" s="855"/>
      <c r="M37" s="856"/>
      <c r="N37" s="857" t="str">
        <f>IF(NeoBer1700!H25&gt;0,IF(NeoBer1700!X25*10&gt;1,NeoBer1700!W25&amp;" uren",NeoBer1700!W25&amp;" minuten"),"")</f>
        <v/>
      </c>
    </row>
    <row r="38" spans="1:14" ht="15.95" customHeight="1" x14ac:dyDescent="0.4">
      <c r="A38" s="843">
        <v>7</v>
      </c>
      <c r="B38" s="851"/>
      <c r="C38" s="852" t="str">
        <f>IF(NeoBer1700!C26&gt;0,NeoBer1700!C26/10&amp;" mg","")</f>
        <v/>
      </c>
      <c r="D38" s="852" t="str">
        <f>IF(NeoBer1700!D26&gt;0,"in "&amp;NeoBer1700!D26&amp;" ml","")</f>
        <v/>
      </c>
      <c r="E38" s="851"/>
      <c r="F38" s="851"/>
      <c r="G38" s="853" t="str">
        <f>IF(NeoBer1700!F26/10&gt;0,NeoBer1700!F26/10&amp;" ml/uur","")</f>
        <v/>
      </c>
      <c r="H38" s="847" t="str">
        <f>IF(AND(NeoBer1700!H26&gt;0),ROUND(NeoBer1700!H26,2),"")</f>
        <v/>
      </c>
      <c r="I38" s="847" t="str">
        <f>IF(_Neo_1700_Medicament_7&gt;1,INDEX(tbl_Neo_MedIV,NeoBer1700!B26,6),"")</f>
        <v/>
      </c>
      <c r="J38" s="854"/>
      <c r="K38" s="855">
        <f>INDEX(tbl_Neo_MedIV,NeoBer1700!B26,2)</f>
        <v>0</v>
      </c>
      <c r="L38" s="855"/>
      <c r="M38" s="856"/>
      <c r="N38" s="857" t="str">
        <f>IF(NeoBer1700!H26&gt;0,IF(NeoBer1700!X26*10&gt;1,NeoBer1700!W26&amp;" uren",NeoBer1700!W26&amp;" minuten"),"")</f>
        <v/>
      </c>
    </row>
    <row r="39" spans="1:14" ht="15.95" customHeight="1" x14ac:dyDescent="0.4">
      <c r="A39" s="843">
        <v>8</v>
      </c>
      <c r="B39" s="851"/>
      <c r="C39" s="852" t="str">
        <f>IF(NeoBer1700!C27&gt;0,NeoBer1700!C27/10&amp;" mg","")</f>
        <v/>
      </c>
      <c r="D39" s="852" t="str">
        <f>IF(NeoBer1700!D27&gt;0,"in "&amp;NeoBer1700!D27&amp;" ml","")</f>
        <v/>
      </c>
      <c r="E39" s="851"/>
      <c r="F39" s="851"/>
      <c r="G39" s="853" t="str">
        <f>IF(NeoBer1700!F27/10&gt;0,NeoBer1700!F27/10&amp;" ml/uur","")</f>
        <v/>
      </c>
      <c r="H39" s="847" t="str">
        <f>IF(AND(NeoBer1700!H27&gt;0),ROUND(NeoBer1700!H27,2),"")</f>
        <v/>
      </c>
      <c r="I39" s="847" t="str">
        <f>IF(_Neo_1700_Medicament_8&gt;1,INDEX(tbl_Neo_MedIV,NeoBer1700!B27,6),"")</f>
        <v/>
      </c>
      <c r="J39" s="854"/>
      <c r="K39" s="855">
        <f>INDEX(tbl_Neo_MedIV,NeoBer1700!B27,2)</f>
        <v>0</v>
      </c>
      <c r="L39" s="855"/>
      <c r="M39" s="856"/>
      <c r="N39" s="857" t="str">
        <f>IF(NeoBer1700!H27&gt;0,IF(NeoBer1700!X27*10&gt;1,NeoBer1700!W27&amp;" uren",NeoBer1700!W27&amp;" minuten"),"")</f>
        <v/>
      </c>
    </row>
    <row r="40" spans="1:14" ht="15.95" customHeight="1" x14ac:dyDescent="0.4">
      <c r="A40" s="843">
        <v>9</v>
      </c>
      <c r="B40" s="851"/>
      <c r="C40" s="852" t="str">
        <f>IF(NeoBer1700!C28&gt;0,NeoBer1700!C28/10&amp;" mg","")</f>
        <v/>
      </c>
      <c r="D40" s="852" t="str">
        <f>IF(NeoBer1700!D28&gt;0,"in "&amp;NeoBer1700!D28&amp;" ml","")</f>
        <v/>
      </c>
      <c r="E40" s="851"/>
      <c r="F40" s="846"/>
      <c r="G40" s="848" t="str">
        <f>IF(NeoBer1700!F28/10&gt;0,NeoBer1700!F28/10&amp;" ml/uur","")</f>
        <v/>
      </c>
      <c r="H40" s="847" t="str">
        <f>IF(AND(NeoBer1700!H28&gt;0),ROUND(NeoBer1700!H28,2),"")</f>
        <v/>
      </c>
      <c r="I40" s="847" t="str">
        <f>IF(_Neo_1700_Medicament_9&gt;1,INDEX(tbl_Neo_MedIV,NeoBer1700!B28,6),"")</f>
        <v/>
      </c>
      <c r="J40" s="835"/>
      <c r="K40" s="855">
        <f>INDEX(tbl_Neo_MedIV,NeoBer1700!B28,2)</f>
        <v>0</v>
      </c>
      <c r="L40" s="855"/>
      <c r="M40" s="856"/>
      <c r="N40" s="857" t="str">
        <f>IF(NeoBer1700!H28&gt;0,IF(NeoBer1700!X28*10&gt;1,NeoBer1700!W28&amp;" uren",NeoBer1700!W28&amp;" minuten"),"")</f>
        <v/>
      </c>
    </row>
    <row r="41" spans="1:14" ht="9.75" customHeight="1" x14ac:dyDescent="0.4">
      <c r="A41" s="843"/>
      <c r="B41" s="858"/>
      <c r="C41" s="859"/>
      <c r="D41" s="859"/>
      <c r="E41" s="858"/>
      <c r="F41" s="825"/>
      <c r="G41" s="844"/>
      <c r="H41" s="859"/>
      <c r="I41" s="825"/>
      <c r="J41" s="825"/>
      <c r="K41" s="860"/>
      <c r="L41" s="860"/>
      <c r="M41" s="861"/>
      <c r="N41" s="862"/>
    </row>
    <row r="42" spans="1:14" ht="15.95" customHeight="1" x14ac:dyDescent="0.4">
      <c r="A42" s="843">
        <v>10</v>
      </c>
      <c r="B42" s="863" t="s">
        <v>613</v>
      </c>
      <c r="C42" s="847"/>
      <c r="D42" s="847"/>
      <c r="E42" s="847"/>
      <c r="F42" s="847"/>
      <c r="G42" s="848" t="str">
        <f>IF(NeoBer1700!F29/10&gt;0,NeoBer1700!F29/10&amp;" ml/uur","")</f>
        <v/>
      </c>
      <c r="H42" s="864" t="str">
        <f>IF(NeoBer1700!H32&gt;0,"= "&amp;ROUND(NeoBer1700!H32,2),"")</f>
        <v/>
      </c>
      <c r="I42" s="864"/>
      <c r="J42" s="825"/>
      <c r="K42" s="836"/>
      <c r="L42" s="836"/>
      <c r="M42" s="865"/>
      <c r="N42" s="844"/>
    </row>
    <row r="43" spans="1:14" ht="15.95" customHeight="1" x14ac:dyDescent="0.4">
      <c r="A43" s="843">
        <v>11</v>
      </c>
      <c r="B43" s="863" t="s">
        <v>614</v>
      </c>
      <c r="C43" s="847"/>
      <c r="D43" s="847"/>
      <c r="E43" s="847"/>
      <c r="F43" s="847"/>
      <c r="G43" s="848" t="str">
        <f>IF(NeoBer1700!F30/10&gt;0,NeoBer1700!F30/10&amp;" ml/uur","")</f>
        <v/>
      </c>
      <c r="H43" s="864" t="str">
        <f>IF(NeoBer1700!H33&gt;0,"= "&amp;ROUND(NeoBer1700!H33,2),"")</f>
        <v/>
      </c>
      <c r="I43" s="864"/>
      <c r="J43" s="825"/>
      <c r="K43" s="836"/>
      <c r="L43" s="836"/>
      <c r="M43" s="865"/>
      <c r="N43" s="844"/>
    </row>
    <row r="44" spans="1:14" ht="15.95" customHeight="1" x14ac:dyDescent="0.4">
      <c r="A44" s="843">
        <v>12</v>
      </c>
      <c r="B44" s="863" t="s">
        <v>615</v>
      </c>
      <c r="C44" s="847"/>
      <c r="D44" s="847"/>
      <c r="E44" s="847"/>
      <c r="F44" s="847"/>
      <c r="G44" s="848" t="str">
        <f>IF(NeoBer1700!F31/10&gt;0,NeoBer1700!F31/10&amp;" ml/uur","")</f>
        <v/>
      </c>
      <c r="H44" s="864" t="str">
        <f>IF(NeoBer1700!H34&gt;0,"= "&amp;ROUND(NeoBer1700!H34,2),"")</f>
        <v/>
      </c>
      <c r="I44" s="864"/>
      <c r="J44" s="825"/>
      <c r="K44" s="836"/>
      <c r="L44" s="836"/>
      <c r="M44" s="865"/>
      <c r="N44" s="844"/>
    </row>
    <row r="45" spans="1:14" ht="15.95" customHeight="1" x14ac:dyDescent="0.4">
      <c r="A45" s="843">
        <v>13</v>
      </c>
      <c r="B45" s="853" t="str">
        <f>IF(_Neo_1700_MedTekst_1="","",_Neo_1700_MedTekst_1)</f>
        <v/>
      </c>
      <c r="C45" s="852"/>
      <c r="D45" s="852"/>
      <c r="E45" s="852"/>
      <c r="F45" s="852"/>
      <c r="G45" s="852"/>
      <c r="H45" s="847"/>
      <c r="I45" s="847"/>
      <c r="J45" s="825"/>
      <c r="K45" s="836"/>
      <c r="L45" s="836"/>
      <c r="M45" s="865"/>
      <c r="N45" s="844"/>
    </row>
    <row r="46" spans="1:14" ht="15.95" customHeight="1" x14ac:dyDescent="0.4">
      <c r="A46" s="843">
        <v>14</v>
      </c>
      <c r="B46" s="844" t="str">
        <f>IF(_Neo_1700_MedTekst_2="","",_Neo_1700_MedTekst_2)</f>
        <v/>
      </c>
      <c r="C46" s="864"/>
      <c r="D46" s="864"/>
      <c r="E46" s="864"/>
      <c r="F46" s="864"/>
      <c r="G46" s="864"/>
      <c r="H46" s="864"/>
      <c r="I46" s="864"/>
      <c r="J46" s="825"/>
      <c r="K46" s="836"/>
      <c r="L46" s="836"/>
      <c r="M46" s="865"/>
      <c r="N46" s="844"/>
    </row>
    <row r="47" spans="1:14" ht="15.95" customHeight="1" x14ac:dyDescent="0.35">
      <c r="D47" s="826"/>
      <c r="K47" s="866" t="s">
        <v>600</v>
      </c>
      <c r="L47" s="866"/>
    </row>
    <row r="48" spans="1:14" ht="15.95" customHeight="1" x14ac:dyDescent="0.4">
      <c r="B48" s="829"/>
      <c r="C48" s="830"/>
      <c r="D48" s="867"/>
      <c r="E48" s="868" t="str">
        <f ca="1">IF(NeoBer1700!C35&gt;0,NeoBer1700!C35&amp;" ml","")</f>
        <v/>
      </c>
      <c r="F48" s="826" t="str">
        <f ca="1">IF(E48&lt;&gt;"",ROUND(NeoBer1700!C35/(_Pat_Gewicht/10),0)&amp;" ml/ kg","")</f>
        <v/>
      </c>
      <c r="K48" s="834" t="str">
        <f ca="1">IF(NeoBer1700!B35&gt;0,NeoBer1700!B35&amp;" ml","")</f>
        <v>120 ml</v>
      </c>
      <c r="L48" s="834"/>
      <c r="M48" s="835"/>
    </row>
    <row r="49" spans="2:13" ht="12" customHeight="1" x14ac:dyDescent="0.4">
      <c r="B49" s="823"/>
      <c r="C49" s="825"/>
      <c r="D49" s="864"/>
      <c r="E49" s="844"/>
    </row>
    <row r="50" spans="2:13" ht="15.75" customHeight="1" x14ac:dyDescent="0.35">
      <c r="B50" s="869"/>
    </row>
    <row r="51" spans="2:13" ht="15.95" customHeight="1" x14ac:dyDescent="0.4">
      <c r="B51" s="757" t="s">
        <v>617</v>
      </c>
    </row>
    <row r="52" spans="2:13" ht="15.75" customHeight="1" x14ac:dyDescent="0.4">
      <c r="B52" s="870" t="s">
        <v>357</v>
      </c>
      <c r="C52" s="835"/>
      <c r="D52" s="835"/>
      <c r="E52" s="850" t="str">
        <f ca="1">IF(NeoBer1700!$D$36=1,NeoBer1700!C37&amp;" ml","")</f>
        <v>0 ml</v>
      </c>
      <c r="F52" s="835"/>
      <c r="G52" s="835"/>
      <c r="H52" s="835"/>
      <c r="I52" s="850" t="str">
        <f>IF(NeoBer1700!$D$36=3,NeoBer1700!C37&amp;" ml","")</f>
        <v/>
      </c>
      <c r="J52" s="835"/>
      <c r="K52" s="834" t="str">
        <f ca="1">IF(NeoBer1700!B37&gt;0,NeoBer1700!B37&amp;" ml","")</f>
        <v/>
      </c>
      <c r="L52" s="834"/>
      <c r="M52" s="835"/>
    </row>
    <row r="53" spans="2:13" ht="15.95" customHeight="1" x14ac:dyDescent="0.4">
      <c r="B53" s="871" t="s">
        <v>618</v>
      </c>
      <c r="C53" s="854"/>
      <c r="D53" s="854"/>
      <c r="E53" s="857" t="str">
        <f ca="1">IF(NeoBer1700!$D$36=1,NeoBer1700!C38&amp;" ml","")</f>
        <v>0 ml</v>
      </c>
      <c r="F53" s="854"/>
      <c r="G53" s="854"/>
      <c r="H53" s="854"/>
      <c r="I53" s="857" t="str">
        <f>IF(NeoBer1700!$D$36=3,NeoBer1700!C38&amp;" ml","")</f>
        <v/>
      </c>
      <c r="J53" s="854"/>
      <c r="K53" s="855" t="str">
        <f ca="1">IF(NeoBer1700!B38&gt;0,NeoBer1700!B38&amp;" ml","")</f>
        <v/>
      </c>
      <c r="L53" s="855"/>
      <c r="M53" s="855"/>
    </row>
    <row r="54" spans="2:13" ht="15.95" customHeight="1" x14ac:dyDescent="0.4">
      <c r="B54" s="871" t="s">
        <v>619</v>
      </c>
      <c r="C54" s="854"/>
      <c r="D54" s="854"/>
      <c r="E54" s="857" t="str">
        <f ca="1">IF(NeoBer1700!$D$36=1,NeoBer1700!C39&amp;" ml","")</f>
        <v>0 ml</v>
      </c>
      <c r="F54" s="854"/>
      <c r="G54" s="854"/>
      <c r="H54" s="854"/>
      <c r="I54" s="854"/>
      <c r="J54" s="854"/>
      <c r="K54" s="855" t="str">
        <f ca="1">IF(NeoBer1700!B39&gt;0,NeoBer1700!B39&amp;" ml","")</f>
        <v/>
      </c>
      <c r="L54" s="855"/>
      <c r="M54" s="855"/>
    </row>
    <row r="55" spans="2:13" ht="15.95" customHeight="1" x14ac:dyDescent="0.4">
      <c r="B55" s="871" t="s">
        <v>620</v>
      </c>
      <c r="C55" s="854"/>
      <c r="D55" s="854"/>
      <c r="E55" s="857" t="str">
        <f ca="1">IF(NeoBer1700!$D$36=1,NeoBer1700!C40&amp;" ml","")</f>
        <v>0 ml</v>
      </c>
      <c r="F55" s="854"/>
      <c r="G55" s="854"/>
      <c r="H55" s="854"/>
      <c r="I55" s="854"/>
      <c r="J55" s="854"/>
      <c r="K55" s="855" t="str">
        <f ca="1">IF(NeoBer1700!B40&gt;0,NeoBer1700!B40&amp;" ml","")</f>
        <v/>
      </c>
      <c r="L55" s="855"/>
      <c r="M55" s="855"/>
    </row>
    <row r="56" spans="2:13" ht="15.95" customHeight="1" x14ac:dyDescent="0.4">
      <c r="B56" s="871" t="s">
        <v>217</v>
      </c>
      <c r="C56" s="854"/>
      <c r="D56" s="854"/>
      <c r="E56" s="857" t="str">
        <f ca="1">IF(NeoBer1700!$D$36=1,NeoBer1700!C41&amp;" ml","")</f>
        <v>0 ml</v>
      </c>
      <c r="F56" s="854"/>
      <c r="G56" s="854"/>
      <c r="H56" s="854"/>
      <c r="I56" s="854"/>
      <c r="J56" s="854"/>
      <c r="K56" s="855" t="str">
        <f ca="1">IF(NeoBer1700!B41&gt;0,NeoBer1700!B41&amp;" ml","")</f>
        <v/>
      </c>
      <c r="L56" s="855"/>
      <c r="M56" s="855"/>
    </row>
    <row r="57" spans="2:13" ht="15.95" customHeight="1" x14ac:dyDescent="0.4">
      <c r="B57" s="871" t="s">
        <v>575</v>
      </c>
      <c r="C57" s="854"/>
      <c r="D57" s="854"/>
      <c r="E57" s="857" t="str">
        <f ca="1">IF(NeoBer1700!$D$36=1,NeoBer1700!C42&amp;" ml","")</f>
        <v>0 ml</v>
      </c>
      <c r="F57" s="854"/>
      <c r="G57" s="854"/>
      <c r="H57" s="854"/>
      <c r="I57" s="854"/>
      <c r="J57" s="854"/>
      <c r="K57" s="855" t="str">
        <f ca="1">IF(NeoBer1700!B42&gt;0,NeoBer1700!B42&amp;" ml","")</f>
        <v/>
      </c>
      <c r="L57" s="855"/>
      <c r="M57" s="855"/>
    </row>
    <row r="58" spans="2:13" ht="15.95" customHeight="1" x14ac:dyDescent="0.4">
      <c r="B58" s="871" t="s">
        <v>576</v>
      </c>
      <c r="C58" s="854"/>
      <c r="D58" s="854"/>
      <c r="E58" s="854"/>
      <c r="F58" s="854"/>
      <c r="G58" s="857" t="str">
        <f>IF(NeoBer1700!D36=2,NeoBer1700!C43&amp;" ml","")</f>
        <v/>
      </c>
      <c r="H58" s="872" t="str">
        <f>IF(G58&lt;&gt;"","("&amp;ROUND(NeoBer1700!C43/(_Pat_Gewicht/10),0)&amp;" ml/kg)","")</f>
        <v/>
      </c>
      <c r="I58" s="854"/>
      <c r="J58" s="854"/>
      <c r="K58" s="855" t="str">
        <f ca="1">IF(NeoBer1700!B43&gt;0,NeoBer1700!B43&amp;" ml","")</f>
        <v>350 ml</v>
      </c>
      <c r="L58" s="855"/>
      <c r="M58" s="855"/>
    </row>
    <row r="59" spans="2:13" ht="15.95" customHeight="1" x14ac:dyDescent="0.4">
      <c r="B59" s="871" t="s">
        <v>355</v>
      </c>
      <c r="C59" s="854"/>
      <c r="D59" s="854"/>
      <c r="E59" s="854"/>
      <c r="F59" s="854"/>
      <c r="G59" s="854"/>
      <c r="H59" s="854"/>
      <c r="I59" s="857" t="str">
        <f>IF(NeoBer1700!$D$36=3,NeoBer1700!C44&amp;" ml","")</f>
        <v/>
      </c>
      <c r="J59" s="872" t="str">
        <f>IF(I59&lt;&gt;"","("&amp;ROUND(1000*NeoBer1700!C44/(_Pat_Gewicht/10),0)&amp;" ml/kg)","")</f>
        <v/>
      </c>
      <c r="K59" s="855" t="str">
        <f ca="1">IF(NeoBer1700!B44&gt;0,NeoBer1700!B44&amp;" ml","")</f>
        <v>350 ml</v>
      </c>
      <c r="L59" s="855"/>
      <c r="M59" s="855"/>
    </row>
    <row r="60" spans="2:13" ht="20.100000000000001" customHeight="1" x14ac:dyDescent="0.4">
      <c r="B60" s="854"/>
      <c r="C60" s="854"/>
      <c r="D60" s="854"/>
      <c r="E60" s="873">
        <f>IF(NeoBer1700!D36=1,NeoBer1700!K45,"")</f>
        <v>0</v>
      </c>
      <c r="F60" s="854" t="str">
        <f>IF(E60&lt;&gt;"","ml","")</f>
        <v>ml</v>
      </c>
      <c r="G60" s="873" t="str">
        <f>IF(NeoBer1700!D36=2,NeoBer1700!K45,"")</f>
        <v/>
      </c>
      <c r="H60" s="854" t="str">
        <f>IF(G60&lt;&gt;"","ml","")</f>
        <v/>
      </c>
      <c r="I60" s="873" t="str">
        <f>IF(NeoBer1700!D36=3,NeoBer1700!K45,"")</f>
        <v/>
      </c>
      <c r="J60" s="854" t="str">
        <f>IF(I60&lt;&gt;"","ml","")</f>
        <v/>
      </c>
      <c r="K60" s="855"/>
      <c r="L60" s="855"/>
      <c r="M60" s="855"/>
    </row>
  </sheetData>
  <sheetProtection algorithmName="SHA-512" hashValue="vUZ0xe5rOGYwu3V49l4gqF3HUiPkQOxYWzl2epMZMd0A+yK1qdbyiaR81AxXzJ9m54O+pSzWwtGp0h/tyLAFXw==" saltValue="vR5AFgl9af5ronmfRaEavw==" spinCount="100000" sheet="1" objects="1" scenario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89" activePane="bottomRight" state="frozen"/>
      <selection activeCell="J26" sqref="J26"/>
      <selection pane="topRight" activeCell="J26" sqref="J26"/>
      <selection pane="bottomLeft" activeCell="J26" sqref="J26"/>
      <selection pane="bottomRight" activeCell="C96" sqref="C96"/>
    </sheetView>
  </sheetViews>
  <sheetFormatPr defaultColWidth="9.1328125" defaultRowHeight="12.85" x14ac:dyDescent="0.35"/>
  <cols>
    <col min="1" max="1" width="40.1328125" style="512" customWidth="1"/>
    <col min="2" max="3" width="13.86328125" style="512" customWidth="1"/>
    <col min="4" max="4" width="11.73046875" style="512" customWidth="1"/>
    <col min="5" max="5" width="10.73046875" style="512" customWidth="1"/>
    <col min="6" max="6" width="10" style="512" customWidth="1"/>
    <col min="7" max="7" width="10.73046875" style="512" bestFit="1" customWidth="1"/>
    <col min="8" max="8" width="12.3984375" style="512" bestFit="1" customWidth="1"/>
    <col min="9" max="11" width="9.1328125" style="512"/>
    <col min="12" max="12" width="13.265625" style="512" bestFit="1" customWidth="1"/>
    <col min="13" max="16384" width="9.1328125" style="512"/>
  </cols>
  <sheetData>
    <row r="1" spans="1:24" x14ac:dyDescent="0.35">
      <c r="A1" s="434" t="s">
        <v>28</v>
      </c>
      <c r="E1" s="512" t="s">
        <v>200</v>
      </c>
      <c r="J1" s="512" t="s">
        <v>558</v>
      </c>
      <c r="K1" s="512" t="s">
        <v>333</v>
      </c>
      <c r="L1" s="512" t="s">
        <v>246</v>
      </c>
      <c r="M1" s="512" t="s">
        <v>247</v>
      </c>
      <c r="N1" s="512" t="s">
        <v>248</v>
      </c>
      <c r="O1" s="512" t="s">
        <v>249</v>
      </c>
      <c r="P1" s="512" t="s">
        <v>581</v>
      </c>
      <c r="Q1" s="512" t="s">
        <v>244</v>
      </c>
      <c r="R1" s="512" t="s">
        <v>582</v>
      </c>
      <c r="S1" s="512" t="s">
        <v>583</v>
      </c>
      <c r="T1" s="512" t="s">
        <v>584</v>
      </c>
      <c r="U1" s="512" t="s">
        <v>635</v>
      </c>
      <c r="V1" s="512" t="s">
        <v>593</v>
      </c>
      <c r="W1" s="512" t="s">
        <v>612</v>
      </c>
      <c r="X1" s="512" t="s">
        <v>663</v>
      </c>
    </row>
    <row r="2" spans="1:24" x14ac:dyDescent="0.35">
      <c r="A2" s="512" t="s">
        <v>548</v>
      </c>
      <c r="B2" s="512">
        <f>__1_Bed</f>
        <v>0</v>
      </c>
    </row>
    <row r="3" spans="1:24" x14ac:dyDescent="0.35">
      <c r="A3" s="512" t="s">
        <v>597</v>
      </c>
      <c r="B3" s="378">
        <f>__4_GebDatum</f>
        <v>0</v>
      </c>
      <c r="C3" s="373">
        <v>0</v>
      </c>
      <c r="E3" s="512" t="s">
        <v>664</v>
      </c>
    </row>
    <row r="4" spans="1:24" x14ac:dyDescent="0.35">
      <c r="A4" s="512" t="s">
        <v>568</v>
      </c>
      <c r="B4" s="381">
        <f>_Pat_Gewicht/10</f>
        <v>10</v>
      </c>
      <c r="C4" s="236" t="s">
        <v>665</v>
      </c>
      <c r="D4" s="377">
        <v>30</v>
      </c>
    </row>
    <row r="5" spans="1:24" x14ac:dyDescent="0.35">
      <c r="A5" s="512" t="s">
        <v>326</v>
      </c>
      <c r="B5" s="378">
        <f>_Pat_OpnDatum</f>
        <v>42370</v>
      </c>
      <c r="C5" s="236" t="s">
        <v>666</v>
      </c>
      <c r="D5" s="377">
        <v>0</v>
      </c>
    </row>
    <row r="6" spans="1:24" x14ac:dyDescent="0.35">
      <c r="A6" s="434" t="s">
        <v>667</v>
      </c>
      <c r="B6" s="373">
        <f ca="1">TODAY()-B3+1+C3</f>
        <v>42740</v>
      </c>
      <c r="C6" s="512">
        <f ca="1">IF(B6&lt;7,B6,6)</f>
        <v>6</v>
      </c>
    </row>
    <row r="7" spans="1:24" x14ac:dyDescent="0.35">
      <c r="A7" s="512" t="s">
        <v>200</v>
      </c>
    </row>
    <row r="8" spans="1:24" x14ac:dyDescent="0.35">
      <c r="A8" s="512" t="s">
        <v>601</v>
      </c>
    </row>
    <row r="9" spans="1:24" x14ac:dyDescent="0.35">
      <c r="A9" s="512" t="s">
        <v>668</v>
      </c>
    </row>
    <row r="10" spans="1:24" x14ac:dyDescent="0.35">
      <c r="A10" s="512" t="s">
        <v>317</v>
      </c>
      <c r="D10" s="512">
        <v>0</v>
      </c>
    </row>
    <row r="11" spans="1:24" x14ac:dyDescent="0.35">
      <c r="A11" s="512" t="s">
        <v>604</v>
      </c>
      <c r="D11" s="512">
        <v>0</v>
      </c>
      <c r="L11" s="512">
        <v>2</v>
      </c>
      <c r="M11" s="512">
        <v>3</v>
      </c>
      <c r="N11" s="512">
        <v>4</v>
      </c>
      <c r="O11" s="512">
        <v>5</v>
      </c>
      <c r="P11" s="512">
        <v>6</v>
      </c>
      <c r="Q11" s="512">
        <v>7</v>
      </c>
      <c r="R11" s="512">
        <v>8</v>
      </c>
      <c r="S11" s="512">
        <v>9</v>
      </c>
      <c r="T11" s="512">
        <v>10</v>
      </c>
      <c r="U11" s="512">
        <v>11</v>
      </c>
      <c r="V11" s="512">
        <v>12</v>
      </c>
    </row>
    <row r="12" spans="1:24" x14ac:dyDescent="0.35">
      <c r="A12" s="512" t="s">
        <v>317</v>
      </c>
      <c r="D12" s="512">
        <v>0</v>
      </c>
    </row>
    <row r="13" spans="1:24" x14ac:dyDescent="0.35">
      <c r="A13" s="512" t="s">
        <v>604</v>
      </c>
      <c r="D13" s="512">
        <v>0</v>
      </c>
    </row>
    <row r="14" spans="1:24" x14ac:dyDescent="0.35">
      <c r="A14" s="512" t="s">
        <v>305</v>
      </c>
      <c r="D14" s="512">
        <v>1</v>
      </c>
      <c r="J14" s="512">
        <v>1</v>
      </c>
      <c r="K14" s="512">
        <f>IF(AND(_Neo_InfB_VochtExtra_01=2,_Neo_InfB_Voeding&gt;1),(D10*D11+D12*D13)/10,0)</f>
        <v>0</v>
      </c>
      <c r="L14" s="512">
        <f t="shared" ref="L14:V14" si="0">INDEX(tbl_Neo_Pos,$D$14,L11)*$K$14</f>
        <v>0</v>
      </c>
      <c r="M14" s="512">
        <f t="shared" si="0"/>
        <v>0</v>
      </c>
      <c r="N14" s="512">
        <f t="shared" si="0"/>
        <v>0</v>
      </c>
      <c r="O14" s="512">
        <f t="shared" si="0"/>
        <v>0</v>
      </c>
      <c r="P14" s="512">
        <f t="shared" si="0"/>
        <v>0</v>
      </c>
      <c r="Q14" s="512">
        <f t="shared" si="0"/>
        <v>0</v>
      </c>
      <c r="R14" s="512">
        <f t="shared" si="0"/>
        <v>0</v>
      </c>
      <c r="S14" s="512">
        <f t="shared" si="0"/>
        <v>0</v>
      </c>
      <c r="T14" s="512">
        <f t="shared" si="0"/>
        <v>0</v>
      </c>
      <c r="U14" s="512">
        <f t="shared" si="0"/>
        <v>0</v>
      </c>
      <c r="V14" s="512">
        <f t="shared" si="0"/>
        <v>0</v>
      </c>
    </row>
    <row r="15" spans="1:24" x14ac:dyDescent="0.35">
      <c r="A15" s="512" t="s">
        <v>603</v>
      </c>
      <c r="B15" s="512">
        <v>2</v>
      </c>
    </row>
    <row r="16" spans="1:24" x14ac:dyDescent="0.35">
      <c r="A16" s="512" t="s">
        <v>669</v>
      </c>
      <c r="B16" s="512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512">
        <f ca="1">ROUND(B16/5,0)*5+(D16-5000)</f>
        <v>150</v>
      </c>
      <c r="D16" s="512">
        <v>5000</v>
      </c>
    </row>
    <row r="17" spans="1:24" x14ac:dyDescent="0.35">
      <c r="A17" s="512" t="s">
        <v>670</v>
      </c>
      <c r="B17" s="512" t="b">
        <v>0</v>
      </c>
      <c r="C17" s="512">
        <f ca="1">ROUND(C16*(_Pat_Gewicht/10)-K14,0)</f>
        <v>1500</v>
      </c>
    </row>
    <row r="18" spans="1:24" x14ac:dyDescent="0.35">
      <c r="A18" s="512" t="s">
        <v>777</v>
      </c>
      <c r="B18" s="512">
        <v>0</v>
      </c>
      <c r="J18" s="512" t="b">
        <v>0</v>
      </c>
      <c r="K18" s="512">
        <f>IF(J18,0,B18*2.4)</f>
        <v>0</v>
      </c>
      <c r="L18" s="512">
        <f>0.155*K18/2</f>
        <v>0</v>
      </c>
    </row>
    <row r="19" spans="1:24" x14ac:dyDescent="0.35">
      <c r="B19" s="512" t="s">
        <v>632</v>
      </c>
      <c r="C19" s="512" t="s">
        <v>671</v>
      </c>
      <c r="D19" s="512" t="s">
        <v>672</v>
      </c>
      <c r="E19" s="512" t="s">
        <v>165</v>
      </c>
      <c r="F19" s="512" t="s">
        <v>52</v>
      </c>
      <c r="G19" s="512" t="s">
        <v>673</v>
      </c>
      <c r="H19" s="512" t="s">
        <v>674</v>
      </c>
      <c r="I19" s="512" t="s">
        <v>634</v>
      </c>
    </row>
    <row r="20" spans="1:24" x14ac:dyDescent="0.35">
      <c r="A20" s="512" t="s">
        <v>675</v>
      </c>
      <c r="B20" s="512">
        <v>1</v>
      </c>
      <c r="C20" s="512">
        <v>0</v>
      </c>
      <c r="D20" s="512">
        <v>0</v>
      </c>
      <c r="E20" s="512">
        <v>1</v>
      </c>
      <c r="F20" s="512">
        <v>0</v>
      </c>
      <c r="G20" s="512">
        <f>IF(INDEX(tbl_Neo_MedIV,NeoBer1700!B20,5)=0,1,INDEX(tbl_Neo_MedIV,NeoBer1700!B20,5))</f>
        <v>1</v>
      </c>
      <c r="H20" s="512">
        <f t="shared" ref="H20:H28" si="1">IF(D20&gt;0,(F20*IF(X20*10&gt;=24,2.4,2.4)*((C20/10)/D20))/($B$4)/I20,0)</f>
        <v>0</v>
      </c>
      <c r="I20" s="512">
        <f>IF(NeoBer1700!G20&gt;1,INDEX(tbl_Neo_FaktorLijst,NeoBer1700!G20),1)</f>
        <v>1</v>
      </c>
      <c r="J20" s="512">
        <v>0</v>
      </c>
      <c r="K20" s="512">
        <f t="shared" ref="K20:K31" si="2">IF(J20,0,F20*2.4)</f>
        <v>0</v>
      </c>
      <c r="L20" s="512">
        <f t="shared" ref="L20:L31" si="3">IF($E20&gt;1,INDEX(tbl_Neo_Opl,$E20,3),0)*$K20</f>
        <v>0</v>
      </c>
      <c r="M20" s="512">
        <f t="shared" ref="M20:M31" si="4">IF($E20&gt;1,INDEX(tbl_Neo_Opl,$E20,4),0)*$K20</f>
        <v>0</v>
      </c>
      <c r="N20" s="512">
        <f t="shared" ref="N20:N31" si="5">IF($E20&gt;1,INDEX(tbl_Neo_Opl,$E20,6),0)*$K20</f>
        <v>0</v>
      </c>
      <c r="O20" s="512">
        <f t="shared" ref="O20:O31" si="6">IF($E20&gt;1,INDEX(tbl_Neo_Opl,$E20,7),0)*$K20</f>
        <v>0</v>
      </c>
      <c r="P20" s="512">
        <f t="shared" ref="P20:P31" si="7">IF($E20&gt;1,INDEX(tbl_Neo_Opl,$E20,8),0)*$K20</f>
        <v>0</v>
      </c>
      <c r="Q20" s="512">
        <f t="shared" ref="Q20:Q31" si="8">IF($E20&gt;1,INDEX(tbl_Neo_Opl,$E20,5),0)*$K20</f>
        <v>0</v>
      </c>
      <c r="R20" s="512">
        <f t="shared" ref="R20:R31" si="9">IF($E20&gt;1,INDEX(tbl_Neo_Opl,$E20,2),0)*$K20</f>
        <v>0</v>
      </c>
      <c r="W20" s="512">
        <f>ROUND(IF(X20*10&gt;1,X20*10,X20*600),0)</f>
        <v>0</v>
      </c>
      <c r="X20" s="512">
        <f t="shared" ref="X20:X31" si="10">IF(F20&gt;0,D20/F20,0)</f>
        <v>0</v>
      </c>
    </row>
    <row r="21" spans="1:24" x14ac:dyDescent="0.35">
      <c r="A21" s="512" t="s">
        <v>676</v>
      </c>
      <c r="B21" s="512">
        <v>1</v>
      </c>
      <c r="C21" s="512">
        <v>0</v>
      </c>
      <c r="D21" s="512">
        <v>0</v>
      </c>
      <c r="E21" s="512">
        <v>1</v>
      </c>
      <c r="F21" s="512">
        <v>0</v>
      </c>
      <c r="G21" s="607">
        <f>IF(INDEX(tbl_Neo_MedIV,NeoBer1700!B21,5)=0,1,INDEX(tbl_Neo_MedIV,NeoBer1700!B21,5))</f>
        <v>1</v>
      </c>
      <c r="H21" s="607">
        <f t="shared" si="1"/>
        <v>0</v>
      </c>
      <c r="I21" s="607">
        <f>IF(NeoBer1700!G21&gt;1,INDEX(tbl_Neo_FaktorLijst,NeoBer1700!G21),1)</f>
        <v>1</v>
      </c>
      <c r="J21" s="512">
        <v>0</v>
      </c>
      <c r="K21" s="512">
        <f t="shared" si="2"/>
        <v>0</v>
      </c>
      <c r="L21" s="512">
        <f t="shared" si="3"/>
        <v>0</v>
      </c>
      <c r="M21" s="512">
        <f t="shared" si="4"/>
        <v>0</v>
      </c>
      <c r="N21" s="512">
        <f t="shared" si="5"/>
        <v>0</v>
      </c>
      <c r="O21" s="512">
        <f t="shared" si="6"/>
        <v>0</v>
      </c>
      <c r="P21" s="512">
        <f t="shared" si="7"/>
        <v>0</v>
      </c>
      <c r="Q21" s="512">
        <f t="shared" si="8"/>
        <v>0</v>
      </c>
      <c r="R21" s="512">
        <f t="shared" si="9"/>
        <v>0</v>
      </c>
      <c r="W21" s="512">
        <f t="shared" ref="W21:W28" si="11">ROUND(IF(X21*10&gt;1,X21*10,X21*600),0)</f>
        <v>0</v>
      </c>
      <c r="X21" s="512">
        <f t="shared" si="10"/>
        <v>0</v>
      </c>
    </row>
    <row r="22" spans="1:24" x14ac:dyDescent="0.35">
      <c r="A22" s="512" t="s">
        <v>677</v>
      </c>
      <c r="B22" s="512">
        <v>1</v>
      </c>
      <c r="C22" s="512">
        <v>0</v>
      </c>
      <c r="D22" s="512">
        <v>0</v>
      </c>
      <c r="E22" s="512">
        <v>1</v>
      </c>
      <c r="F22" s="512">
        <v>0</v>
      </c>
      <c r="G22" s="607">
        <f>IF(INDEX(tbl_Neo_MedIV,NeoBer1700!B22,5)=0,1,INDEX(tbl_Neo_MedIV,NeoBer1700!B22,5))</f>
        <v>1</v>
      </c>
      <c r="H22" s="607">
        <f t="shared" si="1"/>
        <v>0</v>
      </c>
      <c r="I22" s="607">
        <f>IF(NeoBer1700!G22&gt;1,INDEX(tbl_Neo_FaktorLijst,NeoBer1700!G22),1)</f>
        <v>1</v>
      </c>
      <c r="J22" s="512">
        <v>0</v>
      </c>
      <c r="K22" s="512">
        <f t="shared" si="2"/>
        <v>0</v>
      </c>
      <c r="L22" s="512">
        <f t="shared" si="3"/>
        <v>0</v>
      </c>
      <c r="M22" s="512">
        <f t="shared" si="4"/>
        <v>0</v>
      </c>
      <c r="N22" s="512">
        <f t="shared" si="5"/>
        <v>0</v>
      </c>
      <c r="O22" s="512">
        <f t="shared" si="6"/>
        <v>0</v>
      </c>
      <c r="P22" s="512">
        <f t="shared" si="7"/>
        <v>0</v>
      </c>
      <c r="Q22" s="512">
        <f t="shared" si="8"/>
        <v>0</v>
      </c>
      <c r="R22" s="512">
        <f t="shared" si="9"/>
        <v>0</v>
      </c>
      <c r="W22" s="512">
        <f t="shared" si="11"/>
        <v>0</v>
      </c>
      <c r="X22" s="512">
        <f t="shared" si="10"/>
        <v>0</v>
      </c>
    </row>
    <row r="23" spans="1:24" x14ac:dyDescent="0.35">
      <c r="A23" s="512" t="s">
        <v>678</v>
      </c>
      <c r="B23" s="512">
        <v>1</v>
      </c>
      <c r="C23" s="512">
        <v>0</v>
      </c>
      <c r="D23" s="512">
        <v>0</v>
      </c>
      <c r="E23" s="512">
        <v>1</v>
      </c>
      <c r="F23" s="512">
        <v>0</v>
      </c>
      <c r="G23" s="607">
        <f>IF(INDEX(tbl_Neo_MedIV,NeoBer1700!B23,5)=0,1,INDEX(tbl_Neo_MedIV,NeoBer1700!B23,5))</f>
        <v>1</v>
      </c>
      <c r="H23" s="607">
        <f t="shared" si="1"/>
        <v>0</v>
      </c>
      <c r="I23" s="607">
        <f>IF(NeoBer1700!G23&gt;1,INDEX(tbl_Neo_FaktorLijst,NeoBer1700!G23),1)</f>
        <v>1</v>
      </c>
      <c r="J23" s="512">
        <v>0</v>
      </c>
      <c r="K23" s="512">
        <f t="shared" si="2"/>
        <v>0</v>
      </c>
      <c r="L23" s="512">
        <f t="shared" si="3"/>
        <v>0</v>
      </c>
      <c r="M23" s="512">
        <f t="shared" si="4"/>
        <v>0</v>
      </c>
      <c r="N23" s="512">
        <f t="shared" si="5"/>
        <v>0</v>
      </c>
      <c r="O23" s="512">
        <f t="shared" si="6"/>
        <v>0</v>
      </c>
      <c r="P23" s="512">
        <f t="shared" si="7"/>
        <v>0</v>
      </c>
      <c r="Q23" s="512">
        <f t="shared" si="8"/>
        <v>0</v>
      </c>
      <c r="R23" s="512">
        <f t="shared" si="9"/>
        <v>0</v>
      </c>
      <c r="W23" s="512">
        <f t="shared" si="11"/>
        <v>0</v>
      </c>
      <c r="X23" s="512">
        <f t="shared" si="10"/>
        <v>0</v>
      </c>
    </row>
    <row r="24" spans="1:24" x14ac:dyDescent="0.35">
      <c r="A24" s="512" t="s">
        <v>679</v>
      </c>
      <c r="B24" s="512">
        <v>1</v>
      </c>
      <c r="C24" s="512">
        <v>0</v>
      </c>
      <c r="D24" s="512">
        <v>0</v>
      </c>
      <c r="E24" s="512">
        <v>1</v>
      </c>
      <c r="F24" s="512">
        <v>0</v>
      </c>
      <c r="G24" s="607">
        <f>IF(INDEX(tbl_Neo_MedIV,NeoBer1700!B24,5)=0,1,INDEX(tbl_Neo_MedIV,NeoBer1700!B24,5))</f>
        <v>1</v>
      </c>
      <c r="H24" s="607">
        <f t="shared" si="1"/>
        <v>0</v>
      </c>
      <c r="I24" s="607">
        <f>IF(NeoBer1700!G24&gt;1,INDEX(tbl_Neo_FaktorLijst,NeoBer1700!G24),1)</f>
        <v>1</v>
      </c>
      <c r="J24" s="512">
        <v>0</v>
      </c>
      <c r="K24" s="512">
        <f t="shared" si="2"/>
        <v>0</v>
      </c>
      <c r="L24" s="512">
        <f t="shared" si="3"/>
        <v>0</v>
      </c>
      <c r="M24" s="512">
        <f t="shared" si="4"/>
        <v>0</v>
      </c>
      <c r="N24" s="512">
        <f t="shared" si="5"/>
        <v>0</v>
      </c>
      <c r="O24" s="512">
        <f t="shared" si="6"/>
        <v>0</v>
      </c>
      <c r="P24" s="512">
        <f t="shared" si="7"/>
        <v>0</v>
      </c>
      <c r="Q24" s="512">
        <f t="shared" si="8"/>
        <v>0</v>
      </c>
      <c r="R24" s="512">
        <f t="shared" si="9"/>
        <v>0</v>
      </c>
      <c r="W24" s="512">
        <f t="shared" si="11"/>
        <v>0</v>
      </c>
      <c r="X24" s="512">
        <f t="shared" si="10"/>
        <v>0</v>
      </c>
    </row>
    <row r="25" spans="1:24" x14ac:dyDescent="0.35">
      <c r="A25" s="512" t="s">
        <v>680</v>
      </c>
      <c r="B25" s="512">
        <v>1</v>
      </c>
      <c r="C25" s="512">
        <v>0</v>
      </c>
      <c r="D25" s="512">
        <v>0</v>
      </c>
      <c r="E25" s="512">
        <v>1</v>
      </c>
      <c r="F25" s="512">
        <v>0</v>
      </c>
      <c r="G25" s="607">
        <f>IF(INDEX(tbl_Neo_MedIV,NeoBer1700!B25,5)=0,1,INDEX(tbl_Neo_MedIV,NeoBer1700!B25,5))</f>
        <v>1</v>
      </c>
      <c r="H25" s="607">
        <f t="shared" si="1"/>
        <v>0</v>
      </c>
      <c r="I25" s="607">
        <f>IF(NeoBer1700!G25&gt;1,INDEX(tbl_Neo_FaktorLijst,NeoBer1700!G25),1)</f>
        <v>1</v>
      </c>
      <c r="J25" s="512">
        <v>0</v>
      </c>
      <c r="K25" s="512">
        <f t="shared" si="2"/>
        <v>0</v>
      </c>
      <c r="L25" s="512">
        <f t="shared" si="3"/>
        <v>0</v>
      </c>
      <c r="M25" s="512">
        <f t="shared" si="4"/>
        <v>0</v>
      </c>
      <c r="N25" s="512">
        <f t="shared" si="5"/>
        <v>0</v>
      </c>
      <c r="O25" s="512">
        <f t="shared" si="6"/>
        <v>0</v>
      </c>
      <c r="P25" s="512">
        <f t="shared" si="7"/>
        <v>0</v>
      </c>
      <c r="Q25" s="512">
        <f t="shared" si="8"/>
        <v>0</v>
      </c>
      <c r="R25" s="512">
        <f t="shared" si="9"/>
        <v>0</v>
      </c>
      <c r="W25" s="512">
        <f t="shared" si="11"/>
        <v>0</v>
      </c>
      <c r="X25" s="512">
        <f t="shared" si="10"/>
        <v>0</v>
      </c>
    </row>
    <row r="26" spans="1:24" x14ac:dyDescent="0.35">
      <c r="A26" s="512" t="s">
        <v>681</v>
      </c>
      <c r="B26" s="512">
        <v>1</v>
      </c>
      <c r="C26" s="512">
        <v>0</v>
      </c>
      <c r="D26" s="512">
        <v>0</v>
      </c>
      <c r="E26" s="512">
        <v>1</v>
      </c>
      <c r="F26" s="512">
        <v>0</v>
      </c>
      <c r="G26" s="607">
        <f>IF(INDEX(tbl_Neo_MedIV,NeoBer1700!B26,5)=0,1,INDEX(tbl_Neo_MedIV,NeoBer1700!B26,5))</f>
        <v>1</v>
      </c>
      <c r="H26" s="607">
        <f t="shared" si="1"/>
        <v>0</v>
      </c>
      <c r="I26" s="607">
        <f>IF(NeoBer1700!G26&gt;1,INDEX(tbl_Neo_FaktorLijst,NeoBer1700!G26),1)</f>
        <v>1</v>
      </c>
      <c r="J26" s="512">
        <v>0</v>
      </c>
      <c r="K26" s="512">
        <f t="shared" si="2"/>
        <v>0</v>
      </c>
      <c r="L26" s="512">
        <f t="shared" si="3"/>
        <v>0</v>
      </c>
      <c r="M26" s="512">
        <f t="shared" si="4"/>
        <v>0</v>
      </c>
      <c r="N26" s="512">
        <f t="shared" si="5"/>
        <v>0</v>
      </c>
      <c r="O26" s="512">
        <f t="shared" si="6"/>
        <v>0</v>
      </c>
      <c r="P26" s="512">
        <f t="shared" si="7"/>
        <v>0</v>
      </c>
      <c r="Q26" s="512">
        <f t="shared" si="8"/>
        <v>0</v>
      </c>
      <c r="R26" s="512">
        <f t="shared" si="9"/>
        <v>0</v>
      </c>
      <c r="W26" s="512">
        <f t="shared" si="11"/>
        <v>0</v>
      </c>
      <c r="X26" s="512">
        <f t="shared" si="10"/>
        <v>0</v>
      </c>
    </row>
    <row r="27" spans="1:24" x14ac:dyDescent="0.35">
      <c r="A27" s="512" t="s">
        <v>682</v>
      </c>
      <c r="B27" s="512">
        <v>1</v>
      </c>
      <c r="C27" s="512">
        <v>0</v>
      </c>
      <c r="D27" s="512">
        <v>0</v>
      </c>
      <c r="E27" s="512">
        <v>1</v>
      </c>
      <c r="F27" s="512">
        <v>0</v>
      </c>
      <c r="G27" s="607">
        <f>IF(INDEX(tbl_Neo_MedIV,NeoBer1700!B27,5)=0,1,INDEX(tbl_Neo_MedIV,NeoBer1700!B27,5))</f>
        <v>1</v>
      </c>
      <c r="H27" s="607">
        <f t="shared" si="1"/>
        <v>0</v>
      </c>
      <c r="I27" s="607">
        <f>IF(NeoBer1700!G27&gt;1,INDEX(tbl_Neo_FaktorLijst,NeoBer1700!G27),1)</f>
        <v>1</v>
      </c>
      <c r="J27" s="512">
        <v>0</v>
      </c>
      <c r="K27" s="512">
        <f t="shared" si="2"/>
        <v>0</v>
      </c>
      <c r="L27" s="512">
        <f t="shared" si="3"/>
        <v>0</v>
      </c>
      <c r="M27" s="512">
        <f t="shared" si="4"/>
        <v>0</v>
      </c>
      <c r="N27" s="512">
        <f t="shared" si="5"/>
        <v>0</v>
      </c>
      <c r="O27" s="512">
        <f t="shared" si="6"/>
        <v>0</v>
      </c>
      <c r="P27" s="512">
        <f t="shared" si="7"/>
        <v>0</v>
      </c>
      <c r="Q27" s="512">
        <f t="shared" si="8"/>
        <v>0</v>
      </c>
      <c r="R27" s="512">
        <f t="shared" si="9"/>
        <v>0</v>
      </c>
      <c r="W27" s="512">
        <f t="shared" si="11"/>
        <v>0</v>
      </c>
      <c r="X27" s="512">
        <f t="shared" si="10"/>
        <v>0</v>
      </c>
    </row>
    <row r="28" spans="1:24" x14ac:dyDescent="0.35">
      <c r="A28" s="512" t="s">
        <v>683</v>
      </c>
      <c r="B28" s="512">
        <v>1</v>
      </c>
      <c r="C28" s="512">
        <v>0</v>
      </c>
      <c r="D28" s="512">
        <v>0</v>
      </c>
      <c r="E28" s="512">
        <v>1</v>
      </c>
      <c r="F28" s="512">
        <v>0</v>
      </c>
      <c r="G28" s="607">
        <f>IF(INDEX(tbl_Neo_MedIV,NeoBer1700!B28,5)=0,1,INDEX(tbl_Neo_MedIV,NeoBer1700!B28,5))</f>
        <v>1</v>
      </c>
      <c r="H28" s="607">
        <f t="shared" si="1"/>
        <v>0</v>
      </c>
      <c r="I28" s="607">
        <f>IF(NeoBer1700!G28&gt;1,INDEX(tbl_Neo_FaktorLijst,NeoBer1700!G28),1)</f>
        <v>1</v>
      </c>
      <c r="J28" s="512">
        <v>0</v>
      </c>
      <c r="K28" s="512">
        <f t="shared" si="2"/>
        <v>0</v>
      </c>
      <c r="L28" s="512">
        <f t="shared" si="3"/>
        <v>0</v>
      </c>
      <c r="M28" s="512">
        <f t="shared" si="4"/>
        <v>0</v>
      </c>
      <c r="N28" s="512">
        <f t="shared" si="5"/>
        <v>0</v>
      </c>
      <c r="O28" s="512">
        <f t="shared" si="6"/>
        <v>0</v>
      </c>
      <c r="P28" s="512">
        <f t="shared" si="7"/>
        <v>0</v>
      </c>
      <c r="Q28" s="512">
        <f t="shared" si="8"/>
        <v>0</v>
      </c>
      <c r="R28" s="512">
        <f t="shared" si="9"/>
        <v>0</v>
      </c>
      <c r="W28" s="512">
        <f t="shared" si="11"/>
        <v>0</v>
      </c>
      <c r="X28" s="512">
        <f t="shared" si="10"/>
        <v>0</v>
      </c>
    </row>
    <row r="29" spans="1:24" x14ac:dyDescent="0.35">
      <c r="A29" s="512" t="s">
        <v>613</v>
      </c>
      <c r="E29" s="512">
        <v>1</v>
      </c>
      <c r="F29" s="512">
        <v>0</v>
      </c>
      <c r="J29" s="512" t="b">
        <v>0</v>
      </c>
      <c r="K29" s="512">
        <f t="shared" si="2"/>
        <v>0</v>
      </c>
      <c r="L29" s="512">
        <f t="shared" si="3"/>
        <v>0</v>
      </c>
      <c r="M29" s="512">
        <f t="shared" si="4"/>
        <v>0</v>
      </c>
      <c r="N29" s="512">
        <f t="shared" si="5"/>
        <v>0</v>
      </c>
      <c r="O29" s="512">
        <f t="shared" si="6"/>
        <v>0</v>
      </c>
      <c r="P29" s="512">
        <f t="shared" si="7"/>
        <v>0</v>
      </c>
      <c r="Q29" s="512">
        <f t="shared" si="8"/>
        <v>0</v>
      </c>
      <c r="R29" s="512">
        <f t="shared" si="9"/>
        <v>0</v>
      </c>
      <c r="W29" s="512">
        <f>ROUND(IF(X29*10&gt;1,X29*10,X29*600),0)</f>
        <v>0</v>
      </c>
      <c r="X29" s="512">
        <f t="shared" si="10"/>
        <v>0</v>
      </c>
    </row>
    <row r="30" spans="1:24" x14ac:dyDescent="0.35">
      <c r="A30" s="512" t="s">
        <v>614</v>
      </c>
      <c r="E30" s="512">
        <v>1</v>
      </c>
      <c r="F30" s="512">
        <v>0</v>
      </c>
      <c r="J30" s="512" t="b">
        <v>0</v>
      </c>
      <c r="K30" s="512">
        <f t="shared" si="2"/>
        <v>0</v>
      </c>
      <c r="L30" s="512">
        <f t="shared" si="3"/>
        <v>0</v>
      </c>
      <c r="M30" s="512">
        <f t="shared" si="4"/>
        <v>0</v>
      </c>
      <c r="N30" s="512">
        <f t="shared" si="5"/>
        <v>0</v>
      </c>
      <c r="O30" s="512">
        <f t="shared" si="6"/>
        <v>0</v>
      </c>
      <c r="P30" s="512">
        <f t="shared" si="7"/>
        <v>0</v>
      </c>
      <c r="Q30" s="512">
        <f t="shared" si="8"/>
        <v>0</v>
      </c>
      <c r="R30" s="512">
        <f t="shared" si="9"/>
        <v>0</v>
      </c>
      <c r="W30" s="512">
        <f>ROUND(IF(X30*10&gt;1,X30*10,X30*600),0)</f>
        <v>0</v>
      </c>
      <c r="X30" s="512">
        <f t="shared" si="10"/>
        <v>0</v>
      </c>
    </row>
    <row r="31" spans="1:24" x14ac:dyDescent="0.35">
      <c r="A31" s="512" t="s">
        <v>615</v>
      </c>
      <c r="E31" s="512">
        <v>1</v>
      </c>
      <c r="F31" s="512">
        <v>0</v>
      </c>
      <c r="J31" s="512" t="b">
        <v>0</v>
      </c>
      <c r="K31" s="512">
        <f t="shared" si="2"/>
        <v>0</v>
      </c>
      <c r="L31" s="512">
        <f t="shared" si="3"/>
        <v>0</v>
      </c>
      <c r="M31" s="512">
        <f t="shared" si="4"/>
        <v>0</v>
      </c>
      <c r="N31" s="512">
        <f t="shared" si="5"/>
        <v>0</v>
      </c>
      <c r="O31" s="512">
        <f t="shared" si="6"/>
        <v>0</v>
      </c>
      <c r="P31" s="512">
        <f t="shared" si="7"/>
        <v>0</v>
      </c>
      <c r="Q31" s="512">
        <f t="shared" si="8"/>
        <v>0</v>
      </c>
      <c r="R31" s="512">
        <f t="shared" si="9"/>
        <v>0</v>
      </c>
      <c r="W31" s="512">
        <f>ROUND(IF(X31*10&gt;1,X31*10,X31*600),0)</f>
        <v>0</v>
      </c>
      <c r="X31" s="512">
        <f t="shared" si="10"/>
        <v>0</v>
      </c>
    </row>
    <row r="32" spans="1:24" x14ac:dyDescent="0.35">
      <c r="A32" s="512" t="s">
        <v>1163</v>
      </c>
    </row>
    <row r="33" spans="1:22" x14ac:dyDescent="0.35">
      <c r="A33" s="512" t="s">
        <v>1164</v>
      </c>
    </row>
    <row r="34" spans="1:22" x14ac:dyDescent="0.35">
      <c r="B34" s="512" t="s">
        <v>684</v>
      </c>
      <c r="C34" s="512" t="s">
        <v>685</v>
      </c>
      <c r="D34" s="512" t="s">
        <v>686</v>
      </c>
      <c r="F34" s="607" t="s">
        <v>1177</v>
      </c>
    </row>
    <row r="35" spans="1:22" x14ac:dyDescent="0.35">
      <c r="A35" s="607" t="str">
        <f>INDEX(tbl_Neo_IntralipidSmof,_Neo_1700_IntralipidSmof)</f>
        <v>Intralipid 20% (incl vitintra)</v>
      </c>
      <c r="B35" s="373">
        <f ca="1">ROUND((_Pat_Gewicht/10)*INDEX(NeoBerAdvies!$B$9:$G$16,8,NeoBer1700!$C$6),0)</f>
        <v>120</v>
      </c>
      <c r="C35" s="512">
        <f ca="1">ROUND(IF(AND(B17,B35+(D35-5000)&gt;0),B35+(D35-5000),0),0)</f>
        <v>0</v>
      </c>
      <c r="D35" s="512">
        <v>5000</v>
      </c>
      <c r="F35" s="607">
        <v>1</v>
      </c>
      <c r="K35" s="512">
        <f ca="1">C35</f>
        <v>0</v>
      </c>
      <c r="S35" s="512">
        <f ca="1">0.2*K35*10/12</f>
        <v>0</v>
      </c>
      <c r="V35" s="512">
        <f ca="1">40*C35*2/12</f>
        <v>0</v>
      </c>
    </row>
    <row r="36" spans="1:22" x14ac:dyDescent="0.35">
      <c r="A36" s="512" t="s">
        <v>617</v>
      </c>
      <c r="B36" s="373"/>
      <c r="D36" s="512">
        <v>1</v>
      </c>
    </row>
    <row r="37" spans="1:22" x14ac:dyDescent="0.35">
      <c r="A37" s="512" t="s">
        <v>357</v>
      </c>
      <c r="B37" s="373">
        <f ca="1">ROUND((_Pat_Gewicht/10)*INDEX(NeoBerAdvies!$B$9:$G$16,2,NeoBer1700!$C$6),0)</f>
        <v>0</v>
      </c>
      <c r="C37" s="512">
        <f ca="1">IF(AND($B$17,B37+(D37-5000)/10&gt;0),ROUND(B37+(D37-5000)/10,1),0)</f>
        <v>0</v>
      </c>
      <c r="D37" s="512">
        <v>5000</v>
      </c>
      <c r="K37" s="512">
        <f ca="1">IF(OR($D$36=1,$D$36=3),C37,0)</f>
        <v>0</v>
      </c>
      <c r="L37" s="512">
        <f ca="1">K37*0.5</f>
        <v>0</v>
      </c>
      <c r="U37" s="512">
        <f ca="1">K37*0.5</f>
        <v>0</v>
      </c>
    </row>
    <row r="38" spans="1:22" x14ac:dyDescent="0.35">
      <c r="A38" s="512" t="s">
        <v>618</v>
      </c>
      <c r="B38" s="373">
        <f ca="1">ROUND((_Pat_Gewicht/10)*INDEX(NeoBerAdvies!$B$9:$G$16,3,NeoBer1700!$C$6),0)</f>
        <v>0</v>
      </c>
      <c r="C38" s="512">
        <f ca="1">IF(AND($B$17,B38+(D38-5000)/10&gt;0),ROUND(B38+(D38-5000)/10,1),0)</f>
        <v>0</v>
      </c>
      <c r="D38" s="512">
        <v>5000</v>
      </c>
      <c r="K38" s="512">
        <f ca="1">IF(OR($D$36=1,$D$36=3),C38,0)</f>
        <v>0</v>
      </c>
      <c r="M38" s="512">
        <f ca="1">K38</f>
        <v>0</v>
      </c>
    </row>
    <row r="39" spans="1:22" x14ac:dyDescent="0.35">
      <c r="A39" s="512" t="s">
        <v>619</v>
      </c>
      <c r="B39" s="373">
        <f ca="1">ROUND((_Pat_Gewicht/10)*INDEX(NeoBerAdvies!$B$9:$G$16,4,NeoBer1700!$C$6),0)</f>
        <v>0</v>
      </c>
      <c r="C39" s="512">
        <f ca="1">IF(AND($B$17,B39+(D39-5000)/10&gt;0),ROUND(B39+(D39-5000)/10,1),0)</f>
        <v>0</v>
      </c>
      <c r="D39" s="512">
        <v>5000</v>
      </c>
      <c r="K39" s="512">
        <f ca="1">IF($D$36=1,C39,0)</f>
        <v>0</v>
      </c>
      <c r="N39" s="512">
        <f ca="1">K39*0.225</f>
        <v>0</v>
      </c>
      <c r="U39" s="512">
        <f ca="1">K39*0.225*2</f>
        <v>0</v>
      </c>
    </row>
    <row r="40" spans="1:22" x14ac:dyDescent="0.35">
      <c r="A40" s="512" t="s">
        <v>620</v>
      </c>
      <c r="B40" s="373">
        <f ca="1">ROUND((_Pat_Gewicht/10)*INDEX(NeoBerAdvies!$B$9:$G$16,5,NeoBer1700!$C$6),1)</f>
        <v>0</v>
      </c>
      <c r="C40" s="512">
        <f ca="1">IF(AND($B$17,B40+(D40-5000)/10&gt;0),ROUND(B40+(D40-5000)/10,1),0)</f>
        <v>0</v>
      </c>
      <c r="D40" s="512">
        <v>5000</v>
      </c>
      <c r="K40" s="512">
        <f ca="1">IF($D$36=1,C40,0)</f>
        <v>0</v>
      </c>
      <c r="O40" s="512">
        <f ca="1">K40*0.5</f>
        <v>0</v>
      </c>
      <c r="U40" s="512">
        <f ca="1">K40*0.5*2</f>
        <v>0</v>
      </c>
    </row>
    <row r="41" spans="1:22" x14ac:dyDescent="0.35">
      <c r="A41" s="512" t="s">
        <v>217</v>
      </c>
      <c r="B41" s="373">
        <f ca="1">ROUND((_Pat_Gewicht/10)*INDEX(NeoBerAdvies!$B$9:$G$16,6,NeoBer1700!$C$6),1)</f>
        <v>0</v>
      </c>
      <c r="C41" s="512">
        <f ca="1">IF(AND($B$17,B41+(D41-5000)/10&gt;0),ROUND(B41+(D41-5000)/10,1),0)</f>
        <v>0</v>
      </c>
      <c r="D41" s="512">
        <v>5000</v>
      </c>
      <c r="K41" s="512">
        <f ca="1">IF($D$36=1,C41,0)</f>
        <v>0</v>
      </c>
      <c r="V41" s="512">
        <f ca="1">40*C41</f>
        <v>0</v>
      </c>
    </row>
    <row r="42" spans="1:22" x14ac:dyDescent="0.35">
      <c r="A42" s="512" t="s">
        <v>575</v>
      </c>
      <c r="B42" s="373">
        <f ca="1">ROUND((_Pat_Gewicht/10)*INDEX(NeoBerAdvies!$B$9:$G$16,7,NeoBer1700!$C$6),0)</f>
        <v>0</v>
      </c>
      <c r="C42" s="512">
        <f ca="1">IF(AND($B$17,B42+(D42-5000)&gt;0),ROUND(B42+(D42-5000),0),0)</f>
        <v>0</v>
      </c>
      <c r="D42" s="512">
        <v>5000</v>
      </c>
      <c r="K42" s="512">
        <f ca="1">IF($D$36=1,C42,0)</f>
        <v>0</v>
      </c>
      <c r="Q42" s="512">
        <f ca="1">0.1*K42</f>
        <v>0</v>
      </c>
    </row>
    <row r="43" spans="1:22" x14ac:dyDescent="0.35">
      <c r="A43" s="512" t="s">
        <v>576</v>
      </c>
      <c r="B43" s="373">
        <f ca="1">ROUND((_Pat_Gewicht/10)*INDEX(NeoBerAdvies!$B$9:$G$16,1,NeoBer1700!$C$6),1)</f>
        <v>350</v>
      </c>
      <c r="C43" s="512">
        <f ca="1">ROUND(IF(AND($B$17,B43+(D43-5000)&gt;0),B43+(D43-5000),0),0)</f>
        <v>0</v>
      </c>
      <c r="D43" s="512">
        <v>5000</v>
      </c>
      <c r="K43" s="512">
        <f>IF(D36=2,C43,0)</f>
        <v>0</v>
      </c>
      <c r="L43" s="512">
        <f>INDEX(tbl_Neo_TpnNICU,2,L11)*$K$43</f>
        <v>0</v>
      </c>
      <c r="M43" s="512">
        <f t="shared" ref="M43:T43" si="12">INDEX(tbl_Neo_TpnNICU,2,M11)*$K$43</f>
        <v>0</v>
      </c>
      <c r="N43" s="512">
        <f t="shared" si="12"/>
        <v>0</v>
      </c>
      <c r="O43" s="512">
        <f t="shared" si="12"/>
        <v>0</v>
      </c>
      <c r="P43" s="512">
        <f t="shared" si="12"/>
        <v>0</v>
      </c>
      <c r="Q43" s="512">
        <f t="shared" si="12"/>
        <v>0</v>
      </c>
      <c r="R43" s="512">
        <f t="shared" si="12"/>
        <v>0</v>
      </c>
      <c r="S43" s="512">
        <f t="shared" si="12"/>
        <v>0</v>
      </c>
      <c r="T43" s="512">
        <f t="shared" si="12"/>
        <v>0</v>
      </c>
    </row>
    <row r="44" spans="1:22" x14ac:dyDescent="0.35">
      <c r="A44" s="512" t="s">
        <v>355</v>
      </c>
      <c r="B44" s="373">
        <f ca="1">ROUND((_Pat_Gewicht/10)*INDEX(NeoBerAdvies!$B$9:$G$16,1,NeoBer1700!$C$6),1)</f>
        <v>350</v>
      </c>
      <c r="C44" s="512">
        <f ca="1">ROUND(IF(AND($B$17,B44+(D44-5000)&gt;0),B44+(D44-5000),0),0)</f>
        <v>0</v>
      </c>
      <c r="D44" s="512">
        <v>5000</v>
      </c>
      <c r="K44" s="512">
        <f>IF(D36=3,C44,0)</f>
        <v>0</v>
      </c>
      <c r="L44" s="512">
        <f>INDEX(tbl_Neo_TpnNICU,1,L11)*$K$44</f>
        <v>0</v>
      </c>
      <c r="M44" s="512">
        <f t="shared" ref="M44:T44" si="13">INDEX(tbl_Neo_TpnNICU,1,M11)*$K$44</f>
        <v>0</v>
      </c>
      <c r="N44" s="512">
        <f t="shared" si="13"/>
        <v>0</v>
      </c>
      <c r="O44" s="512">
        <f t="shared" si="13"/>
        <v>0</v>
      </c>
      <c r="P44" s="512">
        <f t="shared" si="13"/>
        <v>0</v>
      </c>
      <c r="Q44" s="512">
        <f t="shared" si="13"/>
        <v>0</v>
      </c>
      <c r="R44" s="512">
        <f t="shared" si="13"/>
        <v>0</v>
      </c>
      <c r="S44" s="512">
        <f t="shared" si="13"/>
        <v>0</v>
      </c>
      <c r="T44" s="512">
        <f t="shared" si="13"/>
        <v>0</v>
      </c>
    </row>
    <row r="45" spans="1:22" x14ac:dyDescent="0.35">
      <c r="A45" s="512" t="s">
        <v>687</v>
      </c>
      <c r="D45" s="512">
        <v>2</v>
      </c>
      <c r="K45" s="512">
        <f>IF(B17,ROUND(C17-SUM(K18:K44),1),0)</f>
        <v>0</v>
      </c>
      <c r="R45" s="512">
        <f>INDEX(tbl_Neo_Opl,D45+1,2)*K45</f>
        <v>0</v>
      </c>
    </row>
    <row r="47" spans="1:22" x14ac:dyDescent="0.35">
      <c r="A47" s="512" t="s">
        <v>124</v>
      </c>
      <c r="K47" s="512">
        <f ca="1">K49+K50</f>
        <v>0</v>
      </c>
      <c r="L47" s="512">
        <f t="shared" ref="L47:V47" ca="1" si="14">L49+L50</f>
        <v>0</v>
      </c>
      <c r="M47" s="512">
        <f t="shared" ca="1" si="14"/>
        <v>0</v>
      </c>
      <c r="N47" s="512">
        <f t="shared" ca="1" si="14"/>
        <v>0</v>
      </c>
      <c r="O47" s="512">
        <f t="shared" ca="1" si="14"/>
        <v>0</v>
      </c>
      <c r="P47" s="512">
        <f t="shared" si="14"/>
        <v>0</v>
      </c>
      <c r="Q47" s="512">
        <f t="shared" ca="1" si="14"/>
        <v>0</v>
      </c>
      <c r="R47" s="512">
        <f t="shared" si="14"/>
        <v>0</v>
      </c>
      <c r="S47" s="512">
        <f t="shared" ca="1" si="14"/>
        <v>0</v>
      </c>
      <c r="T47" s="512">
        <f t="shared" ca="1" si="14"/>
        <v>0</v>
      </c>
      <c r="U47" s="512">
        <f t="shared" ca="1" si="14"/>
        <v>0</v>
      </c>
      <c r="V47" s="512">
        <f t="shared" ca="1" si="14"/>
        <v>0</v>
      </c>
    </row>
    <row r="49" spans="1:22" x14ac:dyDescent="0.35">
      <c r="A49" s="512" t="s">
        <v>220</v>
      </c>
      <c r="K49" s="512">
        <f>K14</f>
        <v>0</v>
      </c>
      <c r="L49" s="512">
        <f t="shared" ref="L49:V49" si="15">L14+IF(INDEX(tbl_Neo_LijstVoeding,_Neo_InfB_Voeding,14)="MM",L57,L62)</f>
        <v>0</v>
      </c>
      <c r="M49" s="512">
        <f t="shared" si="15"/>
        <v>0</v>
      </c>
      <c r="N49" s="512">
        <f t="shared" si="15"/>
        <v>0</v>
      </c>
      <c r="O49" s="512">
        <f t="shared" si="15"/>
        <v>0</v>
      </c>
      <c r="P49" s="512">
        <f t="shared" si="15"/>
        <v>0</v>
      </c>
      <c r="Q49" s="512">
        <f t="shared" si="15"/>
        <v>0</v>
      </c>
      <c r="R49" s="512">
        <f t="shared" si="15"/>
        <v>0</v>
      </c>
      <c r="S49" s="512">
        <f t="shared" si="15"/>
        <v>0</v>
      </c>
      <c r="T49" s="512">
        <f t="shared" si="15"/>
        <v>0</v>
      </c>
      <c r="U49" s="512">
        <f t="shared" si="15"/>
        <v>0</v>
      </c>
      <c r="V49" s="512">
        <f t="shared" si="15"/>
        <v>0</v>
      </c>
    </row>
    <row r="50" spans="1:22" x14ac:dyDescent="0.35">
      <c r="A50" s="512" t="s">
        <v>218</v>
      </c>
      <c r="K50" s="512">
        <f ca="1">SUM(K18:K45)</f>
        <v>0</v>
      </c>
      <c r="L50" s="512">
        <f t="shared" ref="L50:V50" ca="1" si="16">SUM(L18:L45)</f>
        <v>0</v>
      </c>
      <c r="M50" s="512">
        <f t="shared" ca="1" si="16"/>
        <v>0</v>
      </c>
      <c r="N50" s="512">
        <f t="shared" ca="1" si="16"/>
        <v>0</v>
      </c>
      <c r="O50" s="512">
        <f t="shared" ca="1" si="16"/>
        <v>0</v>
      </c>
      <c r="P50" s="512">
        <f t="shared" si="16"/>
        <v>0</v>
      </c>
      <c r="Q50" s="512">
        <f t="shared" ca="1" si="16"/>
        <v>0</v>
      </c>
      <c r="R50" s="512">
        <f t="shared" si="16"/>
        <v>0</v>
      </c>
      <c r="S50" s="512">
        <f t="shared" ca="1" si="16"/>
        <v>0</v>
      </c>
      <c r="T50" s="512">
        <f ca="1">S50*9+R50*4+Q50*4</f>
        <v>0</v>
      </c>
      <c r="U50" s="512">
        <f t="shared" ca="1" si="16"/>
        <v>0</v>
      </c>
      <c r="V50" s="512">
        <f t="shared" ca="1" si="16"/>
        <v>0</v>
      </c>
    </row>
    <row r="52" spans="1:22" x14ac:dyDescent="0.35">
      <c r="A52" s="512" t="s">
        <v>980</v>
      </c>
      <c r="B52" s="512">
        <v>2</v>
      </c>
      <c r="J52" s="512">
        <v>1</v>
      </c>
      <c r="K52" s="607">
        <f>INDEX(tbl_Neo_NutrBMFWaard,NeoBer1700!J52)</f>
        <v>0</v>
      </c>
      <c r="L52" s="503">
        <f t="shared" ref="L52:V52" si="17">IF($J52&gt;1,($K52/100)*$K$49*HLOOKUP(L1,tbl_Neo_NutrBMFToev,$B52,FALSE),0)</f>
        <v>0</v>
      </c>
      <c r="M52" s="503">
        <f t="shared" si="17"/>
        <v>0</v>
      </c>
      <c r="N52" s="503">
        <f t="shared" si="17"/>
        <v>0</v>
      </c>
      <c r="O52" s="503">
        <f t="shared" si="17"/>
        <v>0</v>
      </c>
      <c r="P52" s="503">
        <f t="shared" si="17"/>
        <v>0</v>
      </c>
      <c r="Q52" s="503">
        <f t="shared" si="17"/>
        <v>0</v>
      </c>
      <c r="R52" s="503">
        <f t="shared" si="17"/>
        <v>0</v>
      </c>
      <c r="S52" s="503">
        <f t="shared" si="17"/>
        <v>0</v>
      </c>
      <c r="T52" s="503">
        <f t="shared" si="17"/>
        <v>0</v>
      </c>
      <c r="U52" s="503">
        <f t="shared" si="17"/>
        <v>0</v>
      </c>
      <c r="V52" s="503">
        <f t="shared" si="17"/>
        <v>0</v>
      </c>
    </row>
    <row r="53" spans="1:22" x14ac:dyDescent="0.35">
      <c r="A53" s="512" t="s">
        <v>971</v>
      </c>
      <c r="B53" s="512">
        <v>1</v>
      </c>
      <c r="C53" s="512">
        <f>_Neo_InfB_Toevoeging_1+1</f>
        <v>2</v>
      </c>
      <c r="J53" s="512">
        <v>1</v>
      </c>
      <c r="K53" s="607">
        <f>INDEX(tbl_Neo_NutrToevWaard,NeoBer1700!J53)</f>
        <v>0</v>
      </c>
      <c r="L53" s="503">
        <f>IF($B53&gt;1,($K53)*$K$49*HLOOKUP(NeoBer1700!L$1,tbl_Neo_OpzoektabelMM,$C53,FALSE),0)</f>
        <v>0</v>
      </c>
      <c r="M53" s="503">
        <f>IF($B53&gt;1,($K53)*$K$49*HLOOKUP(NeoBer1700!M$1,tbl_Neo_OpzoektabelMM,$C53,FALSE),0)</f>
        <v>0</v>
      </c>
      <c r="N53" s="503">
        <f>IF($B53&gt;1,($K53)*$K$49*HLOOKUP(NeoBer1700!N$1,tbl_Neo_OpzoektabelMM,$C53,FALSE),0)</f>
        <v>0</v>
      </c>
      <c r="O53" s="503">
        <f>IF($B53&gt;1,($K53)*$K$49*HLOOKUP(NeoBer1700!O$1,tbl_Neo_OpzoektabelMM,$C53,FALSE),0)</f>
        <v>0</v>
      </c>
      <c r="P53" s="503">
        <f>IF($B53&gt;1,($K53)*$K$49*HLOOKUP(NeoBer1700!P$1,tbl_Neo_OpzoektabelMM,$C53,FALSE),0)</f>
        <v>0</v>
      </c>
      <c r="Q53" s="503">
        <f>IF($B53&gt;1,($K53)*$K$49*HLOOKUP(NeoBer1700!Q$1,tbl_Neo_OpzoektabelMM,$C53,FALSE),0)</f>
        <v>0</v>
      </c>
      <c r="R53" s="503">
        <f>IF($B53&gt;1,($K53)*$K$49*HLOOKUP(NeoBer1700!R$1,tbl_Neo_OpzoektabelMM,$C53,FALSE),0)</f>
        <v>0</v>
      </c>
      <c r="S53" s="503">
        <f>IF($B53&gt;1,($K53)*$K$49*HLOOKUP(NeoBer1700!S$1,tbl_Neo_OpzoektabelMM,$C53,FALSE),0)</f>
        <v>0</v>
      </c>
      <c r="T53" s="503">
        <f>IF($B53&gt;1,($K53)*$K$49*HLOOKUP(NeoBer1700!T$1,tbl_Neo_OpzoektabelMM,$C53,FALSE),0)</f>
        <v>0</v>
      </c>
      <c r="U53" s="503">
        <f>IF($B53&gt;1,($K53)*$K$49*HLOOKUP(NeoBer1700!U$1,tbl_Neo_OpzoektabelMM,$C53,FALSE),0)</f>
        <v>0</v>
      </c>
      <c r="V53" s="503">
        <f>IF($B53&gt;1,($K53)*$K$49*HLOOKUP(NeoBer1700!V$1,tbl_Neo_OpzoektabelMM,$C53,FALSE),0)</f>
        <v>0</v>
      </c>
    </row>
    <row r="54" spans="1:22" x14ac:dyDescent="0.35">
      <c r="A54" s="512" t="s">
        <v>972</v>
      </c>
      <c r="B54" s="512">
        <v>1</v>
      </c>
      <c r="C54" s="512">
        <f>_Neo_InfB_Toevoeging_2+1</f>
        <v>2</v>
      </c>
      <c r="J54" s="512">
        <v>1</v>
      </c>
      <c r="K54" s="607">
        <f>INDEX(tbl_Neo_NutrToevWaard,NeoBer1700!J54)</f>
        <v>0</v>
      </c>
      <c r="L54" s="503">
        <f>IF($B54&gt;1,($K54)*$K$49*HLOOKUP(NeoBer1700!L$1,tbl_Neo_OpzoektabelMM,$C54,FALSE),0)</f>
        <v>0</v>
      </c>
      <c r="M54" s="503">
        <f>IF($B54&gt;1,($K54)*$K$49*HLOOKUP(NeoBer1700!M$1,tbl_Neo_OpzoektabelMM,$C54,FALSE),0)</f>
        <v>0</v>
      </c>
      <c r="N54" s="503">
        <f>IF($B54&gt;1,($K54)*$K$49*HLOOKUP(NeoBer1700!N$1,tbl_Neo_OpzoektabelMM,$C54,FALSE),0)</f>
        <v>0</v>
      </c>
      <c r="O54" s="503">
        <f>IF($B54&gt;1,($K54)*$K$49*HLOOKUP(NeoBer1700!O$1,tbl_Neo_OpzoektabelMM,$C54,FALSE),0)</f>
        <v>0</v>
      </c>
      <c r="P54" s="503">
        <f>IF($B54&gt;1,($K54)*$K$49*HLOOKUP(NeoBer1700!P$1,tbl_Neo_OpzoektabelMM,$C54,FALSE),0)</f>
        <v>0</v>
      </c>
      <c r="Q54" s="503">
        <f>IF($B54&gt;1,($K54)*$K$49*HLOOKUP(NeoBer1700!Q$1,tbl_Neo_OpzoektabelMM,$C54,FALSE),0)</f>
        <v>0</v>
      </c>
      <c r="R54" s="503">
        <f>IF($B54&gt;1,($K54)*$K$49*HLOOKUP(NeoBer1700!R$1,tbl_Neo_OpzoektabelMM,$C54,FALSE),0)</f>
        <v>0</v>
      </c>
      <c r="S54" s="503">
        <f>IF($B54&gt;1,($K54)*$K$49*HLOOKUP(NeoBer1700!S$1,tbl_Neo_OpzoektabelMM,$C54,FALSE),0)</f>
        <v>0</v>
      </c>
      <c r="T54" s="503">
        <f>IF($B54&gt;1,($K54)*$K$49*HLOOKUP(NeoBer1700!T$1,tbl_Neo_OpzoektabelMM,$C54,FALSE),0)</f>
        <v>0</v>
      </c>
      <c r="U54" s="503">
        <f>IF($B54&gt;1,($K54)*$K$49*HLOOKUP(NeoBer1700!U$1,tbl_Neo_OpzoektabelMM,$C54,FALSE),0)</f>
        <v>0</v>
      </c>
      <c r="V54" s="503">
        <f>IF($B54&gt;1,($K54)*$K$49*HLOOKUP(NeoBer1700!V$1,tbl_Neo_OpzoektabelMM,$C54,FALSE),0)</f>
        <v>0</v>
      </c>
    </row>
    <row r="55" spans="1:22" x14ac:dyDescent="0.35">
      <c r="A55" s="512" t="s">
        <v>973</v>
      </c>
      <c r="B55" s="512">
        <v>1</v>
      </c>
      <c r="C55" s="512">
        <f>_Neo_InfB_Toevoeging_3+1</f>
        <v>2</v>
      </c>
      <c r="J55" s="512">
        <v>1</v>
      </c>
      <c r="K55" s="607">
        <f>INDEX(tbl_Neo_NutrToevWaard,NeoBer1700!J55)</f>
        <v>0</v>
      </c>
      <c r="L55" s="503">
        <f>IF($B55&gt;1,($K55)*$K$49*HLOOKUP(NeoBer1700!L$1,tbl_Neo_OpzoektabelMM,$C55,FALSE),0)</f>
        <v>0</v>
      </c>
      <c r="M55" s="503">
        <f>IF($B55&gt;1,($K55)*$K$49*HLOOKUP(NeoBer1700!M$1,tbl_Neo_OpzoektabelMM,$C55,FALSE),0)</f>
        <v>0</v>
      </c>
      <c r="N55" s="503">
        <f>IF($B55&gt;1,($K55)*$K$49*HLOOKUP(NeoBer1700!N$1,tbl_Neo_OpzoektabelMM,$C55,FALSE),0)</f>
        <v>0</v>
      </c>
      <c r="O55" s="503">
        <f>IF($B55&gt;1,($K55)*$K$49*HLOOKUP(NeoBer1700!O$1,tbl_Neo_OpzoektabelMM,$C55,FALSE),0)</f>
        <v>0</v>
      </c>
      <c r="P55" s="503">
        <f>IF($B55&gt;1,($K55)*$K$49*HLOOKUP(NeoBer1700!P$1,tbl_Neo_OpzoektabelMM,$C55,FALSE),0)</f>
        <v>0</v>
      </c>
      <c r="Q55" s="503">
        <f>IF($B55&gt;1,($K55)*$K$49*HLOOKUP(NeoBer1700!Q$1,tbl_Neo_OpzoektabelMM,$C55,FALSE),0)</f>
        <v>0</v>
      </c>
      <c r="R55" s="503">
        <f>IF($B55&gt;1,($K55)*$K$49*HLOOKUP(NeoBer1700!R$1,tbl_Neo_OpzoektabelMM,$C55,FALSE),0)</f>
        <v>0</v>
      </c>
      <c r="S55" s="503">
        <f>IF($B55&gt;1,($K55)*$K$49*HLOOKUP(NeoBer1700!S$1,tbl_Neo_OpzoektabelMM,$C55,FALSE),0)</f>
        <v>0</v>
      </c>
      <c r="T55" s="503">
        <f>IF($B55&gt;1,($K55)*$K$49*HLOOKUP(NeoBer1700!T$1,tbl_Neo_OpzoektabelMM,$C55,FALSE),0)</f>
        <v>0</v>
      </c>
      <c r="U55" s="503">
        <f>IF($B55&gt;1,($K55)*$K$49*HLOOKUP(NeoBer1700!U$1,tbl_Neo_OpzoektabelMM,$C55,FALSE),0)</f>
        <v>0</v>
      </c>
      <c r="V55" s="503">
        <f>IF($B55&gt;1,($K55)*$K$49*HLOOKUP(NeoBer1700!V$1,tbl_Neo_OpzoektabelMM,$C55,FALSE),0)</f>
        <v>0</v>
      </c>
    </row>
    <row r="56" spans="1:22" x14ac:dyDescent="0.35">
      <c r="A56" s="512" t="s">
        <v>974</v>
      </c>
      <c r="B56" s="512">
        <v>1</v>
      </c>
      <c r="C56" s="512">
        <f>_Neo_InfB_Toevoeging_4+1</f>
        <v>2</v>
      </c>
      <c r="J56" s="512">
        <v>1</v>
      </c>
      <c r="K56" s="607">
        <f>INDEX(tbl_Neo_NutrToevWaard,NeoBer1700!J56)</f>
        <v>0</v>
      </c>
      <c r="L56" s="503">
        <f>IF($B56&gt;1,($K56)*$K$49*HLOOKUP(NeoBer1700!L$1,tbl_Neo_OpzoektabelMM,$C56,FALSE),0)</f>
        <v>0</v>
      </c>
      <c r="M56" s="503">
        <f>IF($B56&gt;1,($K56)*$K$49*HLOOKUP(NeoBer1700!M$1,tbl_Neo_OpzoektabelMM,$C56,FALSE),0)</f>
        <v>0</v>
      </c>
      <c r="N56" s="503">
        <f>IF($B56&gt;1,($K56)*$K$49*HLOOKUP(NeoBer1700!N$1,tbl_Neo_OpzoektabelMM,$C56,FALSE),0)</f>
        <v>0</v>
      </c>
      <c r="O56" s="503">
        <f>IF($B56&gt;1,($K56)*$K$49*HLOOKUP(NeoBer1700!O$1,tbl_Neo_OpzoektabelMM,$C56,FALSE),0)</f>
        <v>0</v>
      </c>
      <c r="P56" s="503">
        <f>IF($B56&gt;1,($K56)*$K$49*HLOOKUP(NeoBer1700!P$1,tbl_Neo_OpzoektabelMM,$C56,FALSE),0)</f>
        <v>0</v>
      </c>
      <c r="Q56" s="503">
        <f>IF($B56&gt;1,($K56)*$K$49*HLOOKUP(NeoBer1700!Q$1,tbl_Neo_OpzoektabelMM,$C56,FALSE),0)</f>
        <v>0</v>
      </c>
      <c r="R56" s="503">
        <f>IF($B56&gt;1,($K56)*$K$49*HLOOKUP(NeoBer1700!R$1,tbl_Neo_OpzoektabelMM,$C56,FALSE),0)</f>
        <v>0</v>
      </c>
      <c r="S56" s="503">
        <f>IF($B56&gt;1,($K56)*$K$49*HLOOKUP(NeoBer1700!S$1,tbl_Neo_OpzoektabelMM,$C56,FALSE),0)</f>
        <v>0</v>
      </c>
      <c r="T56" s="503">
        <f>IF($B56&gt;1,($K56)*$K$49*HLOOKUP(NeoBer1700!T$1,tbl_Neo_OpzoektabelMM,$C56,FALSE),0)</f>
        <v>0</v>
      </c>
      <c r="U56" s="503">
        <f>IF($B56&gt;1,($K56)*$K$49*HLOOKUP(NeoBer1700!U$1,tbl_Neo_OpzoektabelMM,$C56,FALSE),0)</f>
        <v>0</v>
      </c>
      <c r="V56" s="503">
        <f>IF($B56&gt;1,($K56)*$K$49*HLOOKUP(NeoBer1700!V$1,tbl_Neo_OpzoektabelMM,$C56,FALSE),0)</f>
        <v>0</v>
      </c>
    </row>
    <row r="57" spans="1:22" x14ac:dyDescent="0.35">
      <c r="A57" s="512" t="s">
        <v>1069</v>
      </c>
      <c r="K57" s="607"/>
      <c r="L57" s="503">
        <f>SUM(L52:L56)</f>
        <v>0</v>
      </c>
      <c r="M57" s="503">
        <f t="shared" ref="M57:V57" si="18">SUM(M52:M56)</f>
        <v>0</v>
      </c>
      <c r="N57" s="503">
        <f t="shared" si="18"/>
        <v>0</v>
      </c>
      <c r="O57" s="503">
        <f t="shared" si="18"/>
        <v>0</v>
      </c>
      <c r="P57" s="503">
        <f t="shared" si="18"/>
        <v>0</v>
      </c>
      <c r="Q57" s="503">
        <f t="shared" si="18"/>
        <v>0</v>
      </c>
      <c r="R57" s="503">
        <f t="shared" si="18"/>
        <v>0</v>
      </c>
      <c r="S57" s="503">
        <f t="shared" si="18"/>
        <v>0</v>
      </c>
      <c r="T57" s="503">
        <f t="shared" si="18"/>
        <v>0</v>
      </c>
      <c r="U57" s="503">
        <f t="shared" si="18"/>
        <v>0</v>
      </c>
      <c r="V57" s="503">
        <f t="shared" si="18"/>
        <v>0</v>
      </c>
    </row>
    <row r="58" spans="1:22" x14ac:dyDescent="0.35">
      <c r="A58" s="512" t="s">
        <v>975</v>
      </c>
      <c r="B58" s="512">
        <v>1</v>
      </c>
      <c r="C58" s="512">
        <f>_Neo_InfB_Toevoeging_5+1</f>
        <v>2</v>
      </c>
      <c r="J58" s="512">
        <v>1</v>
      </c>
      <c r="K58" s="607">
        <f>INDEX(tbl_Neo_NutrToevWaard,NeoBer1700!J58)</f>
        <v>0</v>
      </c>
      <c r="L58" s="503">
        <f>IF($B58&gt;1,($K58)*$K$49*HLOOKUP(NeoBer1700!L$1,tbl_Neo_OpzoektabelKV,$C58,FALSE),0)</f>
        <v>0</v>
      </c>
      <c r="M58" s="503">
        <f>IF($B58&gt;1,($K58)*$K$49*HLOOKUP(NeoBer1700!M$1,tbl_Neo_OpzoektabelKV,$C58,FALSE),0)</f>
        <v>0</v>
      </c>
      <c r="N58" s="503">
        <f>IF($B58&gt;1,($K58)*$K$49*HLOOKUP(NeoBer1700!N$1,tbl_Neo_OpzoektabelKV,$C58,FALSE),0)</f>
        <v>0</v>
      </c>
      <c r="O58" s="503">
        <f>IF($B58&gt;1,($K58)*$K$49*HLOOKUP(NeoBer1700!O$1,tbl_Neo_OpzoektabelKV,$C58,FALSE),0)</f>
        <v>0</v>
      </c>
      <c r="P58" s="503">
        <f>IF($B58&gt;1,($K58)*$K$49*HLOOKUP(NeoBer1700!P$1,tbl_Neo_OpzoektabelKV,$C58,FALSE),0)</f>
        <v>0</v>
      </c>
      <c r="Q58" s="503">
        <f>IF($B58&gt;1,($K58)*$K$49*HLOOKUP(NeoBer1700!Q$1,tbl_Neo_OpzoektabelKV,$C58,FALSE),0)</f>
        <v>0</v>
      </c>
      <c r="R58" s="503">
        <f>IF($B58&gt;1,($K58)*$K$49*HLOOKUP(NeoBer1700!R$1,tbl_Neo_OpzoektabelKV,$C58,FALSE),0)</f>
        <v>0</v>
      </c>
      <c r="S58" s="503">
        <f>IF($B58&gt;1,($K58)*$K$49*HLOOKUP(NeoBer1700!S$1,tbl_Neo_OpzoektabelKV,$C58,FALSE),0)</f>
        <v>0</v>
      </c>
      <c r="T58" s="503">
        <f>IF($B58&gt;1,($K58)*$K$49*HLOOKUP(NeoBer1700!T$1,tbl_Neo_OpzoektabelKV,$C58,FALSE),0)</f>
        <v>0</v>
      </c>
      <c r="U58" s="503">
        <f>IF($B58&gt;1,($K58)*$K$49*HLOOKUP(NeoBer1700!U$1,tbl_Neo_OpzoektabelKV,$C58,FALSE),0)</f>
        <v>0</v>
      </c>
      <c r="V58" s="503">
        <f>IF($B58&gt;1,($K58)*$K$49*HLOOKUP(NeoBer1700!V$1,tbl_Neo_OpzoektabelKV,$C58,FALSE),0)</f>
        <v>0</v>
      </c>
    </row>
    <row r="59" spans="1:22" x14ac:dyDescent="0.35">
      <c r="A59" s="512" t="s">
        <v>976</v>
      </c>
      <c r="B59" s="512">
        <v>1</v>
      </c>
      <c r="C59" s="512">
        <f>_Neo_InfB_Toevoeging_6+1</f>
        <v>2</v>
      </c>
      <c r="J59" s="512">
        <v>1</v>
      </c>
      <c r="K59" s="607">
        <f>INDEX(tbl_Neo_NutrToevWaard,NeoBer1700!J59)</f>
        <v>0</v>
      </c>
      <c r="L59" s="503">
        <f>IF($B59&gt;1,($K59)*$K$49*HLOOKUP(NeoBer1700!L$1,tbl_Neo_OpzoektabelKV,$C59,FALSE),0)</f>
        <v>0</v>
      </c>
      <c r="M59" s="503">
        <f>IF($B59&gt;1,($K59)*$K$49*HLOOKUP(NeoBer1700!M$1,tbl_Neo_OpzoektabelKV,$C59,FALSE),0)</f>
        <v>0</v>
      </c>
      <c r="N59" s="503">
        <f>IF($B59&gt;1,($K59)*$K$49*HLOOKUP(NeoBer1700!N$1,tbl_Neo_OpzoektabelKV,$C59,FALSE),0)</f>
        <v>0</v>
      </c>
      <c r="O59" s="503">
        <f>IF($B59&gt;1,($K59)*$K$49*HLOOKUP(NeoBer1700!O$1,tbl_Neo_OpzoektabelKV,$C59,FALSE),0)</f>
        <v>0</v>
      </c>
      <c r="P59" s="503">
        <f>IF($B59&gt;1,($K59)*$K$49*HLOOKUP(NeoBer1700!P$1,tbl_Neo_OpzoektabelKV,$C59,FALSE),0)</f>
        <v>0</v>
      </c>
      <c r="Q59" s="503">
        <f>IF($B59&gt;1,($K59)*$K$49*HLOOKUP(NeoBer1700!Q$1,tbl_Neo_OpzoektabelKV,$C59,FALSE),0)</f>
        <v>0</v>
      </c>
      <c r="R59" s="503">
        <f>IF($B59&gt;1,($K59)*$K$49*HLOOKUP(NeoBer1700!R$1,tbl_Neo_OpzoektabelKV,$C59,FALSE),0)</f>
        <v>0</v>
      </c>
      <c r="S59" s="503">
        <f>IF($B59&gt;1,($K59)*$K$49*HLOOKUP(NeoBer1700!S$1,tbl_Neo_OpzoektabelKV,$C59,FALSE),0)</f>
        <v>0</v>
      </c>
      <c r="T59" s="503">
        <f>IF($B59&gt;1,($K59)*$K$49*HLOOKUP(NeoBer1700!T$1,tbl_Neo_OpzoektabelKV,$C59,FALSE),0)</f>
        <v>0</v>
      </c>
      <c r="U59" s="503">
        <f>IF($B59&gt;1,($K59)*$K$49*HLOOKUP(NeoBer1700!U$1,tbl_Neo_OpzoektabelKV,$C59,FALSE),0)</f>
        <v>0</v>
      </c>
      <c r="V59" s="503">
        <f>IF($B59&gt;1,($K59)*$K$49*HLOOKUP(NeoBer1700!V$1,tbl_Neo_OpzoektabelKV,$C59,FALSE),0)</f>
        <v>0</v>
      </c>
    </row>
    <row r="60" spans="1:22" x14ac:dyDescent="0.35">
      <c r="A60" s="512" t="s">
        <v>977</v>
      </c>
      <c r="B60" s="512">
        <v>1</v>
      </c>
      <c r="C60" s="512">
        <f>_Neo_InfB_Toevoeging_7+1</f>
        <v>2</v>
      </c>
      <c r="J60" s="512">
        <v>1</v>
      </c>
      <c r="K60" s="607">
        <f>INDEX(tbl_Neo_NutrToevWaard,NeoBer1700!J60)</f>
        <v>0</v>
      </c>
      <c r="L60" s="503">
        <f>IF($B60&gt;1,($K60)*$K$49*HLOOKUP(NeoBer1700!L$1,tbl_Neo_OpzoektabelKV,$C60,FALSE),0)</f>
        <v>0</v>
      </c>
      <c r="M60" s="503">
        <f>IF($B60&gt;1,($K60)*$K$49*HLOOKUP(NeoBer1700!M$1,tbl_Neo_OpzoektabelKV,$C60,FALSE),0)</f>
        <v>0</v>
      </c>
      <c r="N60" s="503">
        <f>IF($B60&gt;1,($K60)*$K$49*HLOOKUP(NeoBer1700!N$1,tbl_Neo_OpzoektabelKV,$C60,FALSE),0)</f>
        <v>0</v>
      </c>
      <c r="O60" s="503">
        <f>IF($B60&gt;1,($K60)*$K$49*HLOOKUP(NeoBer1700!O$1,tbl_Neo_OpzoektabelKV,$C60,FALSE),0)</f>
        <v>0</v>
      </c>
      <c r="P60" s="503">
        <f>IF($B60&gt;1,($K60)*$K$49*HLOOKUP(NeoBer1700!P$1,tbl_Neo_OpzoektabelKV,$C60,FALSE),0)</f>
        <v>0</v>
      </c>
      <c r="Q60" s="503">
        <f>IF($B60&gt;1,($K60)*$K$49*HLOOKUP(NeoBer1700!Q$1,tbl_Neo_OpzoektabelKV,$C60,FALSE),0)</f>
        <v>0</v>
      </c>
      <c r="R60" s="503">
        <f>IF($B60&gt;1,($K60)*$K$49*HLOOKUP(NeoBer1700!R$1,tbl_Neo_OpzoektabelKV,$C60,FALSE),0)</f>
        <v>0</v>
      </c>
      <c r="S60" s="503">
        <f>IF($B60&gt;1,($K60)*$K$49*HLOOKUP(NeoBer1700!S$1,tbl_Neo_OpzoektabelKV,$C60,FALSE),0)</f>
        <v>0</v>
      </c>
      <c r="T60" s="503">
        <f>IF($B60&gt;1,($K60)*$K$49*HLOOKUP(NeoBer1700!T$1,tbl_Neo_OpzoektabelKV,$C60,FALSE),0)</f>
        <v>0</v>
      </c>
      <c r="U60" s="503">
        <f>IF($B60&gt;1,($K60)*$K$49*HLOOKUP(NeoBer1700!U$1,tbl_Neo_OpzoektabelKV,$C60,FALSE),0)</f>
        <v>0</v>
      </c>
      <c r="V60" s="503">
        <f>IF($B60&gt;1,($K60)*$K$49*HLOOKUP(NeoBer1700!V$1,tbl_Neo_OpzoektabelKV,$C60,FALSE),0)</f>
        <v>0</v>
      </c>
    </row>
    <row r="61" spans="1:22" x14ac:dyDescent="0.35">
      <c r="A61" s="512" t="s">
        <v>978</v>
      </c>
      <c r="B61" s="512">
        <v>1</v>
      </c>
      <c r="C61" s="512">
        <f>_Neo_InfB_Toevoeging_8+1</f>
        <v>2</v>
      </c>
      <c r="J61" s="512">
        <v>1</v>
      </c>
      <c r="K61" s="607">
        <f>INDEX(tbl_Neo_NutrToevWaard,NeoBer1700!J61)</f>
        <v>0</v>
      </c>
      <c r="L61" s="503">
        <f>IF($B61&gt;1,($K61)*$K$49*HLOOKUP(NeoBer1700!L$1,tbl_Neo_OpzoektabelKV,$C61,FALSE),0)</f>
        <v>0</v>
      </c>
      <c r="M61" s="503">
        <f>IF($B61&gt;1,($K61)*$K$49*HLOOKUP(NeoBer1700!M$1,tbl_Neo_OpzoektabelKV,$C61,FALSE),0)</f>
        <v>0</v>
      </c>
      <c r="N61" s="503">
        <f>IF($B61&gt;1,($K61)*$K$49*HLOOKUP(NeoBer1700!N$1,tbl_Neo_OpzoektabelKV,$C61,FALSE),0)</f>
        <v>0</v>
      </c>
      <c r="O61" s="503">
        <f>IF($B61&gt;1,($K61)*$K$49*HLOOKUP(NeoBer1700!O$1,tbl_Neo_OpzoektabelKV,$C61,FALSE),0)</f>
        <v>0</v>
      </c>
      <c r="P61" s="503">
        <f>IF($B61&gt;1,($K61)*$K$49*HLOOKUP(NeoBer1700!P$1,tbl_Neo_OpzoektabelKV,$C61,FALSE),0)</f>
        <v>0</v>
      </c>
      <c r="Q61" s="503">
        <f>IF($B61&gt;1,($K61)*$K$49*HLOOKUP(NeoBer1700!Q$1,tbl_Neo_OpzoektabelKV,$C61,FALSE),0)</f>
        <v>0</v>
      </c>
      <c r="R61" s="503">
        <f>IF($B61&gt;1,($K61)*$K$49*HLOOKUP(NeoBer1700!R$1,tbl_Neo_OpzoektabelKV,$C61,FALSE),0)</f>
        <v>0</v>
      </c>
      <c r="S61" s="503">
        <f>IF($B61&gt;1,($K61)*$K$49*HLOOKUP(NeoBer1700!S$1,tbl_Neo_OpzoektabelKV,$C61,FALSE),0)</f>
        <v>0</v>
      </c>
      <c r="T61" s="503">
        <f>IF($B61&gt;1,($K61)*$K$49*HLOOKUP(NeoBer1700!T$1,tbl_Neo_OpzoektabelKV,$C61,FALSE),0)</f>
        <v>0</v>
      </c>
      <c r="U61" s="503">
        <f>IF($B61&gt;1,($K61)*$K$49*HLOOKUP(NeoBer1700!U$1,tbl_Neo_OpzoektabelKV,$C61,FALSE),0)</f>
        <v>0</v>
      </c>
      <c r="V61" s="503">
        <f>IF($B61&gt;1,($K61)*$K$49*HLOOKUP(NeoBer1700!V$1,tbl_Neo_OpzoektabelKV,$C61,FALSE),0)</f>
        <v>0</v>
      </c>
    </row>
    <row r="62" spans="1:22" x14ac:dyDescent="0.35">
      <c r="A62" s="512" t="s">
        <v>1070</v>
      </c>
      <c r="L62" s="503">
        <f>SUM(L58:L61)</f>
        <v>0</v>
      </c>
      <c r="M62" s="503">
        <f t="shared" ref="M62:V62" si="19">SUM(M58:M61)</f>
        <v>0</v>
      </c>
      <c r="N62" s="503">
        <f t="shared" si="19"/>
        <v>0</v>
      </c>
      <c r="O62" s="503">
        <f t="shared" si="19"/>
        <v>0</v>
      </c>
      <c r="P62" s="503">
        <f t="shared" si="19"/>
        <v>0</v>
      </c>
      <c r="Q62" s="503">
        <f t="shared" si="19"/>
        <v>0</v>
      </c>
      <c r="R62" s="503">
        <f t="shared" si="19"/>
        <v>0</v>
      </c>
      <c r="S62" s="503">
        <f t="shared" si="19"/>
        <v>0</v>
      </c>
      <c r="T62" s="503">
        <f t="shared" si="19"/>
        <v>0</v>
      </c>
      <c r="U62" s="503">
        <f t="shared" si="19"/>
        <v>0</v>
      </c>
      <c r="V62" s="503">
        <f t="shared" si="19"/>
        <v>0</v>
      </c>
    </row>
    <row r="65" spans="1:12" x14ac:dyDescent="0.35">
      <c r="A65" s="512" t="s">
        <v>614</v>
      </c>
    </row>
    <row r="70" spans="1:12" ht="13.2" x14ac:dyDescent="0.4">
      <c r="B70" s="233"/>
      <c r="C70" s="227"/>
      <c r="D70" s="227"/>
      <c r="E70" s="227"/>
      <c r="F70" s="234"/>
      <c r="G70" s="227"/>
      <c r="H70" s="227"/>
    </row>
    <row r="71" spans="1:12" x14ac:dyDescent="0.35">
      <c r="L71" s="491"/>
    </row>
    <row r="73" spans="1:12" x14ac:dyDescent="0.35">
      <c r="A73" s="512" t="s">
        <v>946</v>
      </c>
      <c r="B73" s="606" t="str">
        <f ca="1">IF(NeoGui1700!E18=0,"",CONCATENATE(NeoGui1700!B18,": ",NeoGui1700!E18," ",NeoGui1700!F18," = "&amp;NeoBer1700!K47&amp;" ml"))</f>
        <v/>
      </c>
    </row>
    <row r="74" spans="1:12" x14ac:dyDescent="0.35">
      <c r="A74" s="512" t="s">
        <v>947</v>
      </c>
      <c r="B74" s="606" t="str">
        <f>IF(INDEX(tbl_Neo_Pos,NeoBer1700!D14,1)=0,"",CONCATENATE(NeoGui1700!H21," ",INDEX(tbl_Neo_Pos,NeoBer1700!D14,1)))</f>
        <v/>
      </c>
    </row>
    <row r="75" spans="1:12" x14ac:dyDescent="0.35">
      <c r="A75" s="512" t="s">
        <v>948</v>
      </c>
      <c r="B75" s="606" t="str">
        <f>IF(INDEX(tbl_Neo_Pos,NeoBer1700!D14,1)=0,"",CONCATENATE("Hoeveelheid 1:  ",NeoGui1700!E21," ",NeoGui1700!F21," ",NeoGui1700!G21))</f>
        <v/>
      </c>
    </row>
    <row r="76" spans="1:12" x14ac:dyDescent="0.35">
      <c r="A76" s="512" t="s">
        <v>949</v>
      </c>
      <c r="B76" s="606" t="str">
        <f>IF(INDEX(tbl_Neo_Pos,NeoBer1700!D14,1)=0,"",CONCATENATE("Hoeveelheid 2:  ",NeoGui1700!E22," ",NeoGui1700!F22," ",NeoGui1700!G22))</f>
        <v/>
      </c>
    </row>
    <row r="77" spans="1:12" x14ac:dyDescent="0.35">
      <c r="A77" s="512" t="s">
        <v>950</v>
      </c>
      <c r="B77" s="606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512" t="s">
        <v>951</v>
      </c>
      <c r="B78" s="606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512" t="s">
        <v>952</v>
      </c>
      <c r="B79" s="606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512" t="s">
        <v>953</v>
      </c>
      <c r="B80" s="606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512" t="s">
        <v>954</v>
      </c>
      <c r="B81" s="606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512" t="s">
        <v>955</v>
      </c>
      <c r="B82" s="606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512" t="s">
        <v>1121</v>
      </c>
      <c r="B83" s="606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512" t="s">
        <v>1122</v>
      </c>
      <c r="B84" s="606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512" t="s">
        <v>1123</v>
      </c>
      <c r="B85" s="606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512" t="s">
        <v>1124</v>
      </c>
      <c r="B86" s="606" t="str">
        <f ca="1">IF(NeoGui1700!E28&gt;0,CONCATENATE(NeoGui1700!B28," ",NeoGui1700!E28," ",NeoGui1700!F28),"")</f>
        <v/>
      </c>
    </row>
    <row r="87" spans="1:2" x14ac:dyDescent="0.35">
      <c r="A87" s="512" t="s">
        <v>1125</v>
      </c>
      <c r="B87" s="606" t="str">
        <f>CONCATENATE(NeoGui1700!B19,": ",IF(NeoBer1700!B15=1,"Ja","Nee"))</f>
        <v>Fototherapie: Nee</v>
      </c>
    </row>
    <row r="90" spans="1:2" x14ac:dyDescent="0.35">
      <c r="A90" s="384" t="s">
        <v>1161</v>
      </c>
      <c r="B90" s="607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35">
      <c r="A91" s="384" t="s">
        <v>1161</v>
      </c>
      <c r="B91" s="607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35">
      <c r="A92" s="384" t="s">
        <v>1161</v>
      </c>
      <c r="B92" s="607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35">
      <c r="A93" s="384" t="s">
        <v>1161</v>
      </c>
      <c r="B93" s="607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35">
      <c r="A94" s="384" t="s">
        <v>1161</v>
      </c>
      <c r="B94" s="607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35">
      <c r="A95" s="384" t="s">
        <v>1161</v>
      </c>
      <c r="B95" s="607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35">
      <c r="A96" s="384" t="s">
        <v>1161</v>
      </c>
      <c r="B96" s="607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35">
      <c r="A97" s="384" t="s">
        <v>1161</v>
      </c>
      <c r="B97" s="607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35">
      <c r="A98" s="384" t="s">
        <v>1161</v>
      </c>
      <c r="B98" s="607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35">
      <c r="A99" s="384" t="s">
        <v>1161</v>
      </c>
      <c r="B99" s="607" t="str">
        <f>IF(NeoBer1700!E29&gt;1, NeoGui1700!B42&amp;": "&amp; INDEX(tbl_Neo_Opl,NeoBer1700!$E29,1)&amp;" " &amp; NeoGui1700!G42,"")</f>
        <v/>
      </c>
    </row>
    <row r="100" spans="1:2" x14ac:dyDescent="0.35">
      <c r="A100" s="384" t="s">
        <v>1161</v>
      </c>
      <c r="B100" s="607" t="str">
        <f>IF(NeoBer1700!E30&gt;1, NeoGui1700!B43&amp;": "&amp; INDEX(tbl_Neo_Opl,NeoBer1700!$E30,1)&amp;" " &amp; NeoGui1700!G43,"")</f>
        <v/>
      </c>
    </row>
    <row r="101" spans="1:2" x14ac:dyDescent="0.35">
      <c r="A101" s="384" t="s">
        <v>1161</v>
      </c>
      <c r="B101" s="607" t="str">
        <f>IF(NeoBer1700!E31&gt;1, NeoGui1700!B44&amp;": "&amp; INDEX(tbl_Neo_Opl,NeoBer1700!$E31,1)&amp;" " &amp; NeoGui1700!G44,"")</f>
        <v/>
      </c>
    </row>
    <row r="102" spans="1:2" x14ac:dyDescent="0.35">
      <c r="A102" s="384" t="s">
        <v>1161</v>
      </c>
      <c r="B102" s="607" t="str">
        <f>IF(NeoBer1700!B32="","",NeoBer1700!B32)</f>
        <v/>
      </c>
    </row>
    <row r="103" spans="1:2" x14ac:dyDescent="0.35">
      <c r="A103" s="384" t="s">
        <v>1161</v>
      </c>
      <c r="B103" s="607" t="str">
        <f>IF(NeoBer1700!B33="","",NeoBer1700!B33)</f>
        <v/>
      </c>
    </row>
    <row r="104" spans="1:2" x14ac:dyDescent="0.35">
      <c r="A104" s="384" t="s">
        <v>1161</v>
      </c>
      <c r="B104" s="607" t="str">
        <f ca="1">IF(NeoBer1700!C35&lt;&gt;0,CONCATENATE("Intralipid 20% (incl.vitintra) ",ROUNDUP(NeoBer1700!C35/24,1)," ml/uur"),"")</f>
        <v/>
      </c>
    </row>
    <row r="105" spans="1:2" x14ac:dyDescent="0.35">
      <c r="A105" s="384" t="s">
        <v>1161</v>
      </c>
      <c r="B105" s="607" t="str">
        <f ca="1">IF(Var_Neo_WerkbriefTPNStand&lt;&gt;"",CONCATENATE("TPN: ",Var_Neo_WerkbriefTPNStand, " ml/uur"),"")</f>
        <v/>
      </c>
    </row>
    <row r="106" spans="1:2" x14ac:dyDescent="0.35">
      <c r="A106" s="384" t="s">
        <v>1161</v>
      </c>
      <c r="B106" s="607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384" t="s">
        <v>1161</v>
      </c>
      <c r="B107" s="607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384" t="s">
        <v>1161</v>
      </c>
      <c r="B108" s="607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384" t="s">
        <v>1161</v>
      </c>
      <c r="B109" s="607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384" t="s">
        <v>1161</v>
      </c>
      <c r="B110" s="607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384" t="s">
        <v>1161</v>
      </c>
      <c r="B111" s="607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384" t="s">
        <v>1161</v>
      </c>
      <c r="B112" s="607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384" t="s">
        <v>1161</v>
      </c>
      <c r="B113" s="607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384" t="s">
        <v>1161</v>
      </c>
      <c r="B114" s="607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384" t="s">
        <v>1161</v>
      </c>
      <c r="B115" s="607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384" t="s">
        <v>1161</v>
      </c>
      <c r="B116" s="607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H5" sqref="H5"/>
    </sheetView>
  </sheetViews>
  <sheetFormatPr defaultColWidth="5.73046875" defaultRowHeight="12.85" x14ac:dyDescent="0.35"/>
  <cols>
    <col min="1" max="12" width="5.73046875" style="269"/>
    <col min="13" max="14" width="7.86328125" style="269" customWidth="1"/>
    <col min="15" max="16384" width="5.73046875" style="269"/>
  </cols>
  <sheetData>
    <row r="1" spans="1:16" x14ac:dyDescent="0.35">
      <c r="A1" s="453" t="s">
        <v>564</v>
      </c>
      <c r="L1" s="269" t="s">
        <v>549</v>
      </c>
      <c r="M1" s="270">
        <f>__1_Bed</f>
        <v>0</v>
      </c>
    </row>
    <row r="2" spans="1:16" ht="13.2" x14ac:dyDescent="0.4">
      <c r="A2" s="269" t="s">
        <v>565</v>
      </c>
      <c r="C2" s="271" t="str">
        <f>__3_VoorNaam&amp;" "&amp;__2_AchterNaam</f>
        <v xml:space="preserve"> </v>
      </c>
      <c r="G2" s="269" t="s">
        <v>566</v>
      </c>
      <c r="I2" s="946">
        <f ca="1">TODAY()</f>
        <v>42739</v>
      </c>
      <c r="J2" s="946"/>
      <c r="K2" s="946"/>
      <c r="L2" s="269" t="s">
        <v>567</v>
      </c>
      <c r="M2" s="947">
        <f ca="1">NOW()</f>
        <v>42739.609596064816</v>
      </c>
      <c r="N2" s="947"/>
    </row>
    <row r="3" spans="1:16" ht="13.2" x14ac:dyDescent="0.4">
      <c r="A3" s="269" t="s">
        <v>568</v>
      </c>
      <c r="C3" s="271">
        <f>(_Pat_Gewicht/10)*1000</f>
        <v>10000</v>
      </c>
      <c r="D3" s="269" t="s">
        <v>31</v>
      </c>
      <c r="I3" s="272"/>
      <c r="J3" s="272"/>
      <c r="K3" s="272"/>
      <c r="M3" s="273"/>
      <c r="N3" s="273"/>
    </row>
    <row r="4" spans="1:16" ht="13.2" x14ac:dyDescent="0.4">
      <c r="G4" s="269" t="s">
        <v>569</v>
      </c>
      <c r="I4" s="271" t="str">
        <f>IF(_Neo_InfB_Arts&gt;0,_Neo_InfB_Arts,"")</f>
        <v/>
      </c>
      <c r="L4" s="269" t="s">
        <v>570</v>
      </c>
      <c r="M4" s="274"/>
      <c r="N4" s="274"/>
      <c r="O4" s="274"/>
      <c r="P4" s="274"/>
    </row>
    <row r="5" spans="1:16" ht="24.05" customHeight="1" x14ac:dyDescent="0.4">
      <c r="A5" s="275" t="s">
        <v>191</v>
      </c>
      <c r="B5" s="276"/>
      <c r="C5" s="277" t="s">
        <v>571</v>
      </c>
      <c r="D5" s="277"/>
      <c r="E5" s="277"/>
      <c r="F5" s="277"/>
      <c r="G5" s="277"/>
      <c r="H5" s="278">
        <f ca="1">NeoGui1700!E28</f>
        <v>0</v>
      </c>
      <c r="I5" s="277" t="s">
        <v>177</v>
      </c>
      <c r="J5" s="277"/>
      <c r="K5" s="277"/>
      <c r="L5" s="277"/>
      <c r="M5" s="948" t="s">
        <v>572</v>
      </c>
      <c r="N5" s="949"/>
      <c r="O5" s="279" t="s">
        <v>573</v>
      </c>
      <c r="P5" s="280"/>
    </row>
    <row r="6" spans="1:16" ht="15.1" x14ac:dyDescent="0.4">
      <c r="A6" s="459" t="str">
        <f>IF(M6&lt;&gt;"",M6/24,"")</f>
        <v/>
      </c>
      <c r="B6" s="276"/>
      <c r="C6" s="275" t="str">
        <f>NeoGui1700!B30</f>
        <v>Arterielijn: 12 ml NaCl 0,45% + hep. (5EH/ml)</v>
      </c>
      <c r="D6" s="282"/>
      <c r="E6" s="282"/>
      <c r="F6" s="282"/>
      <c r="G6" s="282"/>
      <c r="H6" s="282"/>
      <c r="I6" s="282"/>
      <c r="J6" s="282"/>
      <c r="K6" s="282"/>
      <c r="L6" s="276"/>
      <c r="M6" s="283" t="str">
        <f>IF(24*NeoBer1700!B18&gt;0,TRUNC(24*NeoBer1700!B18/10),"")</f>
        <v/>
      </c>
      <c r="N6" s="283" t="str">
        <f>IF(NeoBer1700!B18&gt;0,(24*NeoBer1700!B18/10-M6)*10,"")</f>
        <v/>
      </c>
      <c r="O6" s="279" t="str">
        <f>IF(NeoBer1700!J18,"extra","")</f>
        <v/>
      </c>
      <c r="P6" s="280"/>
    </row>
    <row r="7" spans="1:16" ht="15.1" x14ac:dyDescent="0.4">
      <c r="A7" s="281"/>
      <c r="B7" s="282"/>
      <c r="C7" s="282"/>
      <c r="D7" s="282"/>
      <c r="E7" s="282"/>
      <c r="F7" s="282"/>
      <c r="G7" s="282"/>
      <c r="H7" s="282"/>
      <c r="I7" s="282"/>
      <c r="J7" s="282"/>
      <c r="K7" s="282"/>
      <c r="L7" s="282"/>
      <c r="M7" s="284"/>
      <c r="N7" s="284"/>
      <c r="O7" s="279"/>
      <c r="P7" s="280"/>
    </row>
    <row r="8" spans="1:16" ht="14.25" customHeight="1" x14ac:dyDescent="0.4">
      <c r="A8" s="285" t="str">
        <f ca="1">IF(M17&lt;&gt;"",IF(ROUND((M17+N17/100)/24,1)&gt;0,ROUND((M17+N17/100)/24,1),""),"")</f>
        <v/>
      </c>
      <c r="B8" s="279"/>
      <c r="C8" s="286"/>
      <c r="D8" s="287"/>
      <c r="E8" s="287"/>
      <c r="F8" s="287"/>
      <c r="G8" s="287"/>
      <c r="H8" s="287" t="s">
        <v>34</v>
      </c>
      <c r="I8" s="287"/>
      <c r="J8" s="287"/>
      <c r="K8" s="287"/>
      <c r="L8" s="288"/>
      <c r="M8" s="289" t="str">
        <f ca="1">IF(NeoBer1700!$K$37&gt;0,IF(_Neo_InfB_DagKeuze&lt;&gt;2,TRUNC(NeoBer1700!$C$37),0),"")</f>
        <v/>
      </c>
      <c r="N8" s="290" t="str">
        <f ca="1">IF(NeoBer1700!$K$37&gt;0,IF(_Neo_1700_DagKeuze&lt;&gt;2,(NeoBer1700!$C$37-M8)*100,0),"")</f>
        <v/>
      </c>
      <c r="O8" s="279"/>
      <c r="P8" s="280"/>
    </row>
    <row r="9" spans="1:16" ht="14.25" customHeight="1" x14ac:dyDescent="0.35">
      <c r="A9" s="291"/>
      <c r="B9" s="279"/>
      <c r="C9" s="275"/>
      <c r="D9" s="282"/>
      <c r="E9" s="282"/>
      <c r="F9" s="282"/>
      <c r="G9" s="282"/>
      <c r="H9" s="282" t="s">
        <v>574</v>
      </c>
      <c r="I9" s="282"/>
      <c r="J9" s="282"/>
      <c r="K9" s="282"/>
      <c r="L9" s="276"/>
      <c r="M9" s="292" t="str">
        <f ca="1">IF(NeoBer1700!$K$38&gt;0,IF(_Neo_1700_DagKeuze&lt;&gt;2,TRUNC(NeoBer1700!$C$38),0),"")</f>
        <v/>
      </c>
      <c r="N9" s="283" t="str">
        <f ca="1">IF(NeoBer1700!$K$38&gt;0,IF(_Neo_1700_DagKeuze&lt;&gt;2,(NeoBer1700!$C$38-M9)*100,0),"")</f>
        <v/>
      </c>
      <c r="O9" s="279"/>
      <c r="P9" s="280"/>
    </row>
    <row r="10" spans="1:16" ht="14.25" customHeight="1" x14ac:dyDescent="0.35">
      <c r="A10" s="291"/>
      <c r="B10" s="279"/>
      <c r="C10" s="286"/>
      <c r="D10" s="287"/>
      <c r="E10" s="287"/>
      <c r="F10" s="287"/>
      <c r="G10" s="287"/>
      <c r="H10" s="287" t="s">
        <v>451</v>
      </c>
      <c r="I10" s="287"/>
      <c r="J10" s="287"/>
      <c r="K10" s="287"/>
      <c r="L10" s="288"/>
      <c r="M10" s="289" t="str">
        <f ca="1">IF(NeoBer1700!$K$39&gt;0,TRUNC(NeoBer1700!$C$39),"")</f>
        <v/>
      </c>
      <c r="N10" s="290" t="str">
        <f ca="1">IF(NeoBer1700!$K$39&gt;0,IF(_Neo_1700_DagKeuze=1,NeoBer1700!$C$39-M10,0),"")</f>
        <v/>
      </c>
      <c r="O10" s="279"/>
      <c r="P10" s="280"/>
    </row>
    <row r="11" spans="1:16" ht="14.25" customHeight="1" x14ac:dyDescent="0.35">
      <c r="A11" s="291"/>
      <c r="B11" s="279"/>
      <c r="C11" s="275"/>
      <c r="D11" s="282"/>
      <c r="E11" s="282"/>
      <c r="F11" s="282"/>
      <c r="G11" s="282"/>
      <c r="H11" s="282" t="s">
        <v>452</v>
      </c>
      <c r="I11" s="282"/>
      <c r="J11" s="282"/>
      <c r="K11" s="282"/>
      <c r="L11" s="276"/>
      <c r="M11" s="292" t="str">
        <f ca="1">IF(NeoBer1700!$K$40&gt;0,TRUNC(NeoBer1700!$C$40),"")</f>
        <v/>
      </c>
      <c r="N11" s="283" t="str">
        <f ca="1">IF(NeoBer1700!$K$40&gt;0,IF(_Neo_1700_DagKeuze=1,(NeoBer1700!$C$40-M11)*100,0),"")</f>
        <v/>
      </c>
      <c r="O11" s="279"/>
      <c r="P11" s="280"/>
    </row>
    <row r="12" spans="1:16" ht="14.25" customHeight="1" x14ac:dyDescent="0.35">
      <c r="A12" s="291"/>
      <c r="B12" s="279"/>
      <c r="C12" s="286"/>
      <c r="D12" s="287"/>
      <c r="E12" s="287"/>
      <c r="F12" s="287"/>
      <c r="G12" s="287"/>
      <c r="H12" s="287" t="s">
        <v>217</v>
      </c>
      <c r="I12" s="287"/>
      <c r="J12" s="287"/>
      <c r="K12" s="287"/>
      <c r="L12" s="288"/>
      <c r="M12" s="289" t="str">
        <f ca="1">IF(NeoBer1700!$K$41&gt;0,TRUNC(NeoBer1700!$C$41),"")</f>
        <v/>
      </c>
      <c r="N12" s="290" t="str">
        <f ca="1">IF(NeoBer1700!$K$41&gt;0,IF(_Neo_1700_DagKeuze=1,(NeoBer1700!$C$41-M12)*100,0),"")</f>
        <v/>
      </c>
      <c r="O12" s="279"/>
      <c r="P12" s="280"/>
    </row>
    <row r="13" spans="1:16" ht="14.25" customHeight="1" x14ac:dyDescent="0.35">
      <c r="A13" s="291"/>
      <c r="B13" s="279"/>
      <c r="C13" s="275"/>
      <c r="D13" s="282"/>
      <c r="E13" s="282"/>
      <c r="F13" s="282"/>
      <c r="G13" s="282"/>
      <c r="H13" s="282" t="s">
        <v>575</v>
      </c>
      <c r="I13" s="282"/>
      <c r="J13" s="282"/>
      <c r="K13" s="282"/>
      <c r="L13" s="276"/>
      <c r="M13" s="292" t="str">
        <f ca="1">IF(NeoBer1700!$K$42&gt;0,TRUNC(NeoBer1700!$C$42),"")</f>
        <v/>
      </c>
      <c r="N13" s="283" t="str">
        <f ca="1">IF(NeoBer1700!$K$42&gt;0,IF(_Neo_1700_DagKeuze&lt;&gt;1,(NeoBer1700!$C$42-M13)*100,0),"")</f>
        <v/>
      </c>
      <c r="O13" s="279"/>
      <c r="P13" s="280"/>
    </row>
    <row r="14" spans="1:16" ht="14.25" customHeight="1" x14ac:dyDescent="0.35">
      <c r="A14" s="291"/>
      <c r="B14" s="279"/>
      <c r="C14" s="286"/>
      <c r="D14" s="287"/>
      <c r="E14" s="287"/>
      <c r="F14" s="287"/>
      <c r="G14" s="287"/>
      <c r="H14" s="287" t="s">
        <v>576</v>
      </c>
      <c r="I14" s="287"/>
      <c r="J14" s="287"/>
      <c r="K14" s="287"/>
      <c r="L14" s="288"/>
      <c r="M14" s="289" t="str">
        <f>IF(_Neo_InfB_DagKeuze=2,TRUNC(NeoBer1700!$C$43),"")</f>
        <v/>
      </c>
      <c r="N14" s="290" t="str">
        <f>IF(_Neo_InfB_DagKeuze=2,(NeoBer1700!$C$43-M14)*100,"")</f>
        <v/>
      </c>
      <c r="O14" s="279"/>
      <c r="P14" s="280"/>
    </row>
    <row r="15" spans="1:16" ht="14.25" customHeight="1" x14ac:dyDescent="0.35">
      <c r="A15" s="291"/>
      <c r="B15" s="279"/>
      <c r="C15" s="275"/>
      <c r="D15" s="282"/>
      <c r="E15" s="282"/>
      <c r="F15" s="282"/>
      <c r="G15" s="282"/>
      <c r="H15" s="282" t="s">
        <v>355</v>
      </c>
      <c r="I15" s="282"/>
      <c r="J15" s="282"/>
      <c r="K15" s="282"/>
      <c r="L15" s="276"/>
      <c r="M15" s="292" t="str">
        <f>IF(_Neo_InfB_DagKeuze=3,TRUNC(NeoBer1700!$C$44),"")</f>
        <v/>
      </c>
      <c r="N15" s="283" t="str">
        <f>IF(_Neo_InfB_DagKeuze=3,(NeoBer1700!$C$44-M15)*100,"")</f>
        <v/>
      </c>
      <c r="O15" s="279"/>
      <c r="P15" s="280"/>
    </row>
    <row r="16" spans="1:16" ht="14.25" customHeight="1" x14ac:dyDescent="0.35">
      <c r="A16" s="286"/>
      <c r="B16" s="288"/>
      <c r="C16" s="286"/>
      <c r="D16" s="287"/>
      <c r="E16" s="287"/>
      <c r="F16" s="287"/>
      <c r="G16" s="287"/>
      <c r="H16" s="287" t="str">
        <f>INDEX(tbl_Neo_Opl,NeoBer1700!D45+1,1)</f>
        <v>glucose 10%</v>
      </c>
      <c r="I16" s="287"/>
      <c r="J16" s="287"/>
      <c r="K16" s="287"/>
      <c r="L16" s="288"/>
      <c r="M16" s="289" t="str">
        <f>IF(NeoBer1700!$K$45&gt;0,TRUNC(NeoBer1700!$K$45),"")</f>
        <v/>
      </c>
      <c r="N16" s="290" t="str">
        <f>IF(NeoBer1700!$K$45&gt;0,(NeoBer1700!$K$45-M16)*100,"")</f>
        <v/>
      </c>
      <c r="O16" s="279"/>
      <c r="P16" s="280"/>
    </row>
    <row r="17" spans="1:16" ht="14.25" customHeight="1" x14ac:dyDescent="0.4">
      <c r="A17" s="277"/>
      <c r="B17" s="277"/>
      <c r="C17" s="279"/>
      <c r="D17" s="279"/>
      <c r="E17" s="279"/>
      <c r="F17" s="279"/>
      <c r="G17" s="279"/>
      <c r="H17" s="293" t="s">
        <v>124</v>
      </c>
      <c r="I17" s="293"/>
      <c r="J17" s="293"/>
      <c r="K17" s="282"/>
      <c r="L17" s="282"/>
      <c r="M17" s="292" t="str">
        <f ca="1">IF(SUM(M8:N16)&gt;0,TRUNC(SUM(M8:M16)+SUM(N8:N16)/100),"")</f>
        <v/>
      </c>
      <c r="N17" s="283" t="str">
        <f ca="1">IF(SUM(M8:N16)&gt;0,(SUM(M8:M16)+SUM(N8:N16)/100-M17)*100,"")</f>
        <v/>
      </c>
      <c r="O17" s="279"/>
      <c r="P17" s="280"/>
    </row>
    <row r="18" spans="1:16" ht="14.25" customHeight="1" x14ac:dyDescent="0.4">
      <c r="A18" s="287"/>
      <c r="B18" s="287"/>
      <c r="C18" s="279"/>
      <c r="D18" s="279"/>
      <c r="E18" s="279"/>
      <c r="F18" s="279"/>
      <c r="G18" s="279"/>
      <c r="H18" s="279"/>
      <c r="I18" s="279"/>
      <c r="J18" s="294"/>
      <c r="K18" s="279"/>
      <c r="L18" s="279"/>
      <c r="M18" s="295"/>
      <c r="N18" s="296"/>
      <c r="O18" s="279"/>
      <c r="P18" s="280"/>
    </row>
    <row r="19" spans="1:16" ht="14.25" customHeight="1" x14ac:dyDescent="0.35">
      <c r="A19" s="275" t="s">
        <v>191</v>
      </c>
      <c r="B19" s="282"/>
      <c r="C19" s="276"/>
      <c r="D19" s="279"/>
      <c r="E19" s="279"/>
      <c r="F19" s="279"/>
      <c r="G19" s="279"/>
      <c r="H19" s="279"/>
      <c r="I19" s="279"/>
      <c r="J19" s="279"/>
      <c r="K19" s="279"/>
      <c r="L19" s="279"/>
      <c r="M19" s="297"/>
      <c r="N19" s="298"/>
      <c r="O19" s="279"/>
      <c r="P19" s="280"/>
    </row>
    <row r="20" spans="1:16" ht="14.25" customHeight="1" x14ac:dyDescent="0.4">
      <c r="A20" s="299" t="str">
        <f>IF(F20&lt;&gt;"",_Neo_InfB_Stand_10/10,"")</f>
        <v/>
      </c>
      <c r="B20" s="300"/>
      <c r="C20" s="301"/>
      <c r="D20" s="275" t="str">
        <f>IF(F20&lt;&gt;"","Zijlijn 1","")</f>
        <v/>
      </c>
      <c r="E20" s="282"/>
      <c r="F20" s="282" t="str">
        <f>IF(NeoBer1700!E29&gt;1,INDEX(tbl_Neo_Opl,NeoBer1700!E29,1),"")</f>
        <v/>
      </c>
      <c r="G20" s="282"/>
      <c r="H20" s="282"/>
      <c r="I20" s="282"/>
      <c r="J20" s="282"/>
      <c r="K20" s="282"/>
      <c r="L20" s="276"/>
      <c r="M20" s="292" t="str">
        <f>IF(F20&lt;&gt;"",TRUNC(A20*24),"")</f>
        <v/>
      </c>
      <c r="N20" s="283" t="str">
        <f>IF(F20&lt;&gt;"",((A20*24)-M20)*100,"")</f>
        <v/>
      </c>
      <c r="O20" s="279" t="str">
        <f>IF(_Neo_InfB_VochtExtra_12,"extra","")</f>
        <v/>
      </c>
      <c r="P20" s="280"/>
    </row>
    <row r="21" spans="1:16" ht="14.25" customHeight="1" x14ac:dyDescent="0.4">
      <c r="A21" s="299" t="str">
        <f>IF(F21&lt;&gt;"",_Neo_InfB_Stand_11/10,"")</f>
        <v/>
      </c>
      <c r="B21" s="300"/>
      <c r="C21" s="301"/>
      <c r="D21" s="275" t="str">
        <f>IF(F21&lt;&gt;"","Zijlijn 2","")</f>
        <v/>
      </c>
      <c r="E21" s="282"/>
      <c r="F21" s="282" t="str">
        <f>IF(NeoBer1700!E30&gt;1,INDEX(tbl_Neo_Opl,NeoBer1700!E30,1),"")</f>
        <v/>
      </c>
      <c r="G21" s="282"/>
      <c r="H21" s="282"/>
      <c r="I21" s="282"/>
      <c r="J21" s="282"/>
      <c r="K21" s="282"/>
      <c r="L21" s="276"/>
      <c r="M21" s="292" t="str">
        <f>IF(F21&lt;&gt;"",TRUNC(A21*24),"")</f>
        <v/>
      </c>
      <c r="N21" s="283" t="str">
        <f>IF(F21&lt;&gt;"",((A21*24)-M21)*100,"")</f>
        <v/>
      </c>
      <c r="O21" s="279" t="str">
        <f>IF(_Neo_InfB_VochtExtra_13,"extra","")</f>
        <v/>
      </c>
      <c r="P21" s="280"/>
    </row>
    <row r="22" spans="1:16" ht="14.25" customHeight="1" x14ac:dyDescent="0.4">
      <c r="A22" s="299" t="str">
        <f>IF(F22&lt;&gt;"",_Neo_InfB_Stand_12/10,"")</f>
        <v/>
      </c>
      <c r="B22" s="300"/>
      <c r="C22" s="301"/>
      <c r="D22" s="275" t="str">
        <f>IF(F22&lt;&gt;"","Zijlijn 3","")</f>
        <v/>
      </c>
      <c r="E22" s="282"/>
      <c r="F22" s="282" t="str">
        <f>IF(NeoBer1700!E31&gt;1,INDEX(tbl_Neo_Opl,NeoBer1700!E31,1),"")</f>
        <v/>
      </c>
      <c r="G22" s="282"/>
      <c r="H22" s="282"/>
      <c r="I22" s="282"/>
      <c r="J22" s="282"/>
      <c r="K22" s="282"/>
      <c r="L22" s="276"/>
      <c r="M22" s="292" t="str">
        <f>IF(F22&lt;&gt;"",TRUNC(A22*24),"")</f>
        <v/>
      </c>
      <c r="N22" s="283" t="str">
        <f>IF(F22&lt;&gt;"",((A22*24)-M22)*100,"")</f>
        <v/>
      </c>
      <c r="O22" s="279" t="str">
        <f>IF(_Neo_InfB_VochtExtra_14,"extra","")</f>
        <v/>
      </c>
      <c r="P22" s="280"/>
    </row>
    <row r="23" spans="1:16" ht="14.25" customHeight="1" x14ac:dyDescent="0.4">
      <c r="A23" s="299" t="str">
        <f ca="1">IF(D23&lt;&gt;"",ROUNDUP(NeoBer1700!C35/24,1),"")</f>
        <v/>
      </c>
      <c r="B23" s="300"/>
      <c r="C23" s="301"/>
      <c r="D23" s="275" t="str">
        <f ca="1">IF(NeoBer1700!C35&lt;&gt;0,INDEX(tbl_Neo_IntralipidSmof,_Neo_1700_IntralipidSmof),"")</f>
        <v/>
      </c>
      <c r="E23" s="282"/>
      <c r="F23" s="282"/>
      <c r="G23" s="282"/>
      <c r="H23" s="282"/>
      <c r="I23" s="282"/>
      <c r="J23" s="282"/>
      <c r="K23" s="282"/>
      <c r="L23" s="276"/>
      <c r="M23" s="292" t="str">
        <f ca="1">IF(D23&lt;&gt;"",TRUNC(NeoBer1700!C35),"")</f>
        <v/>
      </c>
      <c r="N23" s="283" t="str">
        <f ca="1">IF(D23&lt;&gt;"",(NeoBer1700!C35-M23)*100,"")</f>
        <v/>
      </c>
      <c r="O23" s="279"/>
      <c r="P23" s="280"/>
    </row>
    <row r="24" spans="1:16" ht="14.25" customHeight="1" x14ac:dyDescent="0.35">
      <c r="A24" s="282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302"/>
      <c r="N24" s="303"/>
      <c r="O24" s="279"/>
      <c r="P24" s="280"/>
    </row>
    <row r="25" spans="1:16" ht="14.25" customHeight="1" x14ac:dyDescent="0.35">
      <c r="A25" s="275" t="s">
        <v>191</v>
      </c>
      <c r="B25" s="276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97"/>
      <c r="N25" s="298"/>
      <c r="O25" s="279"/>
      <c r="P25" s="280"/>
    </row>
    <row r="26" spans="1:16" ht="14.25" customHeight="1" x14ac:dyDescent="0.4">
      <c r="A26" s="299" t="str">
        <f>IF(NeoBer1700!B20&gt;1,NeoBer1700!F20/10,"")</f>
        <v/>
      </c>
      <c r="B26" s="299"/>
      <c r="C26" s="304" t="str">
        <f>IF(A26&lt;&gt;"",IF(NeoBer1700!B20&gt;1,INDEX(tbl_Neo_MedIV,NeoBer1700!B20,1),""),"")</f>
        <v/>
      </c>
      <c r="D26" s="277"/>
      <c r="E26" s="278" t="str">
        <f>IF(A26&lt;&gt;"",IF(NeoBer1700!B20&gt;1,NeoBer1700!C20/10,""),"")</f>
        <v/>
      </c>
      <c r="F26" s="277" t="str">
        <f>IF(_Neo_InfB_Medicament_1&lt;&gt;5,"mg","ml")</f>
        <v>mg</v>
      </c>
      <c r="G26" s="305" t="s">
        <v>577</v>
      </c>
      <c r="H26" s="277" t="str">
        <f>IF(A26&lt;&gt;"",IF(NeoBer1700!B20&gt;1,INDEX(tbl_Neo_MedIV,NeoBer1700!B20,3),""),"")</f>
        <v/>
      </c>
      <c r="I26" s="277" t="s">
        <v>578</v>
      </c>
      <c r="J26" s="277" t="str">
        <f>IF(A26&lt;&gt;"",IF(NeoBer1700!B20&gt;1,INDEX(tbl_Neo_MedIV,NeoBer1700!B20,4),""),"")</f>
        <v/>
      </c>
      <c r="K26" s="277" t="s">
        <v>579</v>
      </c>
      <c r="L26" s="277"/>
      <c r="M26" s="306" t="str">
        <f>IF(A26&lt;&gt;"",TRUNC((J26/H26)*E26),"")</f>
        <v/>
      </c>
      <c r="N26" s="307" t="str">
        <f>IF(A26&lt;&gt;"",(ROUND((J26/H26)*E26,2)-M26)*100,"")</f>
        <v/>
      </c>
      <c r="O26" s="279" t="str">
        <f>IF(C26&lt;&gt;"",IF(_Neo_InfB_VochtExtra_02,"extra",""),"")</f>
        <v/>
      </c>
      <c r="P26" s="280"/>
    </row>
    <row r="27" spans="1:16" ht="14.25" customHeight="1" x14ac:dyDescent="0.4">
      <c r="A27" s="299"/>
      <c r="B27" s="299"/>
      <c r="C27" s="291"/>
      <c r="D27" s="279"/>
      <c r="E27" s="279"/>
      <c r="F27" s="279"/>
      <c r="G27" s="308"/>
      <c r="H27" s="279"/>
      <c r="I27" s="279" t="s">
        <v>580</v>
      </c>
      <c r="J27" s="279" t="str">
        <f>IF(A26&lt;&gt;"",IF(A26&gt;0,NeoPrtAfspr!I33,""),"")</f>
        <v/>
      </c>
      <c r="K27" s="279"/>
      <c r="L27" s="279"/>
      <c r="M27" s="309" t="str">
        <f>IF(A26&lt;&gt;"",TRUNC(M28+N28/100-M26-N26/100),"")</f>
        <v/>
      </c>
      <c r="N27" s="310" t="str">
        <f>IF(A26&lt;&gt;"",(M28+N28/100-M26-N26/100-M27)*100,"")</f>
        <v/>
      </c>
      <c r="O27" s="279"/>
      <c r="P27" s="280"/>
    </row>
    <row r="28" spans="1:16" ht="14.25" customHeight="1" x14ac:dyDescent="0.4">
      <c r="A28" s="299"/>
      <c r="B28" s="299"/>
      <c r="C28" s="286" t="str">
        <f>IF(A26&lt;&gt;"",NeoPrtAfspr!K33,"")</f>
        <v/>
      </c>
      <c r="D28" s="287"/>
      <c r="E28" s="287" t="str">
        <f>IF(A26&lt;&gt;"",NeoPrtAfspr!M33&amp;" "&amp;NeoPrtAfspr!N33,"")</f>
        <v/>
      </c>
      <c r="F28" s="287"/>
      <c r="G28" s="311"/>
      <c r="H28" s="287"/>
      <c r="I28" s="287"/>
      <c r="J28" s="312" t="s">
        <v>124</v>
      </c>
      <c r="K28" s="287"/>
      <c r="L28" s="287"/>
      <c r="M28" s="292" t="str">
        <f>IF(A26&lt;&gt;"",TRUNC(_Neo_InfB_OplHoev_1),"")</f>
        <v/>
      </c>
      <c r="N28" s="283" t="str">
        <f>IF(A26&lt;&gt;"",(_Neo_InfB_OplHoev_1-M28)*100,"")</f>
        <v/>
      </c>
      <c r="O28" s="279"/>
      <c r="P28" s="280"/>
    </row>
    <row r="29" spans="1:16" ht="14.25" customHeight="1" x14ac:dyDescent="0.4">
      <c r="A29" s="299" t="str">
        <f>IF(NeoBer1700!B21&gt;1,NeoBer1700!F21/10,"")</f>
        <v/>
      </c>
      <c r="B29" s="299"/>
      <c r="C29" s="304" t="str">
        <f>IF(A29&lt;&gt;"",IF(NeoBer1700!B21&gt;1,INDEX(tbl_Neo_MedIV,NeoBer1700!B21,1),""),"")</f>
        <v/>
      </c>
      <c r="D29" s="277"/>
      <c r="E29" s="278" t="str">
        <f>IF(A29&lt;&gt;"",IF(NeoBer1700!B21&gt;1,NeoBer1700!C21/10,""),"")</f>
        <v/>
      </c>
      <c r="F29" s="277" t="str">
        <f>IF(_Neo_InfB_Medicament_2&lt;&gt;5,"mg","ml")</f>
        <v>mg</v>
      </c>
      <c r="G29" s="305" t="s">
        <v>577</v>
      </c>
      <c r="H29" s="277" t="str">
        <f>IF(A29&lt;&gt;"",IF(NeoBer1700!B21&gt;1,INDEX(tbl_Neo_MedIV,NeoBer1700!B21,3),""),"")</f>
        <v/>
      </c>
      <c r="I29" s="277" t="s">
        <v>578</v>
      </c>
      <c r="J29" s="277" t="str">
        <f>IF(A29&lt;&gt;"",IF(NeoBer1700!B21&gt;1,INDEX(tbl_Neo_MedIV,NeoBer1700!B21,4),""),"")</f>
        <v/>
      </c>
      <c r="K29" s="277" t="s">
        <v>579</v>
      </c>
      <c r="L29" s="277"/>
      <c r="M29" s="309" t="str">
        <f>IF(A29&lt;&gt;"",TRUNC((J29/H29)*E29),"")</f>
        <v/>
      </c>
      <c r="N29" s="310" t="str">
        <f>IF(A29&lt;&gt;"",(IF(A29&gt;0,ROUND((J29/H29)*E29,2),0)-M29)*100,"")</f>
        <v/>
      </c>
      <c r="O29" s="279" t="str">
        <f>IF(C29&lt;&gt;"",IF(_Neo_InfB_VochtExtra_03,"extra",""),"")</f>
        <v/>
      </c>
      <c r="P29" s="280"/>
    </row>
    <row r="30" spans="1:16" ht="14.25" customHeight="1" x14ac:dyDescent="0.4">
      <c r="A30" s="299"/>
      <c r="B30" s="299"/>
      <c r="C30" s="291"/>
      <c r="D30" s="279"/>
      <c r="E30" s="279"/>
      <c r="F30" s="279"/>
      <c r="G30" s="308"/>
      <c r="H30" s="279"/>
      <c r="I30" s="279" t="s">
        <v>580</v>
      </c>
      <c r="J30" s="279" t="str">
        <f>IF(A29&lt;&gt;"",IF(A29&gt;0,NeoPrtAfspr!I34,""),"")</f>
        <v/>
      </c>
      <c r="K30" s="279"/>
      <c r="L30" s="279"/>
      <c r="M30" s="309" t="str">
        <f>IF(A29&lt;&gt;"",TRUNC(IF(A29&gt;0,M31+N31/100-M29-N29/100,0)),"")</f>
        <v/>
      </c>
      <c r="N30" s="310" t="str">
        <f>IF(A29&lt;&gt;"",(IF(A29&gt;0,M31+N31/100-M29-N29/100,0)-M30)*100,"")</f>
        <v/>
      </c>
      <c r="O30" s="279"/>
      <c r="P30" s="280"/>
    </row>
    <row r="31" spans="1:16" ht="14.25" customHeight="1" x14ac:dyDescent="0.4">
      <c r="A31" s="299"/>
      <c r="B31" s="299"/>
      <c r="C31" s="286" t="str">
        <f>IF(A29&lt;&gt;"",NeoPrtAfspr!K34,"")</f>
        <v/>
      </c>
      <c r="D31" s="287"/>
      <c r="E31" s="287" t="str">
        <f>IF(A29&lt;&gt;"",NeoPrtAfspr!M34&amp;" "&amp;NeoPrtAfspr!N34,"")</f>
        <v/>
      </c>
      <c r="F31" s="287"/>
      <c r="G31" s="311"/>
      <c r="H31" s="287"/>
      <c r="I31" s="287"/>
      <c r="J31" s="312" t="s">
        <v>124</v>
      </c>
      <c r="K31" s="287"/>
      <c r="L31" s="287"/>
      <c r="M31" s="292" t="str">
        <f>IF(A29&lt;&gt;"",TRUNC(_Neo_InfB_OplHoev_2),"")</f>
        <v/>
      </c>
      <c r="N31" s="283" t="str">
        <f>IF(A29&lt;&gt;"",(_Neo_InfB_OplHoev_2-M31)*100,"")</f>
        <v/>
      </c>
      <c r="O31" s="279"/>
      <c r="P31" s="280"/>
    </row>
    <row r="32" spans="1:16" ht="14.25" customHeight="1" x14ac:dyDescent="0.4">
      <c r="A32" s="299" t="str">
        <f>IF(NeoBer1700!B22&gt;1,NeoBer1700!F22/10,"")</f>
        <v/>
      </c>
      <c r="B32" s="299"/>
      <c r="C32" s="304" t="str">
        <f>IF(A32&lt;&gt;"",IF(NeoBer1700!B22&gt;1,INDEX(tbl_Neo_MedIV,NeoBer1700!B22,1),""),"")</f>
        <v/>
      </c>
      <c r="D32" s="277"/>
      <c r="E32" s="278" t="str">
        <f>IF(A32&lt;&gt;"",IF(NeoBer1700!B22&gt;1,NeoBer1700!C22/10,""),"")</f>
        <v/>
      </c>
      <c r="F32" s="277" t="str">
        <f>IF(_Neo_InfB_Medicament_3&lt;&gt;5,"mg","ml")</f>
        <v>mg</v>
      </c>
      <c r="G32" s="305" t="s">
        <v>577</v>
      </c>
      <c r="H32" s="277" t="str">
        <f>IF(A32&lt;&gt;"",IF(NeoBer1700!B22&gt;1,INDEX(tbl_Neo_MedIV,NeoBer1700!B22,3),""),"")</f>
        <v/>
      </c>
      <c r="I32" s="277" t="s">
        <v>578</v>
      </c>
      <c r="J32" s="277" t="str">
        <f>IF(A32&lt;&gt;"",IF(NeoBer1700!B22&gt;1,INDEX(tbl_Neo_MedIV,NeoBer1700!B22,4),""),"")</f>
        <v/>
      </c>
      <c r="K32" s="277" t="s">
        <v>579</v>
      </c>
      <c r="L32" s="277"/>
      <c r="M32" s="306" t="str">
        <f>IF(A32&lt;&gt;"",TRUNC((J32/H32)*E32),"")</f>
        <v/>
      </c>
      <c r="N32" s="307" t="str">
        <f>IF(A32&lt;&gt;"",(IF(A32&gt;0,ROUND((J32/H32)*E32,2),0)-M32)*100,"")</f>
        <v/>
      </c>
      <c r="O32" s="279" t="str">
        <f>IF(C32&lt;&gt;"",IF(_Neo_InfB_VochtExtra_04,"extra",""),"")</f>
        <v/>
      </c>
      <c r="P32" s="280"/>
    </row>
    <row r="33" spans="1:16" ht="14.25" customHeight="1" x14ac:dyDescent="0.4">
      <c r="A33" s="299"/>
      <c r="B33" s="299"/>
      <c r="C33" s="291"/>
      <c r="D33" s="279"/>
      <c r="E33" s="279"/>
      <c r="F33" s="279"/>
      <c r="G33" s="308"/>
      <c r="H33" s="279"/>
      <c r="I33" s="279" t="s">
        <v>580</v>
      </c>
      <c r="J33" s="279" t="str">
        <f>IF(A32&lt;&gt;"",IF(A32&gt;0,NeoPrtAfspr!I35,""),"")</f>
        <v/>
      </c>
      <c r="K33" s="279"/>
      <c r="L33" s="279"/>
      <c r="M33" s="309" t="str">
        <f>IF(A32&lt;&gt;"",TRUNC(IF(A32&gt;0,M34+N34/100-M32-N32/100,0)),"")</f>
        <v/>
      </c>
      <c r="N33" s="310" t="str">
        <f>IF(A32&lt;&gt;"",(IF(A32&gt;0,M34+N34/100-M32-N32/100,0)-M33)*100,"")</f>
        <v/>
      </c>
      <c r="O33" s="279"/>
      <c r="P33" s="280"/>
    </row>
    <row r="34" spans="1:16" ht="14.25" customHeight="1" x14ac:dyDescent="0.4">
      <c r="A34" s="299"/>
      <c r="B34" s="299"/>
      <c r="C34" s="286" t="str">
        <f>IF(A32&lt;&gt;"",NeoPrtAfspr!K35,"")</f>
        <v/>
      </c>
      <c r="D34" s="287"/>
      <c r="E34" s="287" t="str">
        <f>IF(A32&lt;&gt;"",NeoPrtAfspr!M35&amp;" "&amp;NeoPrtAfspr!N35,"")</f>
        <v/>
      </c>
      <c r="F34" s="287"/>
      <c r="G34" s="311"/>
      <c r="H34" s="287"/>
      <c r="I34" s="287"/>
      <c r="J34" s="312" t="s">
        <v>124</v>
      </c>
      <c r="K34" s="287"/>
      <c r="L34" s="287"/>
      <c r="M34" s="292" t="str">
        <f>IF(A32&lt;&gt;"",TRUNC(_Neo_InfB_OplHoev_3),"")</f>
        <v/>
      </c>
      <c r="N34" s="283" t="str">
        <f>IF(A32&lt;&gt;"",(_Neo_InfB_OplHoev_3-M34)*100,"")</f>
        <v/>
      </c>
      <c r="O34" s="279"/>
      <c r="P34" s="280"/>
    </row>
    <row r="35" spans="1:16" ht="14.25" customHeight="1" x14ac:dyDescent="0.4">
      <c r="A35" s="299" t="str">
        <f>IF(NeoBer1700!B23&gt;1,NeoBer1700!F23/10,"")</f>
        <v/>
      </c>
      <c r="B35" s="299"/>
      <c r="C35" s="304" t="str">
        <f>IF(A35&lt;&gt;"",IF(NeoBer1700!B23&gt;1,INDEX(tbl_Neo_MedIV,NeoBer1700!B23,1),""),"")</f>
        <v/>
      </c>
      <c r="D35" s="277"/>
      <c r="E35" s="278" t="str">
        <f>IF(A35&lt;&gt;"",IF(NeoBer1700!B23&gt;1,NeoBer1700!C23/10,""),"")</f>
        <v/>
      </c>
      <c r="F35" s="277" t="str">
        <f>IF(_Neo_InfB_Medicament_4&lt;&gt;5,"mg","ml")</f>
        <v>mg</v>
      </c>
      <c r="G35" s="305" t="s">
        <v>577</v>
      </c>
      <c r="H35" s="277" t="str">
        <f>IF(A35&lt;&gt;"",IF(NeoBer1700!B23&gt;1,INDEX(tbl_Neo_MedIV,NeoBer1700!B23,3),""),"")</f>
        <v/>
      </c>
      <c r="I35" s="277" t="s">
        <v>578</v>
      </c>
      <c r="J35" s="277" t="str">
        <f>IF(A35&lt;&gt;"",IF(NeoBer1700!B23&gt;1,INDEX(tbl_Neo_MedIV,NeoBer1700!B23,4),""),"")</f>
        <v/>
      </c>
      <c r="K35" s="277" t="s">
        <v>579</v>
      </c>
      <c r="L35" s="277"/>
      <c r="M35" s="309" t="str">
        <f>IF(A35&lt;&gt;"",TRUNC((J35/H35)*E35),"")</f>
        <v/>
      </c>
      <c r="N35" s="310" t="str">
        <f>IF(A35&lt;&gt;"",(IF(A35&gt;0,ROUND((J35/H35)*E35,2),0)-M35)*100,"")</f>
        <v/>
      </c>
      <c r="O35" s="279" t="str">
        <f>IF(C35&lt;&gt;"",IF(_Neo_InfB_VochtExtra_05,"extra",""),"")</f>
        <v/>
      </c>
      <c r="P35" s="280"/>
    </row>
    <row r="36" spans="1:16" ht="14.25" customHeight="1" x14ac:dyDescent="0.4">
      <c r="A36" s="299"/>
      <c r="B36" s="299"/>
      <c r="C36" s="291"/>
      <c r="D36" s="279"/>
      <c r="E36" s="279"/>
      <c r="F36" s="279"/>
      <c r="G36" s="308"/>
      <c r="H36" s="279"/>
      <c r="I36" s="279" t="s">
        <v>580</v>
      </c>
      <c r="J36" s="279" t="str">
        <f>IF(A35&lt;&gt;"",IF(A35&gt;0,NeoPrtAfspr!I36,""),"")</f>
        <v/>
      </c>
      <c r="K36" s="279"/>
      <c r="L36" s="279"/>
      <c r="M36" s="309" t="str">
        <f>IF(A35&lt;&gt;"",TRUNC(IF(A35&gt;0,M37+N37/100-M35-N35/100,0)),"")</f>
        <v/>
      </c>
      <c r="N36" s="310" t="str">
        <f>IF(A35&lt;&gt;"",(IF(A35&gt;0,M37+N37/100-M35-N35/100,0)-M36)*100,"")</f>
        <v/>
      </c>
      <c r="O36" s="279"/>
      <c r="P36" s="280"/>
    </row>
    <row r="37" spans="1:16" ht="14.25" customHeight="1" x14ac:dyDescent="0.4">
      <c r="A37" s="299"/>
      <c r="B37" s="299"/>
      <c r="C37" s="286" t="str">
        <f>IF(A35&lt;&gt;"",NeoPrtAfspr!K36,"")</f>
        <v/>
      </c>
      <c r="D37" s="287"/>
      <c r="E37" s="287" t="str">
        <f>IF(A35&lt;&gt;"",NeoPrtAfspr!M36&amp;" "&amp;NeoPrtAfspr!N36,"")</f>
        <v/>
      </c>
      <c r="F37" s="287"/>
      <c r="G37" s="311"/>
      <c r="H37" s="287"/>
      <c r="I37" s="287"/>
      <c r="J37" s="312" t="s">
        <v>124</v>
      </c>
      <c r="K37" s="287"/>
      <c r="L37" s="287"/>
      <c r="M37" s="292" t="str">
        <f>IF(A35&lt;&gt;"",TRUNC(_Neo_InfB_OplHoev_4),"")</f>
        <v/>
      </c>
      <c r="N37" s="283" t="str">
        <f>IF(A35&lt;&gt;"",(_Neo_InfB_OplHoev_4-M37)*100,"")</f>
        <v/>
      </c>
      <c r="O37" s="279"/>
      <c r="P37" s="280"/>
    </row>
    <row r="38" spans="1:16" ht="14.25" customHeight="1" x14ac:dyDescent="0.4">
      <c r="A38" s="299" t="str">
        <f>IF(NeoBer1700!B24&gt;1,NeoBer1700!F24/10,"")</f>
        <v/>
      </c>
      <c r="B38" s="299"/>
      <c r="C38" s="304" t="str">
        <f>IF(A38&lt;&gt;"",IF(NeoBer1700!B24&gt;1,INDEX(tbl_Neo_MedIV,NeoBer1700!B24,1),""),"")</f>
        <v/>
      </c>
      <c r="D38" s="277"/>
      <c r="E38" s="278" t="str">
        <f>IF(A38&lt;&gt;"",IF(NeoBer1700!B24&gt;1,NeoBer1700!C24/10,""),"")</f>
        <v/>
      </c>
      <c r="F38" s="277" t="str">
        <f>IF(_Neo_InfB_Medicament_5&lt;&gt;5,"mg","ml")</f>
        <v>mg</v>
      </c>
      <c r="G38" s="305" t="s">
        <v>577</v>
      </c>
      <c r="H38" s="277" t="str">
        <f>IF(A38&lt;&gt;"",IF(NeoBer1700!B24&gt;1,INDEX(tbl_Neo_MedIV,NeoBer1700!B24,3),""),"")</f>
        <v/>
      </c>
      <c r="I38" s="277" t="s">
        <v>578</v>
      </c>
      <c r="J38" s="277" t="str">
        <f>IF(A38&lt;&gt;"",IF(NeoBer1700!B24&gt;1,INDEX(tbl_Neo_MedIV,NeoBer1700!B24,4),""),"")</f>
        <v/>
      </c>
      <c r="K38" s="277" t="s">
        <v>579</v>
      </c>
      <c r="L38" s="277"/>
      <c r="M38" s="306" t="str">
        <f>IF(A38&lt;&gt;"",TRUNC((J38/H38)*E38),"")</f>
        <v/>
      </c>
      <c r="N38" s="307" t="str">
        <f>IF(A38&lt;&gt;"",(IF(A38&gt;0,ROUND((J38/H38)*E38,2),0)-M38)*100,"")</f>
        <v/>
      </c>
      <c r="O38" s="279" t="str">
        <f>IF(C38&lt;&gt;"",IF(_Neo_InfB_VochtExtra_06,"extra",""),"")</f>
        <v/>
      </c>
      <c r="P38" s="280"/>
    </row>
    <row r="39" spans="1:16" ht="14.25" customHeight="1" x14ac:dyDescent="0.4">
      <c r="A39" s="299"/>
      <c r="B39" s="299"/>
      <c r="C39" s="291"/>
      <c r="D39" s="279"/>
      <c r="E39" s="279"/>
      <c r="F39" s="279"/>
      <c r="G39" s="308"/>
      <c r="H39" s="279"/>
      <c r="I39" s="279" t="s">
        <v>580</v>
      </c>
      <c r="J39" s="279" t="str">
        <f>IF(A38&lt;&gt;"",IF(A38&gt;0,NeoPrtAfspr!I37,""),"")</f>
        <v/>
      </c>
      <c r="K39" s="279"/>
      <c r="L39" s="279"/>
      <c r="M39" s="309" t="str">
        <f>IF(A38&lt;&gt;"",TRUNC(IF(A38&gt;0,M40+N40/100-M38-N38/100,0)),"")</f>
        <v/>
      </c>
      <c r="N39" s="310" t="str">
        <f>IF(A38&lt;&gt;"",(IF(A38&gt;0,M40+N40/100-M38-N38/100,0)-M39)*100,"")</f>
        <v/>
      </c>
      <c r="O39" s="279"/>
      <c r="P39" s="280"/>
    </row>
    <row r="40" spans="1:16" ht="14.25" customHeight="1" x14ac:dyDescent="0.4">
      <c r="A40" s="299"/>
      <c r="B40" s="299"/>
      <c r="C40" s="286" t="str">
        <f>IF(A38&lt;&gt;"",NeoPrtAfspr!K37,"")</f>
        <v/>
      </c>
      <c r="D40" s="287"/>
      <c r="E40" s="287" t="str">
        <f>IF(A38&lt;&gt;"",NeoPrtAfspr!M37&amp;" "&amp;NeoPrtAfspr!N37,"")</f>
        <v/>
      </c>
      <c r="F40" s="287"/>
      <c r="G40" s="311"/>
      <c r="H40" s="287"/>
      <c r="I40" s="287"/>
      <c r="J40" s="312" t="s">
        <v>124</v>
      </c>
      <c r="K40" s="287"/>
      <c r="L40" s="287"/>
      <c r="M40" s="292" t="str">
        <f>IF(A38&lt;&gt;"",TRUNC(_Neo_InfB_OplHoev_5),"")</f>
        <v/>
      </c>
      <c r="N40" s="283" t="str">
        <f>IF(A38&lt;&gt;"",(_Neo_InfB_OplHoev_5-M40)*100,"")</f>
        <v/>
      </c>
      <c r="O40" s="279"/>
      <c r="P40" s="280"/>
    </row>
    <row r="41" spans="1:16" ht="14.25" customHeight="1" x14ac:dyDescent="0.4">
      <c r="A41" s="299" t="str">
        <f>IF(NeoBer1700!B25&gt;1,NeoBer1700!F25/10,"")</f>
        <v/>
      </c>
      <c r="B41" s="299"/>
      <c r="C41" s="304" t="str">
        <f>IF(A41&lt;&gt;"",IF(NeoBer1700!B25&gt;1,INDEX(tbl_Neo_MedIV,NeoBer1700!B25,1),""),"")</f>
        <v/>
      </c>
      <c r="D41" s="277"/>
      <c r="E41" s="278" t="str">
        <f>IF(A41&lt;&gt;"",IF(NeoBer1700!B25&gt;1,NeoBer1700!C25/10,""),"")</f>
        <v/>
      </c>
      <c r="F41" s="277" t="str">
        <f>IF(_Neo_InfB_Medicament_6&lt;&gt;5,"mg","ml")</f>
        <v>mg</v>
      </c>
      <c r="G41" s="305" t="s">
        <v>577</v>
      </c>
      <c r="H41" s="277" t="str">
        <f>IF(A41&lt;&gt;"",IF(NeoBer1700!B25&gt;1,INDEX(tbl_Neo_MedIV,NeoBer1700!B25,3),""),"")</f>
        <v/>
      </c>
      <c r="I41" s="277" t="s">
        <v>578</v>
      </c>
      <c r="J41" s="277" t="str">
        <f>IF(A41&lt;&gt;"",IF(NeoBer1700!B25&gt;1,INDEX(tbl_Neo_MedIV,NeoBer1700!B25,4),""),"")</f>
        <v/>
      </c>
      <c r="K41" s="277" t="s">
        <v>579</v>
      </c>
      <c r="L41" s="277"/>
      <c r="M41" s="309" t="str">
        <f>IF(A41&lt;&gt;"",TRUNC((J41/H41)*E41),"")</f>
        <v/>
      </c>
      <c r="N41" s="310" t="str">
        <f>IF(A41&lt;&gt;"",(IF(A41&gt;0,ROUND((J41/H41)*E41,2),0)-M41)*100,"")</f>
        <v/>
      </c>
      <c r="O41" s="279" t="str">
        <f>IF(C41&lt;&gt;"",IF(_Neo_InfB_VochtExtra_07,"extra",""),"")</f>
        <v/>
      </c>
      <c r="P41" s="280"/>
    </row>
    <row r="42" spans="1:16" ht="14.25" customHeight="1" x14ac:dyDescent="0.4">
      <c r="A42" s="299"/>
      <c r="B42" s="299"/>
      <c r="C42" s="291"/>
      <c r="D42" s="279"/>
      <c r="E42" s="279"/>
      <c r="F42" s="279"/>
      <c r="G42" s="308"/>
      <c r="H42" s="279"/>
      <c r="I42" s="279" t="s">
        <v>580</v>
      </c>
      <c r="J42" s="279" t="str">
        <f>IF(A41&lt;&gt;"",IF(A41&gt;0,NeoPrtAfspr!I38,""),"")</f>
        <v/>
      </c>
      <c r="K42" s="279"/>
      <c r="L42" s="279"/>
      <c r="M42" s="309" t="str">
        <f>IF(A41&lt;&gt;"",TRUNC(IF(A41&gt;0,M43+N43/100-M41-N41/100,0)),"")</f>
        <v/>
      </c>
      <c r="N42" s="310" t="str">
        <f>IF(A41&lt;&gt;"",(IF(A41&gt;0,M43+N43/100-M41-N41/100,0)-M42)*100,"")</f>
        <v/>
      </c>
      <c r="O42" s="279"/>
      <c r="P42" s="280"/>
    </row>
    <row r="43" spans="1:16" ht="14.25" customHeight="1" x14ac:dyDescent="0.4">
      <c r="A43" s="299"/>
      <c r="B43" s="299"/>
      <c r="C43" s="286" t="str">
        <f>IF(A41&lt;&gt;"",NeoPrtAfspr!K38,"")</f>
        <v/>
      </c>
      <c r="D43" s="287"/>
      <c r="E43" s="287" t="str">
        <f>IF(A41&lt;&gt;"",NeoPrtAfspr!M38&amp;" "&amp;NeoPrtAfspr!N38,"")</f>
        <v/>
      </c>
      <c r="F43" s="287"/>
      <c r="G43" s="311"/>
      <c r="H43" s="287"/>
      <c r="I43" s="287"/>
      <c r="J43" s="312" t="s">
        <v>124</v>
      </c>
      <c r="K43" s="287"/>
      <c r="L43" s="287"/>
      <c r="M43" s="292" t="str">
        <f>IF(A41&lt;&gt;"",TRUNC(_Neo_InfB_OplHoev_6),"")</f>
        <v/>
      </c>
      <c r="N43" s="283" t="str">
        <f>IF(A41&lt;&gt;"",(_Neo_InfB_OplHoev_6-M43)*100,"")</f>
        <v/>
      </c>
      <c r="O43" s="279"/>
      <c r="P43" s="280"/>
    </row>
    <row r="44" spans="1:16" ht="14.25" customHeight="1" x14ac:dyDescent="0.4">
      <c r="A44" s="299" t="str">
        <f>IF(NeoBer1700!B26&gt;1,NeoBer1700!F26/10,"")</f>
        <v/>
      </c>
      <c r="B44" s="299"/>
      <c r="C44" s="304" t="str">
        <f>IF(A44&lt;&gt;"",IF(NeoBer1700!B26&gt;1,INDEX(tbl_Neo_MedIV,NeoBer1700!B26,1),""),"")</f>
        <v/>
      </c>
      <c r="D44" s="277"/>
      <c r="E44" s="278" t="str">
        <f>IF(A44&lt;&gt;"",IF(NeoBer1700!B26&gt;1,NeoBer1700!C26/10,""),"")</f>
        <v/>
      </c>
      <c r="F44" s="277" t="str">
        <f>IF(_Neo_InfB_Medicament_7&lt;&gt;5,"mg","ml")</f>
        <v>mg</v>
      </c>
      <c r="G44" s="305" t="s">
        <v>577</v>
      </c>
      <c r="H44" s="277" t="str">
        <f>IF(A44&lt;&gt;"",IF(NeoBer1700!B26&gt;1,INDEX(tbl_Neo_MedIV,NeoBer1700!B26,3),""),"")</f>
        <v/>
      </c>
      <c r="I44" s="277" t="s">
        <v>578</v>
      </c>
      <c r="J44" s="277" t="str">
        <f>IF(A44&lt;&gt;"",IF(NeoBer1700!B26&gt;1,INDEX(tbl_Neo_MedIV,NeoBer1700!B26,4),""),"")</f>
        <v/>
      </c>
      <c r="K44" s="277" t="s">
        <v>579</v>
      </c>
      <c r="L44" s="277"/>
      <c r="M44" s="306" t="str">
        <f>IF(A44&lt;&gt;"",TRUNC((J44/H44)*E44),"")</f>
        <v/>
      </c>
      <c r="N44" s="307" t="str">
        <f>IF(A44&lt;&gt;"",(IF(A44&gt;0,ROUND((J44/H44)*E44,2),0)-M44)*100,"")</f>
        <v/>
      </c>
      <c r="O44" s="279" t="str">
        <f>IF(C44&lt;&gt;"",IF(_Neo_InfB_VochtExtra_08,"extra",""),"")</f>
        <v/>
      </c>
      <c r="P44" s="280"/>
    </row>
    <row r="45" spans="1:16" ht="14.25" customHeight="1" x14ac:dyDescent="0.4">
      <c r="A45" s="299"/>
      <c r="B45" s="299"/>
      <c r="C45" s="291"/>
      <c r="D45" s="279"/>
      <c r="E45" s="279"/>
      <c r="F45" s="279"/>
      <c r="G45" s="308"/>
      <c r="H45" s="279"/>
      <c r="I45" s="279" t="s">
        <v>580</v>
      </c>
      <c r="J45" s="279" t="str">
        <f>IF(A44&lt;&gt;"",IF(A44&gt;0,NeoPrtAfspr!I39,""),"")</f>
        <v/>
      </c>
      <c r="K45" s="279"/>
      <c r="L45" s="279"/>
      <c r="M45" s="309" t="str">
        <f>IF(A44&lt;&gt;"",TRUNC(IF(A44&gt;0,M46+N46/100-M44-N44/100,0)),"")</f>
        <v/>
      </c>
      <c r="N45" s="310" t="str">
        <f>IF(A44&lt;&gt;"",(IF(A44&gt;0,M46+N46/100-M44-N44/100,0)-M45)*100,"")</f>
        <v/>
      </c>
      <c r="O45" s="279"/>
      <c r="P45" s="280"/>
    </row>
    <row r="46" spans="1:16" ht="14.25" customHeight="1" x14ac:dyDescent="0.4">
      <c r="A46" s="299"/>
      <c r="B46" s="299"/>
      <c r="C46" s="286" t="str">
        <f>IF(A44&lt;&gt;"",NeoPrtAfspr!K39,"")</f>
        <v/>
      </c>
      <c r="D46" s="287"/>
      <c r="E46" s="287" t="str">
        <f>IF(A44&lt;&gt;"",NeoPrtAfspr!M39&amp;" "&amp;NeoPrtAfspr!N39,"")</f>
        <v/>
      </c>
      <c r="F46" s="287"/>
      <c r="G46" s="311"/>
      <c r="H46" s="287"/>
      <c r="I46" s="287"/>
      <c r="J46" s="312" t="s">
        <v>124</v>
      </c>
      <c r="K46" s="287"/>
      <c r="L46" s="287"/>
      <c r="M46" s="292" t="str">
        <f>IF(A44&lt;&gt;"",TRUNC(_Neo_InfB_OplHoev_7),"")</f>
        <v/>
      </c>
      <c r="N46" s="283" t="str">
        <f>IF(A44&lt;&gt;"",(_Neo_InfB_OplHoev_7-M46)*100,"")</f>
        <v/>
      </c>
      <c r="O46" s="279"/>
      <c r="P46" s="280"/>
    </row>
    <row r="47" spans="1:16" ht="14.25" customHeight="1" x14ac:dyDescent="0.4">
      <c r="A47" s="299" t="str">
        <f>IF(NeoBer1700!B27&gt;1,NeoBer1700!F27/10,"")</f>
        <v/>
      </c>
      <c r="B47" s="299"/>
      <c r="C47" s="304" t="str">
        <f>IF(A47&lt;&gt;"",IF(NeoBer1700!B27&gt;1,INDEX(tbl_Neo_MedIV,NeoBer1700!B27,1),""),"")</f>
        <v/>
      </c>
      <c r="D47" s="277"/>
      <c r="E47" s="278" t="str">
        <f>IF(A47&lt;&gt;"",IF(NeoBer1700!B27&gt;1,NeoBer1700!C27/10,""),"")</f>
        <v/>
      </c>
      <c r="F47" s="277" t="str">
        <f>IF(_Neo_InfB_Medicament_8&lt;&gt;5,"mg","ml")</f>
        <v>mg</v>
      </c>
      <c r="G47" s="305" t="s">
        <v>577</v>
      </c>
      <c r="H47" s="277" t="str">
        <f>IF(A47&lt;&gt;"",IF(NeoBer1700!B27&gt;1,INDEX(tbl_Neo_MedIV,NeoBer1700!B27,3),""),"")</f>
        <v/>
      </c>
      <c r="I47" s="277" t="s">
        <v>578</v>
      </c>
      <c r="J47" s="277" t="str">
        <f>IF(A47&lt;&gt;"",IF(NeoBer1700!B27&gt;1,INDEX(tbl_Neo_MedIV,NeoBer1700!B27,4),""),"")</f>
        <v/>
      </c>
      <c r="K47" s="277" t="s">
        <v>579</v>
      </c>
      <c r="L47" s="277"/>
      <c r="M47" s="309" t="str">
        <f>IF(A47&lt;&gt;"",TRUNC((J47/H47)*E47),"")</f>
        <v/>
      </c>
      <c r="N47" s="310" t="str">
        <f>IF(A47&lt;&gt;"",(IF(A47&gt;0,ROUND((J47/H47)*E47,2),0)-M47)*100,"")</f>
        <v/>
      </c>
      <c r="O47" s="279" t="str">
        <f>IF(C47&lt;&gt;"",IF(_Neo_InfB_VochtExtra_02=8,"extra",""),"")</f>
        <v/>
      </c>
      <c r="P47" s="280"/>
    </row>
    <row r="48" spans="1:16" ht="14.25" customHeight="1" x14ac:dyDescent="0.4">
      <c r="A48" s="299"/>
      <c r="B48" s="299"/>
      <c r="C48" s="291"/>
      <c r="D48" s="279"/>
      <c r="E48" s="279"/>
      <c r="F48" s="279"/>
      <c r="G48" s="308"/>
      <c r="H48" s="279"/>
      <c r="I48" s="279" t="s">
        <v>580</v>
      </c>
      <c r="J48" s="279" t="str">
        <f>IF(A47&lt;&gt;"",IF(A47&gt;0,NeoPrtAfspr!I40,""),"")</f>
        <v/>
      </c>
      <c r="K48" s="279"/>
      <c r="L48" s="279"/>
      <c r="M48" s="309" t="str">
        <f>IF(A47&lt;&gt;"",TRUNC(IF(A47&gt;0,M49+N49/100-M47-N47/100,0)),"")</f>
        <v/>
      </c>
      <c r="N48" s="310" t="str">
        <f>IF(A47&lt;&gt;"",(IF(A47&gt;0,M49+N49/100-M47-N47/100,0)-M48)*100,"")</f>
        <v/>
      </c>
      <c r="O48" s="279"/>
      <c r="P48" s="280"/>
    </row>
    <row r="49" spans="1:16" ht="14.25" customHeight="1" x14ac:dyDescent="0.4">
      <c r="A49" s="299"/>
      <c r="B49" s="299"/>
      <c r="C49" s="286" t="str">
        <f>IF(A47&lt;&gt;"",NeoPrtAfspr!K40,"")</f>
        <v/>
      </c>
      <c r="D49" s="287"/>
      <c r="E49" s="287" t="str">
        <f>IF(A47&lt;&gt;"",NeoPrtAfspr!M40&amp;" "&amp;NeoPrtAfspr!N40,"")</f>
        <v/>
      </c>
      <c r="F49" s="287"/>
      <c r="G49" s="311"/>
      <c r="H49" s="287"/>
      <c r="I49" s="287"/>
      <c r="J49" s="312" t="s">
        <v>124</v>
      </c>
      <c r="K49" s="287"/>
      <c r="L49" s="287"/>
      <c r="M49" s="292" t="str">
        <f>IF(A47&lt;&gt;"",TRUNC(_Neo_InfB_OplHoev_8),"")</f>
        <v/>
      </c>
      <c r="N49" s="283" t="str">
        <f>IF(A47&lt;&gt;"",(_Neo_InfB_OplHoev_8-M49)*100,"")</f>
        <v/>
      </c>
      <c r="O49" s="279"/>
      <c r="P49" s="280"/>
    </row>
    <row r="50" spans="1:16" ht="14.25" customHeight="1" x14ac:dyDescent="0.4">
      <c r="A50" s="299" t="str">
        <f>IF(NeoBer1700!B28&gt;1,NeoBer1700!F28/10,"")</f>
        <v/>
      </c>
      <c r="B50" s="299"/>
      <c r="C50" s="304" t="str">
        <f>IF(A50&lt;&gt;"",IF(NeoBer1700!B28&gt;1,INDEX(tbl_Neo_MedIV,NeoBer1700!B28,1),""),"")</f>
        <v/>
      </c>
      <c r="D50" s="277"/>
      <c r="E50" s="278" t="str">
        <f>IF(A50&lt;&gt;"",IF(NeoBer1700!B28&gt;1,NeoBer1700!C28/10,""),"")</f>
        <v/>
      </c>
      <c r="F50" s="277" t="str">
        <f>IF(_Neo_InfB_Medicament_9&lt;&gt;5,"mg","ml")</f>
        <v>mg</v>
      </c>
      <c r="G50" s="305" t="s">
        <v>577</v>
      </c>
      <c r="H50" s="277" t="str">
        <f>IF(A50&lt;&gt;"",IF(NeoBer1700!B28&gt;1,INDEX(tbl_Neo_MedIV,NeoBer1700!B28,3),""),"")</f>
        <v/>
      </c>
      <c r="I50" s="277" t="s">
        <v>578</v>
      </c>
      <c r="J50" s="277" t="str">
        <f>IF(A50&lt;&gt;"",IF(NeoBer1700!B28&gt;1,INDEX(tbl_Neo_MedIV,NeoBer1700!B28,4),""),"")</f>
        <v/>
      </c>
      <c r="K50" s="277" t="s">
        <v>579</v>
      </c>
      <c r="L50" s="277"/>
      <c r="M50" s="306" t="str">
        <f>IF(A50&lt;&gt;"",TRUNC((J50/H50)*E50),"")</f>
        <v/>
      </c>
      <c r="N50" s="307" t="str">
        <f>IF(A50&lt;&gt;"",(IF(A50&gt;0,ROUND((J50/H50)*E50,2),0)-M50)*100,"")</f>
        <v/>
      </c>
      <c r="O50" s="279" t="str">
        <f>IF(C50&lt;&gt;"",IF(_Neo_InfB_VochtExtra_10,"extra",""),"")</f>
        <v/>
      </c>
      <c r="P50" s="280"/>
    </row>
    <row r="51" spans="1:16" ht="14.25" customHeight="1" x14ac:dyDescent="0.4">
      <c r="A51" s="299"/>
      <c r="B51" s="299"/>
      <c r="C51" s="291"/>
      <c r="D51" s="279"/>
      <c r="E51" s="279"/>
      <c r="F51" s="279"/>
      <c r="G51" s="308"/>
      <c r="H51" s="279"/>
      <c r="I51" s="279" t="s">
        <v>580</v>
      </c>
      <c r="J51" s="279" t="str">
        <f>IF(A50&lt;&gt;"",IF(A50&gt;0,NeoPrtAfspr!I41,""),"")</f>
        <v/>
      </c>
      <c r="K51" s="279"/>
      <c r="L51" s="279"/>
      <c r="M51" s="309" t="str">
        <f>IF(A50&lt;&gt;"",TRUNC(IF(A50&gt;0,M52+N52/100-M50-N50/100,0)),"")</f>
        <v/>
      </c>
      <c r="N51" s="310" t="str">
        <f>IF(A50&lt;&gt;"",(IF(A50&gt;0,M52+N52/100-M50-N50/100,0)-M51)*100,"")</f>
        <v/>
      </c>
      <c r="O51" s="279"/>
      <c r="P51" s="280"/>
    </row>
    <row r="52" spans="1:16" ht="14.25" customHeight="1" x14ac:dyDescent="0.4">
      <c r="A52" s="299"/>
      <c r="B52" s="299"/>
      <c r="C52" s="286" t="str">
        <f>IF(A50&lt;&gt;"",NeoPrtAfspr!K41,"")</f>
        <v/>
      </c>
      <c r="D52" s="287"/>
      <c r="E52" s="287" t="str">
        <f>IF(A50&lt;&gt;"",NeoPrtAfspr!M41&amp;" "&amp;NeoPrtAfspr!N41,"")</f>
        <v/>
      </c>
      <c r="F52" s="287"/>
      <c r="G52" s="311"/>
      <c r="H52" s="287"/>
      <c r="I52" s="287"/>
      <c r="J52" s="312" t="s">
        <v>124</v>
      </c>
      <c r="K52" s="287"/>
      <c r="L52" s="287"/>
      <c r="M52" s="292" t="str">
        <f>IF(A50&lt;&gt;"",TRUNC(_Neo_InfB_OplHoev_9),"")</f>
        <v/>
      </c>
      <c r="N52" s="283" t="str">
        <f>IF(A50&lt;&gt;"",(_Neo_InfB_OplHoev_9-M52)*100,"")</f>
        <v/>
      </c>
      <c r="O52" s="279"/>
      <c r="P52" s="280"/>
    </row>
    <row r="53" spans="1:16" ht="14.25" customHeight="1" x14ac:dyDescent="0.35"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313"/>
      <c r="N53" s="314"/>
      <c r="O53" s="279"/>
      <c r="P53" s="280"/>
    </row>
    <row r="54" spans="1:16" ht="14.25" customHeight="1" x14ac:dyDescent="0.35">
      <c r="A54" s="275"/>
      <c r="B54" s="276"/>
      <c r="C54" s="315" t="str">
        <f>IF(NeoPrtAfspr!B45&lt;&gt;0,NeoPrtAfspr!B45,"")</f>
        <v/>
      </c>
      <c r="D54" s="282"/>
      <c r="E54" s="282"/>
      <c r="F54" s="282"/>
      <c r="G54" s="316"/>
      <c r="H54" s="282"/>
      <c r="I54" s="282"/>
      <c r="J54" s="282"/>
      <c r="K54" s="282"/>
      <c r="L54" s="276"/>
      <c r="M54" s="317"/>
      <c r="N54" s="317"/>
      <c r="O54" s="279"/>
      <c r="P54" s="280"/>
    </row>
    <row r="55" spans="1:16" ht="14.25" customHeight="1" x14ac:dyDescent="0.35">
      <c r="A55" s="275"/>
      <c r="B55" s="276"/>
      <c r="C55" s="315" t="str">
        <f>IF(NeoPrtAfspr!B46&lt;&gt;0,NeoPrtAfspr!B46,"")</f>
        <v/>
      </c>
      <c r="D55" s="282"/>
      <c r="E55" s="282"/>
      <c r="F55" s="282"/>
      <c r="G55" s="316"/>
      <c r="H55" s="282"/>
      <c r="I55" s="282"/>
      <c r="J55" s="282"/>
      <c r="K55" s="282"/>
      <c r="L55" s="276"/>
      <c r="M55" s="317"/>
      <c r="N55" s="317"/>
      <c r="O55" s="279"/>
      <c r="P55" s="280"/>
    </row>
    <row r="56" spans="1:16" ht="14.25" customHeight="1" x14ac:dyDescent="0.35">
      <c r="A56" s="275"/>
      <c r="B56" s="276"/>
      <c r="C56" s="315"/>
      <c r="D56" s="282"/>
      <c r="E56" s="282"/>
      <c r="F56" s="282"/>
      <c r="G56" s="316"/>
      <c r="H56" s="282"/>
      <c r="I56" s="282"/>
      <c r="J56" s="282"/>
      <c r="K56" s="282"/>
      <c r="L56" s="276"/>
      <c r="M56" s="317"/>
      <c r="N56" s="317"/>
      <c r="O56" s="279"/>
      <c r="P56" s="280"/>
    </row>
    <row r="57" spans="1:16" ht="14.25" customHeight="1" x14ac:dyDescent="0.35">
      <c r="D57" s="318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aDcco91naRWWDbPfOX3Eoh7oUNg1WMJTv7nJQFdrtebGpbyp5jgQwpEINPTuFHDu/qmdFpSgL0iqQmyfxlT7vw==" saltValue="46/MpmfBxL28jMmw221caA==" spinCount="10000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451"/>
      <c r="B1" s="493" t="s">
        <v>632</v>
      </c>
      <c r="C1" s="493" t="s">
        <v>633</v>
      </c>
      <c r="D1" s="493" t="s">
        <v>176</v>
      </c>
      <c r="E1" s="493" t="s">
        <v>177</v>
      </c>
      <c r="F1" s="493" t="s">
        <v>1174</v>
      </c>
      <c r="G1" s="493"/>
      <c r="H1" s="493" t="s">
        <v>1138</v>
      </c>
      <c r="I1" s="493" t="s">
        <v>1139</v>
      </c>
      <c r="J1" s="494" t="s">
        <v>1137</v>
      </c>
      <c r="K1" s="494" t="s">
        <v>1148</v>
      </c>
    </row>
    <row r="2" spans="1:11" x14ac:dyDescent="0.35">
      <c r="A2" s="493">
        <v>1</v>
      </c>
      <c r="B2" s="493"/>
      <c r="C2" s="493"/>
      <c r="D2" s="493"/>
      <c r="E2" s="493"/>
      <c r="F2" s="493"/>
      <c r="G2" s="493"/>
      <c r="H2" s="493"/>
      <c r="I2" s="493"/>
      <c r="K2">
        <v>1</v>
      </c>
    </row>
    <row r="3" spans="1:11" x14ac:dyDescent="0.35">
      <c r="A3" s="493">
        <v>2</v>
      </c>
      <c r="B3" s="493" t="s">
        <v>132</v>
      </c>
      <c r="C3" s="493" t="s">
        <v>794</v>
      </c>
      <c r="D3" s="493">
        <v>0.1</v>
      </c>
      <c r="E3" s="493">
        <v>1</v>
      </c>
      <c r="F3" s="493">
        <v>2</v>
      </c>
      <c r="G3" s="493" t="s">
        <v>639</v>
      </c>
      <c r="H3" s="493">
        <v>0.05</v>
      </c>
      <c r="I3" s="493">
        <v>0.1</v>
      </c>
      <c r="J3">
        <v>0.5</v>
      </c>
      <c r="K3">
        <v>3</v>
      </c>
    </row>
    <row r="4" spans="1:11" x14ac:dyDescent="0.35">
      <c r="A4" s="493">
        <v>3</v>
      </c>
      <c r="B4" s="493" t="s">
        <v>796</v>
      </c>
      <c r="C4" s="493" t="s">
        <v>776</v>
      </c>
      <c r="D4" s="493">
        <v>0.5</v>
      </c>
      <c r="E4" s="493">
        <v>1</v>
      </c>
      <c r="F4" s="493">
        <v>6</v>
      </c>
      <c r="G4" s="493" t="s">
        <v>446</v>
      </c>
      <c r="H4" s="493">
        <v>10</v>
      </c>
      <c r="I4" s="493">
        <v>100</v>
      </c>
      <c r="J4" s="383">
        <v>100</v>
      </c>
      <c r="K4">
        <v>3</v>
      </c>
    </row>
    <row r="5" spans="1:11" x14ac:dyDescent="0.35">
      <c r="A5" s="493">
        <v>4</v>
      </c>
      <c r="B5" s="493" t="s">
        <v>797</v>
      </c>
      <c r="C5" s="493" t="s">
        <v>798</v>
      </c>
      <c r="D5" s="493">
        <v>50</v>
      </c>
      <c r="E5" s="493">
        <v>1</v>
      </c>
      <c r="F5" s="493">
        <v>2</v>
      </c>
      <c r="G5" s="493" t="s">
        <v>639</v>
      </c>
      <c r="H5" s="493">
        <v>5</v>
      </c>
      <c r="I5" s="493">
        <v>15</v>
      </c>
      <c r="J5" s="383">
        <v>15</v>
      </c>
      <c r="K5">
        <v>3</v>
      </c>
    </row>
    <row r="6" spans="1:11" x14ac:dyDescent="0.35">
      <c r="A6" s="493">
        <v>5</v>
      </c>
      <c r="B6" s="493" t="s">
        <v>819</v>
      </c>
      <c r="C6" s="493" t="s">
        <v>637</v>
      </c>
      <c r="D6" s="493">
        <v>1</v>
      </c>
      <c r="E6" s="493">
        <v>2</v>
      </c>
      <c r="F6" s="493">
        <v>3</v>
      </c>
      <c r="G6" s="493" t="s">
        <v>386</v>
      </c>
      <c r="H6" s="493">
        <v>0.1</v>
      </c>
      <c r="I6" s="493">
        <v>0.5</v>
      </c>
      <c r="J6" s="383">
        <v>0.5</v>
      </c>
      <c r="K6">
        <v>3</v>
      </c>
    </row>
    <row r="7" spans="1:11" x14ac:dyDescent="0.35">
      <c r="A7" s="493">
        <v>6</v>
      </c>
      <c r="B7" s="493" t="s">
        <v>799</v>
      </c>
      <c r="C7" s="493" t="s">
        <v>824</v>
      </c>
      <c r="D7" s="493">
        <v>0.15</v>
      </c>
      <c r="E7" s="493">
        <v>1</v>
      </c>
      <c r="F7" s="493">
        <v>7</v>
      </c>
      <c r="G7" s="493" t="s">
        <v>800</v>
      </c>
      <c r="H7" s="493">
        <v>0.25</v>
      </c>
      <c r="I7" s="493">
        <v>2</v>
      </c>
      <c r="J7" s="383">
        <v>2</v>
      </c>
      <c r="K7">
        <v>12</v>
      </c>
    </row>
    <row r="8" spans="1:11" x14ac:dyDescent="0.35">
      <c r="A8" s="493">
        <v>7</v>
      </c>
      <c r="B8" s="493" t="s">
        <v>801</v>
      </c>
      <c r="C8" s="493" t="s">
        <v>642</v>
      </c>
      <c r="D8" s="493">
        <v>12.5</v>
      </c>
      <c r="E8" s="493">
        <v>1</v>
      </c>
      <c r="F8" s="493">
        <v>2</v>
      </c>
      <c r="G8" s="493" t="s">
        <v>639</v>
      </c>
      <c r="H8" s="493">
        <v>2.5</v>
      </c>
      <c r="I8" s="493">
        <v>20</v>
      </c>
      <c r="J8" s="383">
        <v>20</v>
      </c>
      <c r="K8">
        <v>3</v>
      </c>
    </row>
    <row r="9" spans="1:11" x14ac:dyDescent="0.35">
      <c r="A9" s="493">
        <v>8</v>
      </c>
      <c r="B9" s="493" t="s">
        <v>802</v>
      </c>
      <c r="C9" s="493" t="s">
        <v>645</v>
      </c>
      <c r="D9" s="493">
        <v>40</v>
      </c>
      <c r="E9" s="493">
        <v>1</v>
      </c>
      <c r="F9" s="493">
        <v>2</v>
      </c>
      <c r="G9" s="493" t="s">
        <v>639</v>
      </c>
      <c r="H9" s="493">
        <v>1</v>
      </c>
      <c r="I9" s="493">
        <v>20</v>
      </c>
      <c r="J9" s="383">
        <v>20</v>
      </c>
      <c r="K9">
        <v>3</v>
      </c>
    </row>
    <row r="10" spans="1:11" s="407" customFormat="1" ht="14.35" x14ac:dyDescent="0.45">
      <c r="A10" s="493">
        <v>9</v>
      </c>
      <c r="B10" s="610" t="s">
        <v>1167</v>
      </c>
      <c r="C10" s="611" t="s">
        <v>1168</v>
      </c>
      <c r="D10" s="610">
        <v>2</v>
      </c>
      <c r="E10" s="610">
        <v>1</v>
      </c>
      <c r="F10" s="609">
        <v>5</v>
      </c>
      <c r="G10" s="611" t="s">
        <v>385</v>
      </c>
      <c r="H10" s="494">
        <v>0.5</v>
      </c>
      <c r="I10" s="494">
        <v>2</v>
      </c>
      <c r="J10" s="407">
        <v>2</v>
      </c>
      <c r="K10" s="407">
        <v>3</v>
      </c>
    </row>
    <row r="11" spans="1:11" x14ac:dyDescent="0.35">
      <c r="A11" s="493">
        <v>10</v>
      </c>
      <c r="B11" s="493" t="s">
        <v>806</v>
      </c>
      <c r="C11" s="493" t="s">
        <v>523</v>
      </c>
      <c r="D11" s="493">
        <v>2.5</v>
      </c>
      <c r="E11" s="493">
        <v>1</v>
      </c>
      <c r="F11" s="493"/>
      <c r="G11" s="493" t="s">
        <v>191</v>
      </c>
      <c r="H11" s="493">
        <v>1</v>
      </c>
      <c r="I11" s="493">
        <v>1000</v>
      </c>
      <c r="J11" s="383">
        <v>1000</v>
      </c>
      <c r="K11">
        <v>1</v>
      </c>
    </row>
    <row r="12" spans="1:11" x14ac:dyDescent="0.35">
      <c r="A12" s="493">
        <v>11</v>
      </c>
      <c r="B12" s="493" t="s">
        <v>803</v>
      </c>
      <c r="C12" s="493" t="s">
        <v>523</v>
      </c>
      <c r="D12" s="493">
        <v>2.5</v>
      </c>
      <c r="E12" s="493">
        <v>1</v>
      </c>
      <c r="F12" s="493"/>
      <c r="G12" s="493" t="s">
        <v>191</v>
      </c>
      <c r="H12" s="493">
        <v>1</v>
      </c>
      <c r="I12" s="493">
        <v>1000</v>
      </c>
      <c r="J12" s="383">
        <v>1000</v>
      </c>
      <c r="K12">
        <v>1</v>
      </c>
    </row>
    <row r="13" spans="1:11" x14ac:dyDescent="0.35">
      <c r="A13" s="493">
        <v>12</v>
      </c>
      <c r="B13" s="494" t="s">
        <v>804</v>
      </c>
      <c r="C13" s="494" t="s">
        <v>59</v>
      </c>
      <c r="D13" s="494">
        <v>0.01</v>
      </c>
      <c r="E13" s="494">
        <v>1</v>
      </c>
      <c r="F13" s="494">
        <v>6</v>
      </c>
      <c r="G13" s="494" t="s">
        <v>446</v>
      </c>
      <c r="H13" s="494">
        <v>5</v>
      </c>
      <c r="I13" s="494">
        <v>30</v>
      </c>
      <c r="J13" s="383">
        <v>30</v>
      </c>
      <c r="K13">
        <v>14</v>
      </c>
    </row>
    <row r="14" spans="1:11" x14ac:dyDescent="0.35">
      <c r="A14" s="493">
        <v>13</v>
      </c>
      <c r="B14" s="493" t="s">
        <v>805</v>
      </c>
      <c r="C14" s="493" t="s">
        <v>509</v>
      </c>
      <c r="D14" s="493">
        <v>10</v>
      </c>
      <c r="E14" s="493">
        <v>11</v>
      </c>
      <c r="F14" s="493">
        <v>4</v>
      </c>
      <c r="G14" s="493" t="s">
        <v>510</v>
      </c>
      <c r="H14" s="493">
        <v>0.1</v>
      </c>
      <c r="I14" s="493">
        <v>1</v>
      </c>
      <c r="J14" s="383">
        <v>1</v>
      </c>
      <c r="K14">
        <v>3</v>
      </c>
    </row>
    <row r="15" spans="1:11" x14ac:dyDescent="0.35">
      <c r="A15" s="493">
        <v>14</v>
      </c>
      <c r="B15" s="384" t="s">
        <v>807</v>
      </c>
      <c r="C15" s="212" t="s">
        <v>162</v>
      </c>
      <c r="D15" s="493">
        <v>10</v>
      </c>
      <c r="E15" s="493">
        <v>1</v>
      </c>
      <c r="F15" s="493">
        <v>3</v>
      </c>
      <c r="G15" s="212" t="s">
        <v>386</v>
      </c>
      <c r="H15" s="493">
        <v>1</v>
      </c>
      <c r="I15" s="493">
        <v>4</v>
      </c>
      <c r="J15" s="383">
        <v>4</v>
      </c>
      <c r="K15">
        <v>3</v>
      </c>
    </row>
    <row r="16" spans="1:11" x14ac:dyDescent="0.35">
      <c r="A16" s="493">
        <v>15</v>
      </c>
      <c r="B16" s="384" t="s">
        <v>808</v>
      </c>
      <c r="C16" s="212" t="s">
        <v>1172</v>
      </c>
      <c r="D16" s="493">
        <v>100</v>
      </c>
      <c r="E16" s="493">
        <v>1</v>
      </c>
      <c r="F16" s="493">
        <v>9</v>
      </c>
      <c r="G16" s="212" t="s">
        <v>71</v>
      </c>
      <c r="H16" s="493">
        <v>0.01</v>
      </c>
      <c r="I16" s="493">
        <v>0.1</v>
      </c>
      <c r="J16" s="383">
        <v>0.1</v>
      </c>
      <c r="K16">
        <v>3</v>
      </c>
    </row>
    <row r="17" spans="1:11" x14ac:dyDescent="0.35">
      <c r="A17" s="493">
        <v>16</v>
      </c>
      <c r="B17" s="384" t="s">
        <v>809</v>
      </c>
      <c r="C17" s="212" t="s">
        <v>653</v>
      </c>
      <c r="D17" s="493">
        <v>1</v>
      </c>
      <c r="E17" s="493">
        <v>1</v>
      </c>
      <c r="F17" s="493">
        <v>2</v>
      </c>
      <c r="G17" s="212" t="s">
        <v>639</v>
      </c>
      <c r="H17" s="493">
        <v>0.01</v>
      </c>
      <c r="I17" s="493">
        <v>1.5</v>
      </c>
      <c r="J17" s="383">
        <v>0.5</v>
      </c>
      <c r="K17">
        <v>14</v>
      </c>
    </row>
    <row r="18" spans="1:11" x14ac:dyDescent="0.35">
      <c r="A18" s="493">
        <v>17</v>
      </c>
      <c r="B18" s="384" t="s">
        <v>810</v>
      </c>
      <c r="C18" s="212" t="s">
        <v>811</v>
      </c>
      <c r="D18" s="493">
        <v>5</v>
      </c>
      <c r="E18" s="494">
        <v>1</v>
      </c>
      <c r="F18" s="493">
        <v>5</v>
      </c>
      <c r="G18" s="212" t="s">
        <v>385</v>
      </c>
      <c r="H18" s="493">
        <v>0.25</v>
      </c>
      <c r="I18" s="493">
        <v>3</v>
      </c>
      <c r="J18" s="383">
        <v>3</v>
      </c>
      <c r="K18">
        <v>3</v>
      </c>
    </row>
    <row r="19" spans="1:11" x14ac:dyDescent="0.35">
      <c r="A19" s="493">
        <v>18</v>
      </c>
      <c r="B19" s="493" t="s">
        <v>820</v>
      </c>
      <c r="C19" s="493" t="s">
        <v>821</v>
      </c>
      <c r="D19" s="493">
        <v>20</v>
      </c>
      <c r="E19" s="493">
        <v>1</v>
      </c>
      <c r="F19" s="493">
        <v>5</v>
      </c>
      <c r="G19" s="493" t="s">
        <v>385</v>
      </c>
      <c r="H19" s="493">
        <v>4</v>
      </c>
      <c r="I19" s="493">
        <v>7</v>
      </c>
      <c r="J19" s="383">
        <v>7</v>
      </c>
      <c r="K19">
        <v>3</v>
      </c>
    </row>
    <row r="20" spans="1:11" x14ac:dyDescent="0.35">
      <c r="A20" s="493">
        <v>19</v>
      </c>
      <c r="B20" s="384" t="s">
        <v>292</v>
      </c>
      <c r="C20" s="212" t="s">
        <v>129</v>
      </c>
      <c r="D20" s="493">
        <v>5</v>
      </c>
      <c r="E20" s="493">
        <v>1</v>
      </c>
      <c r="F20" s="493">
        <v>5</v>
      </c>
      <c r="G20" s="212" t="s">
        <v>385</v>
      </c>
      <c r="H20" s="493">
        <v>0.05</v>
      </c>
      <c r="I20" s="493">
        <v>5</v>
      </c>
      <c r="J20" s="383">
        <v>5</v>
      </c>
      <c r="K20">
        <v>3</v>
      </c>
    </row>
    <row r="21" spans="1:11" x14ac:dyDescent="0.35">
      <c r="A21" s="493">
        <v>20</v>
      </c>
      <c r="B21" s="384" t="s">
        <v>812</v>
      </c>
      <c r="C21" s="212" t="s">
        <v>815</v>
      </c>
      <c r="D21" s="493">
        <v>1</v>
      </c>
      <c r="E21" s="493">
        <v>1</v>
      </c>
      <c r="F21" s="493">
        <v>2</v>
      </c>
      <c r="G21" s="212" t="s">
        <v>639</v>
      </c>
      <c r="H21" s="493">
        <v>0.25</v>
      </c>
      <c r="I21" s="493">
        <v>0.75</v>
      </c>
      <c r="J21" s="383">
        <v>0.75</v>
      </c>
      <c r="K21">
        <v>3</v>
      </c>
    </row>
    <row r="22" spans="1:11" x14ac:dyDescent="0.35">
      <c r="A22" s="493">
        <v>21</v>
      </c>
      <c r="B22" s="384" t="s">
        <v>137</v>
      </c>
      <c r="C22" s="212" t="s">
        <v>658</v>
      </c>
      <c r="D22" s="493">
        <v>10</v>
      </c>
      <c r="E22" s="493">
        <v>1</v>
      </c>
      <c r="F22" s="493">
        <v>3</v>
      </c>
      <c r="G22" s="212" t="s">
        <v>386</v>
      </c>
      <c r="H22" s="493">
        <v>0.125</v>
      </c>
      <c r="I22" s="493">
        <v>0.5</v>
      </c>
      <c r="J22" s="383">
        <v>0.5</v>
      </c>
      <c r="K22">
        <v>3</v>
      </c>
    </row>
    <row r="23" spans="1:11" x14ac:dyDescent="0.35">
      <c r="A23" s="493">
        <v>22</v>
      </c>
      <c r="B23" s="493" t="s">
        <v>822</v>
      </c>
      <c r="C23" s="493" t="s">
        <v>823</v>
      </c>
      <c r="D23" s="493">
        <v>1</v>
      </c>
      <c r="E23" s="493">
        <v>1</v>
      </c>
      <c r="F23" s="493">
        <v>2</v>
      </c>
      <c r="G23" s="493" t="s">
        <v>639</v>
      </c>
      <c r="H23" s="493">
        <v>0.5</v>
      </c>
      <c r="I23" s="493">
        <v>2</v>
      </c>
      <c r="J23" s="383">
        <v>2</v>
      </c>
      <c r="K23">
        <v>3</v>
      </c>
    </row>
    <row r="24" spans="1:11" x14ac:dyDescent="0.35">
      <c r="A24" s="493">
        <v>23</v>
      </c>
      <c r="B24" s="384" t="s">
        <v>813</v>
      </c>
      <c r="C24" s="212" t="s">
        <v>816</v>
      </c>
      <c r="D24" s="493">
        <v>25</v>
      </c>
      <c r="E24" s="493">
        <v>1</v>
      </c>
      <c r="F24" s="493">
        <v>2</v>
      </c>
      <c r="G24" s="212" t="s">
        <v>639</v>
      </c>
      <c r="H24" s="493">
        <v>0.5</v>
      </c>
      <c r="I24" s="493">
        <v>8</v>
      </c>
      <c r="J24" s="383">
        <v>8</v>
      </c>
      <c r="K24">
        <v>3</v>
      </c>
    </row>
    <row r="25" spans="1:11" x14ac:dyDescent="0.35">
      <c r="A25" s="493">
        <v>24</v>
      </c>
      <c r="B25" s="384" t="s">
        <v>814</v>
      </c>
      <c r="C25" s="212" t="s">
        <v>659</v>
      </c>
      <c r="D25" s="493">
        <v>1</v>
      </c>
      <c r="E25" s="493">
        <v>1</v>
      </c>
      <c r="F25" s="493">
        <v>2</v>
      </c>
      <c r="G25" s="212" t="s">
        <v>639</v>
      </c>
      <c r="H25" s="493">
        <v>0.05</v>
      </c>
      <c r="I25" s="493">
        <v>2</v>
      </c>
      <c r="J25" s="383">
        <v>2</v>
      </c>
      <c r="K25">
        <v>3</v>
      </c>
    </row>
    <row r="26" spans="1:11" x14ac:dyDescent="0.35">
      <c r="A26" s="493">
        <v>25</v>
      </c>
      <c r="B26" s="384" t="s">
        <v>817</v>
      </c>
      <c r="C26" s="212" t="s">
        <v>818</v>
      </c>
      <c r="D26" s="493">
        <v>10</v>
      </c>
      <c r="E26" s="493">
        <v>1</v>
      </c>
      <c r="F26" s="493">
        <v>5</v>
      </c>
      <c r="G26" s="212" t="s">
        <v>385</v>
      </c>
      <c r="H26" s="493">
        <v>0.3</v>
      </c>
      <c r="I26" s="493">
        <v>1.2</v>
      </c>
      <c r="J26" s="383">
        <v>1.2</v>
      </c>
      <c r="K26">
        <v>3</v>
      </c>
    </row>
    <row r="27" spans="1:11" x14ac:dyDescent="0.35">
      <c r="A27" s="493"/>
    </row>
    <row r="28" spans="1:11" x14ac:dyDescent="0.35">
      <c r="D28" s="383"/>
      <c r="E28" s="383"/>
      <c r="F28" s="383"/>
      <c r="G28" s="383"/>
      <c r="H28" s="383"/>
      <c r="I28" s="383"/>
      <c r="J28" s="383"/>
      <c r="K28" s="38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19" customWidth="1"/>
    <col min="2" max="16384" width="9.1328125" style="219"/>
  </cols>
  <sheetData>
    <row r="1" spans="1:7" ht="13.2" x14ac:dyDescent="0.4">
      <c r="A1" s="454"/>
      <c r="B1" s="370">
        <v>1</v>
      </c>
      <c r="C1" s="370">
        <v>2</v>
      </c>
      <c r="D1" s="370">
        <v>3</v>
      </c>
      <c r="E1" s="370">
        <v>4</v>
      </c>
      <c r="F1" s="370">
        <v>5</v>
      </c>
      <c r="G1" s="370">
        <v>6</v>
      </c>
    </row>
    <row r="2" spans="1:7" x14ac:dyDescent="0.35">
      <c r="A2" s="951"/>
      <c r="B2" s="951"/>
      <c r="C2" s="951"/>
      <c r="D2" s="951"/>
      <c r="E2" s="951"/>
      <c r="F2" s="951"/>
      <c r="G2" s="951"/>
    </row>
    <row r="3" spans="1:7" ht="13.2" x14ac:dyDescent="0.4">
      <c r="A3" s="952" t="s">
        <v>621</v>
      </c>
      <c r="B3" s="952"/>
      <c r="C3" s="952"/>
      <c r="D3" s="952"/>
      <c r="E3" s="952"/>
      <c r="F3" s="952"/>
      <c r="G3" s="952"/>
    </row>
    <row r="4" spans="1:7" x14ac:dyDescent="0.35">
      <c r="A4" s="371" t="s">
        <v>622</v>
      </c>
      <c r="B4" s="372">
        <v>50</v>
      </c>
      <c r="C4" s="372">
        <v>80</v>
      </c>
      <c r="D4" s="372">
        <v>110</v>
      </c>
      <c r="E4" s="372">
        <v>150</v>
      </c>
      <c r="F4" s="372">
        <v>150</v>
      </c>
      <c r="G4" s="372">
        <v>150</v>
      </c>
    </row>
    <row r="5" spans="1:7" x14ac:dyDescent="0.35">
      <c r="A5" s="371" t="s">
        <v>689</v>
      </c>
      <c r="B5" s="373" t="e">
        <f>80-((_Neo_InfB_Gewicht*1000)-500)/500*30</f>
        <v>#NAME?</v>
      </c>
      <c r="C5" s="373" t="e">
        <f>110-((_Neo_InfB_Gewicht*1000)-500)/500*30</f>
        <v>#NAME?</v>
      </c>
      <c r="D5" s="373" t="e">
        <f>150-((_Neo_InfB_Gewicht*1000)-500)/500*40</f>
        <v>#NAME?</v>
      </c>
      <c r="E5" s="373" t="e">
        <f>160-((_Neo_InfB_Gewicht*1000)-500)/500*10</f>
        <v>#NAME?</v>
      </c>
      <c r="F5" s="373">
        <v>160</v>
      </c>
      <c r="G5" s="373">
        <v>160</v>
      </c>
    </row>
    <row r="6" spans="1:7" x14ac:dyDescent="0.35">
      <c r="A6" s="461" t="s">
        <v>623</v>
      </c>
      <c r="B6" s="372">
        <v>30</v>
      </c>
      <c r="C6" s="372">
        <v>50</v>
      </c>
      <c r="D6" s="372">
        <v>70</v>
      </c>
      <c r="E6" s="372">
        <v>90</v>
      </c>
      <c r="F6" s="372">
        <v>110</v>
      </c>
      <c r="G6" s="372">
        <v>150</v>
      </c>
    </row>
    <row r="7" spans="1:7" x14ac:dyDescent="0.35">
      <c r="A7" s="371"/>
      <c r="B7" s="372"/>
      <c r="C7" s="372"/>
      <c r="D7" s="372"/>
      <c r="E7" s="372"/>
      <c r="F7" s="372"/>
      <c r="G7" s="372"/>
    </row>
    <row r="8" spans="1:7" ht="13.2" x14ac:dyDescent="0.4">
      <c r="A8" s="374" t="s">
        <v>624</v>
      </c>
      <c r="B8" s="375"/>
      <c r="C8" s="375"/>
      <c r="D8" s="375"/>
      <c r="E8" s="375"/>
      <c r="F8" s="375"/>
      <c r="G8" s="375"/>
    </row>
    <row r="9" spans="1:7" x14ac:dyDescent="0.35">
      <c r="A9" s="371" t="s">
        <v>625</v>
      </c>
      <c r="B9" s="372"/>
      <c r="C9" s="372"/>
      <c r="D9" s="372"/>
      <c r="E9" s="372">
        <v>35</v>
      </c>
      <c r="F9" s="372">
        <v>35</v>
      </c>
      <c r="G9" s="372">
        <v>35</v>
      </c>
    </row>
    <row r="10" spans="1:7" x14ac:dyDescent="0.35">
      <c r="A10" s="371" t="s">
        <v>34</v>
      </c>
      <c r="B10" s="372"/>
      <c r="C10" s="372" t="s">
        <v>626</v>
      </c>
      <c r="D10" s="372" t="s">
        <v>626</v>
      </c>
      <c r="E10" s="372"/>
      <c r="F10" s="372"/>
      <c r="G10" s="372"/>
    </row>
    <row r="11" spans="1:7" x14ac:dyDescent="0.35">
      <c r="A11" s="371" t="s">
        <v>574</v>
      </c>
      <c r="B11" s="372"/>
      <c r="C11" s="372" t="s">
        <v>627</v>
      </c>
      <c r="D11" s="372" t="s">
        <v>627</v>
      </c>
      <c r="E11" s="372"/>
      <c r="F11" s="372"/>
      <c r="G11" s="372"/>
    </row>
    <row r="12" spans="1:7" ht="15.1" x14ac:dyDescent="0.5">
      <c r="A12" s="371" t="s">
        <v>628</v>
      </c>
      <c r="B12" s="372" t="s">
        <v>626</v>
      </c>
      <c r="C12" s="372" t="s">
        <v>626</v>
      </c>
      <c r="D12" s="372" t="s">
        <v>626</v>
      </c>
      <c r="E12" s="372"/>
      <c r="F12" s="372"/>
      <c r="G12" s="372"/>
    </row>
    <row r="13" spans="1:7" ht="15.1" x14ac:dyDescent="0.5">
      <c r="A13" s="371" t="s">
        <v>629</v>
      </c>
      <c r="B13" s="372">
        <v>0.3</v>
      </c>
      <c r="C13" s="372">
        <v>0.3</v>
      </c>
      <c r="D13" s="372">
        <v>0.3</v>
      </c>
      <c r="E13" s="372"/>
      <c r="F13" s="372"/>
      <c r="G13" s="372"/>
    </row>
    <row r="14" spans="1:7" x14ac:dyDescent="0.35">
      <c r="A14" s="371" t="s">
        <v>232</v>
      </c>
      <c r="B14" s="372"/>
      <c r="C14" s="372">
        <v>1</v>
      </c>
      <c r="D14" s="372">
        <v>1</v>
      </c>
      <c r="E14" s="372"/>
      <c r="F14" s="372"/>
      <c r="G14" s="372"/>
    </row>
    <row r="15" spans="1:7" x14ac:dyDescent="0.35">
      <c r="A15" s="371" t="s">
        <v>630</v>
      </c>
      <c r="B15" s="372"/>
      <c r="C15" s="372">
        <v>7.5</v>
      </c>
      <c r="D15" s="372">
        <v>15</v>
      </c>
      <c r="E15" s="372"/>
      <c r="F15" s="372"/>
      <c r="G15" s="372"/>
    </row>
    <row r="16" spans="1:7" ht="25.65" x14ac:dyDescent="0.35">
      <c r="A16" s="371" t="s">
        <v>631</v>
      </c>
      <c r="B16" s="372"/>
      <c r="C16" s="372">
        <v>2.5</v>
      </c>
      <c r="D16" s="372">
        <v>5</v>
      </c>
      <c r="E16" s="372">
        <v>7.5</v>
      </c>
      <c r="F16" s="372">
        <v>10</v>
      </c>
      <c r="G16" s="372">
        <v>12</v>
      </c>
    </row>
    <row r="17" spans="1:8" x14ac:dyDescent="0.35">
      <c r="A17" s="371"/>
      <c r="B17" s="371"/>
      <c r="C17" s="371"/>
      <c r="D17" s="220"/>
      <c r="E17" s="220"/>
      <c r="F17" s="220"/>
      <c r="G17" s="220"/>
    </row>
    <row r="19" spans="1:8" x14ac:dyDescent="0.35">
      <c r="B19" s="376"/>
      <c r="C19" s="376"/>
      <c r="D19" s="376"/>
      <c r="E19" s="376"/>
      <c r="F19" s="376"/>
      <c r="G19" s="376"/>
    </row>
    <row r="21" spans="1:8" x14ac:dyDescent="0.35">
      <c r="A21" s="227"/>
      <c r="B21" s="227"/>
      <c r="C21" s="227"/>
      <c r="D21" s="227"/>
      <c r="E21" s="227"/>
      <c r="F21" s="227"/>
      <c r="G21" s="227"/>
      <c r="H21" s="227"/>
    </row>
    <row r="22" spans="1:8" x14ac:dyDescent="0.35">
      <c r="A22" s="227"/>
      <c r="B22" s="227"/>
      <c r="C22" s="227"/>
      <c r="D22" s="227"/>
      <c r="E22" s="227"/>
      <c r="F22" s="227"/>
      <c r="G22" s="227"/>
      <c r="H22" s="227"/>
    </row>
    <row r="23" spans="1:8" x14ac:dyDescent="0.35">
      <c r="A23" s="227"/>
      <c r="B23" s="227"/>
      <c r="C23" s="227"/>
      <c r="D23" s="227"/>
      <c r="E23" s="227"/>
      <c r="F23" s="227"/>
      <c r="G23" s="227"/>
      <c r="H23" s="227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493" customWidth="1"/>
    <col min="2" max="2" width="8.59765625" style="493" customWidth="1"/>
    <col min="3" max="3" width="6" style="493" bestFit="1" customWidth="1"/>
    <col min="4" max="4" width="2.265625" style="493" bestFit="1" customWidth="1"/>
    <col min="5" max="5" width="5" style="493" bestFit="1" customWidth="1"/>
    <col min="6" max="6" width="3.265625" style="493" bestFit="1" customWidth="1"/>
    <col min="7" max="7" width="3.59765625" style="493" bestFit="1" customWidth="1"/>
    <col min="8" max="8" width="4.73046875" style="493" bestFit="1" customWidth="1"/>
    <col min="9" max="9" width="2" style="493" bestFit="1" customWidth="1"/>
    <col min="10" max="10" width="12.73046875" style="493" customWidth="1"/>
    <col min="11" max="11" width="19.265625" style="493" customWidth="1"/>
    <col min="12" max="12" width="24" style="493" bestFit="1" customWidth="1"/>
    <col min="13" max="13" width="27.3984375" style="493" bestFit="1" customWidth="1"/>
    <col min="14" max="25" width="11.265625" style="493" customWidth="1"/>
    <col min="26" max="27" width="9.1328125" style="493"/>
    <col min="28" max="28" width="14.59765625" style="493" customWidth="1"/>
    <col min="29" max="29" width="23" style="493" bestFit="1" customWidth="1"/>
    <col min="30" max="30" width="9.1328125" style="493"/>
    <col min="31" max="31" width="23" style="493" bestFit="1" customWidth="1"/>
    <col min="32" max="16384" width="9.1328125" style="493"/>
  </cols>
  <sheetData>
    <row r="1" spans="1:31" ht="13.2" x14ac:dyDescent="0.4">
      <c r="A1" s="954" t="s">
        <v>1140</v>
      </c>
      <c r="B1" s="954"/>
      <c r="C1" s="954"/>
      <c r="D1" s="954"/>
      <c r="E1" s="954"/>
      <c r="F1" s="954"/>
      <c r="G1" s="954"/>
      <c r="H1" s="954"/>
      <c r="I1" s="955" t="s">
        <v>1141</v>
      </c>
      <c r="J1" s="955"/>
      <c r="K1" s="955"/>
      <c r="L1" s="953" t="s">
        <v>1142</v>
      </c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953"/>
      <c r="X1" s="953"/>
      <c r="Y1" s="953"/>
      <c r="Z1" s="953"/>
      <c r="AB1" s="953" t="s">
        <v>1147</v>
      </c>
      <c r="AC1" s="953"/>
      <c r="AE1" s="614" t="s">
        <v>1147</v>
      </c>
    </row>
    <row r="2" spans="1:31" ht="13.2" x14ac:dyDescent="0.4">
      <c r="A2" s="493" t="s">
        <v>165</v>
      </c>
      <c r="B2" s="493" t="s">
        <v>582</v>
      </c>
      <c r="C2" s="493" t="s">
        <v>246</v>
      </c>
      <c r="D2" s="493" t="s">
        <v>247</v>
      </c>
      <c r="E2" s="493" t="s">
        <v>239</v>
      </c>
      <c r="F2" s="493" t="s">
        <v>248</v>
      </c>
      <c r="G2" s="493" t="s">
        <v>249</v>
      </c>
      <c r="H2" s="493" t="s">
        <v>581</v>
      </c>
      <c r="J2" s="493" t="s">
        <v>354</v>
      </c>
      <c r="K2" s="493" t="s">
        <v>634</v>
      </c>
      <c r="L2" s="504" t="s">
        <v>1117</v>
      </c>
      <c r="M2" s="504" t="s">
        <v>305</v>
      </c>
      <c r="N2" s="504" t="s">
        <v>246</v>
      </c>
      <c r="O2" s="504" t="s">
        <v>247</v>
      </c>
      <c r="P2" s="504" t="s">
        <v>248</v>
      </c>
      <c r="Q2" s="504" t="s">
        <v>249</v>
      </c>
      <c r="R2" s="504" t="s">
        <v>581</v>
      </c>
      <c r="S2" s="504" t="s">
        <v>244</v>
      </c>
      <c r="T2" s="504" t="s">
        <v>582</v>
      </c>
      <c r="U2" s="504" t="s">
        <v>583</v>
      </c>
      <c r="V2" s="504" t="s">
        <v>584</v>
      </c>
      <c r="W2" s="504" t="s">
        <v>635</v>
      </c>
      <c r="X2" s="504" t="s">
        <v>593</v>
      </c>
      <c r="Y2" s="504" t="s">
        <v>981</v>
      </c>
      <c r="Z2" s="504" t="s">
        <v>1071</v>
      </c>
      <c r="AB2" s="605" t="s">
        <v>963</v>
      </c>
      <c r="AC2" s="605" t="s">
        <v>964</v>
      </c>
      <c r="AE2" s="615"/>
    </row>
    <row r="3" spans="1:31" x14ac:dyDescent="0.35">
      <c r="I3" s="493">
        <v>1</v>
      </c>
      <c r="AE3" s="615" t="s">
        <v>616</v>
      </c>
    </row>
    <row r="4" spans="1:31" x14ac:dyDescent="0.35">
      <c r="A4" s="493" t="s">
        <v>638</v>
      </c>
      <c r="B4" s="493">
        <v>0.05</v>
      </c>
      <c r="I4" s="493">
        <v>2</v>
      </c>
      <c r="J4" s="493" t="s">
        <v>639</v>
      </c>
      <c r="K4" s="493">
        <v>1.44</v>
      </c>
      <c r="L4" s="493" t="s">
        <v>179</v>
      </c>
      <c r="M4" s="493" t="s">
        <v>179</v>
      </c>
      <c r="N4" s="535">
        <f t="shared" ref="N4:N19" si="0">VLOOKUP(M4,tblVoedingBasislijst,6,FALSE)*tblOmrekenNA/100</f>
        <v>8.6956000000000012E-3</v>
      </c>
      <c r="O4" s="535">
        <f t="shared" ref="O4:O19" si="1">VLOOKUP(M4,tblVoedingBasislijst,7,FALSE)*tblOmrekenK/100</f>
        <v>1.2820500000000002E-2</v>
      </c>
      <c r="P4" s="535">
        <f t="shared" ref="P4:P19" si="2">VLOOKUP(M4,tblVoedingBasislijst,8,FALSE)*tblOmrekenCa/100</f>
        <v>7.4700000000000001E-3</v>
      </c>
      <c r="Q4" s="535">
        <f t="shared" ref="Q4:Q19" si="3">VLOOKUP(M4,tblVoedingBasislijst,10,FALSE)*tblOmrekenMg/100</f>
        <v>1.23423E-3</v>
      </c>
      <c r="R4" s="535">
        <f t="shared" ref="R4:R19" si="4">VLOOKUP(M4,tblVoedingBasislijst,9,FALSE)*tblOmrekenP/100</f>
        <v>4.8433499999999997E-3</v>
      </c>
      <c r="S4" s="535">
        <f t="shared" ref="S4:S19" si="5">VLOOKUP(M4,tblVoedingBasislijst,3,FALSE)/100</f>
        <v>0.01</v>
      </c>
      <c r="T4" s="535">
        <f t="shared" ref="T4:T19" si="6">VLOOKUP(M4,tblVoedingBasislijst,4,FALSE)/100</f>
        <v>7.0000000000000007E-2</v>
      </c>
      <c r="U4" s="535">
        <f t="shared" ref="U4:U19" si="7">VLOOKUP(M4,tblVoedingBasislijst,5,FALSE)/100</f>
        <v>0.04</v>
      </c>
      <c r="V4" s="535">
        <f t="shared" ref="V4:V19" si="8">VLOOKUP(M4,tblVoedingBasislijst,2,FALSE)/100</f>
        <v>0.68</v>
      </c>
      <c r="W4" s="535">
        <f t="shared" ref="W4:W19" si="9">VLOOKUP(M4,tblVoedingBasislijst,13,FALSE)*tblOmrekenCl/100</f>
        <v>1.212858E-2</v>
      </c>
      <c r="X4" s="535">
        <f t="shared" ref="X4:X19" si="10">VLOOKUP(M4,tblVoedingBasislijst,12,FALSE)*tblOmrekenVitD/100</f>
        <v>0</v>
      </c>
      <c r="Y4" s="535">
        <f t="shared" ref="Y4:Y19" si="11">VLOOKUP(M4,tblVoedingBasislijst,11,FALSE)*tblOmrekenFe/100</f>
        <v>1.7899999999999998E-5</v>
      </c>
      <c r="Z4" s="535" t="s">
        <v>179</v>
      </c>
      <c r="AA4" s="535"/>
      <c r="AB4" s="493">
        <v>2.2000000000000002</v>
      </c>
      <c r="AC4" s="493">
        <v>0.5</v>
      </c>
      <c r="AE4" s="615" t="s">
        <v>1182</v>
      </c>
    </row>
    <row r="5" spans="1:31" x14ac:dyDescent="0.35">
      <c r="A5" s="493" t="s">
        <v>643</v>
      </c>
      <c r="B5" s="493">
        <v>0.1</v>
      </c>
      <c r="I5" s="493">
        <v>3</v>
      </c>
      <c r="J5" s="493" t="s">
        <v>386</v>
      </c>
      <c r="K5" s="493">
        <v>1</v>
      </c>
      <c r="L5" s="493" t="s">
        <v>986</v>
      </c>
      <c r="M5" s="493" t="s">
        <v>986</v>
      </c>
      <c r="N5" s="535">
        <f t="shared" si="0"/>
        <v>3.0434599999999999E-2</v>
      </c>
      <c r="O5" s="535">
        <f t="shared" si="1"/>
        <v>2.0512800000000001E-2</v>
      </c>
      <c r="P5" s="535">
        <f t="shared" si="2"/>
        <v>2.4899999999999999E-2</v>
      </c>
      <c r="Q5" s="535">
        <f t="shared" si="3"/>
        <v>3.2912799999999997E-3</v>
      </c>
      <c r="R5" s="535">
        <f t="shared" si="4"/>
        <v>1.8081839999999998E-2</v>
      </c>
      <c r="S5" s="535">
        <f t="shared" si="5"/>
        <v>2.6000000000000002E-2</v>
      </c>
      <c r="T5" s="535">
        <f t="shared" si="6"/>
        <v>8.4000000000000005E-2</v>
      </c>
      <c r="U5" s="535">
        <f t="shared" si="7"/>
        <v>3.9E-2</v>
      </c>
      <c r="V5" s="535">
        <f t="shared" si="8"/>
        <v>0.8</v>
      </c>
      <c r="W5" s="535">
        <f t="shared" si="9"/>
        <v>2.3975099999999999E-2</v>
      </c>
      <c r="X5" s="535">
        <f t="shared" si="10"/>
        <v>1.2</v>
      </c>
      <c r="Y5" s="535">
        <f t="shared" si="11"/>
        <v>2.8639999999999997E-4</v>
      </c>
      <c r="Z5" s="535" t="s">
        <v>1072</v>
      </c>
      <c r="AA5" s="535"/>
      <c r="AB5" s="493">
        <v>4.4000000000000004</v>
      </c>
      <c r="AC5" s="493">
        <v>1</v>
      </c>
    </row>
    <row r="6" spans="1:31" x14ac:dyDescent="0.35">
      <c r="A6" s="493" t="s">
        <v>646</v>
      </c>
      <c r="B6" s="493">
        <v>0.15</v>
      </c>
      <c r="I6" s="493">
        <v>4</v>
      </c>
      <c r="J6" s="493" t="s">
        <v>510</v>
      </c>
      <c r="K6" s="493">
        <v>1440</v>
      </c>
      <c r="L6" s="493" t="s">
        <v>987</v>
      </c>
      <c r="M6" s="493" t="s">
        <v>987</v>
      </c>
      <c r="N6" s="535">
        <f t="shared" si="0"/>
        <v>1.217384E-2</v>
      </c>
      <c r="O6" s="535">
        <f t="shared" si="1"/>
        <v>1.9743570000000002E-2</v>
      </c>
      <c r="P6" s="535">
        <f t="shared" si="2"/>
        <v>2.1662999999999998E-2</v>
      </c>
      <c r="Q6" s="535">
        <f t="shared" si="3"/>
        <v>2.8798700000000001E-3</v>
      </c>
      <c r="R6" s="535">
        <f t="shared" si="4"/>
        <v>1.517583E-2</v>
      </c>
      <c r="S6" s="535">
        <f t="shared" si="5"/>
        <v>0.02</v>
      </c>
      <c r="T6" s="535">
        <f t="shared" si="6"/>
        <v>7.4999999999999997E-2</v>
      </c>
      <c r="U6" s="535">
        <f t="shared" si="7"/>
        <v>0.04</v>
      </c>
      <c r="V6" s="535">
        <f t="shared" si="8"/>
        <v>0.75</v>
      </c>
      <c r="W6" s="535">
        <f t="shared" si="9"/>
        <v>1.5513299999999999E-2</v>
      </c>
      <c r="X6" s="535">
        <f t="shared" si="10"/>
        <v>0.68</v>
      </c>
      <c r="Y6" s="535">
        <f t="shared" si="11"/>
        <v>2.1479999999999999E-4</v>
      </c>
      <c r="Z6" s="535" t="s">
        <v>1072</v>
      </c>
      <c r="AA6" s="535"/>
      <c r="AC6" s="493">
        <v>1.5</v>
      </c>
    </row>
    <row r="7" spans="1:31" x14ac:dyDescent="0.35">
      <c r="A7" s="493" t="s">
        <v>648</v>
      </c>
      <c r="B7" s="493">
        <v>0.2</v>
      </c>
      <c r="I7" s="493">
        <v>5</v>
      </c>
      <c r="J7" s="493" t="s">
        <v>385</v>
      </c>
      <c r="K7" s="493">
        <v>24</v>
      </c>
      <c r="L7" s="493" t="s">
        <v>640</v>
      </c>
      <c r="M7" s="493" t="s">
        <v>640</v>
      </c>
      <c r="N7" s="535">
        <f t="shared" si="0"/>
        <v>7.3912600000000002E-3</v>
      </c>
      <c r="O7" s="535">
        <f t="shared" si="1"/>
        <v>1.7435880000000001E-2</v>
      </c>
      <c r="P7" s="535">
        <f t="shared" si="2"/>
        <v>1.4193000000000001E-2</v>
      </c>
      <c r="Q7" s="535">
        <f t="shared" si="3"/>
        <v>2.0981909999999997E-3</v>
      </c>
      <c r="R7" s="535">
        <f t="shared" si="4"/>
        <v>1.033248E-2</v>
      </c>
      <c r="S7" s="535">
        <f t="shared" si="5"/>
        <v>1.3000000000000001E-2</v>
      </c>
      <c r="T7" s="535">
        <f t="shared" si="6"/>
        <v>7.2999999999999995E-2</v>
      </c>
      <c r="U7" s="535">
        <f t="shared" si="7"/>
        <v>3.4000000000000002E-2</v>
      </c>
      <c r="V7" s="535">
        <f t="shared" si="8"/>
        <v>0.66</v>
      </c>
      <c r="W7" s="535">
        <f t="shared" si="9"/>
        <v>1.1846520000000001E-2</v>
      </c>
      <c r="X7" s="535">
        <f t="shared" si="10"/>
        <v>3.48</v>
      </c>
      <c r="Y7" s="535">
        <f t="shared" si="11"/>
        <v>6.981E-4</v>
      </c>
      <c r="Z7" s="535" t="s">
        <v>1072</v>
      </c>
      <c r="AA7" s="535"/>
      <c r="AC7" s="493">
        <v>2</v>
      </c>
    </row>
    <row r="8" spans="1:31" x14ac:dyDescent="0.35">
      <c r="A8" s="493" t="s">
        <v>650</v>
      </c>
      <c r="B8" s="493">
        <v>0.25</v>
      </c>
      <c r="I8" s="493">
        <v>6</v>
      </c>
      <c r="J8" s="493" t="s">
        <v>446</v>
      </c>
      <c r="K8" s="493">
        <v>1.4400000000000001E-3</v>
      </c>
      <c r="L8" s="493" t="s">
        <v>1051</v>
      </c>
      <c r="M8" s="493" t="s">
        <v>1051</v>
      </c>
      <c r="N8" s="535">
        <f t="shared" si="0"/>
        <v>9.9999400000000006E-3</v>
      </c>
      <c r="O8" s="535">
        <f t="shared" si="1"/>
        <v>1.8974339999999999E-2</v>
      </c>
      <c r="P8" s="535">
        <f t="shared" si="2"/>
        <v>1.6184999999999998E-2</v>
      </c>
      <c r="Q8" s="535">
        <f t="shared" si="3"/>
        <v>1.974768E-3</v>
      </c>
      <c r="R8" s="535">
        <f t="shared" si="4"/>
        <v>1.162404E-2</v>
      </c>
      <c r="S8" s="535">
        <f t="shared" si="5"/>
        <v>1.3999999999999999E-2</v>
      </c>
      <c r="T8" s="535">
        <f t="shared" si="6"/>
        <v>8.5999999999999993E-2</v>
      </c>
      <c r="U8" s="535">
        <f t="shared" si="7"/>
        <v>0.03</v>
      </c>
      <c r="V8" s="535">
        <f t="shared" si="8"/>
        <v>0.68</v>
      </c>
      <c r="W8" s="535">
        <f t="shared" si="9"/>
        <v>1.3256820000000001E-2</v>
      </c>
      <c r="X8" s="535">
        <f t="shared" si="10"/>
        <v>0.56000000000000005</v>
      </c>
      <c r="Y8" s="535">
        <f t="shared" si="11"/>
        <v>1.253E-3</v>
      </c>
      <c r="Z8" s="535" t="s">
        <v>1072</v>
      </c>
      <c r="AA8" s="535"/>
      <c r="AC8" s="493">
        <v>2.5</v>
      </c>
    </row>
    <row r="9" spans="1:31" x14ac:dyDescent="0.35">
      <c r="A9" s="493" t="s">
        <v>652</v>
      </c>
      <c r="B9" s="493">
        <v>0.3</v>
      </c>
      <c r="I9" s="493">
        <v>7</v>
      </c>
      <c r="J9" s="493" t="s">
        <v>800</v>
      </c>
      <c r="K9" s="493">
        <v>2.4E-2</v>
      </c>
      <c r="L9" s="493" t="s">
        <v>1052</v>
      </c>
      <c r="M9" s="493" t="s">
        <v>1052</v>
      </c>
      <c r="N9" s="535">
        <f t="shared" si="0"/>
        <v>8.6956000000000012E-3</v>
      </c>
      <c r="O9" s="535">
        <f t="shared" si="1"/>
        <v>1.2820500000000002E-2</v>
      </c>
      <c r="P9" s="535">
        <f t="shared" si="2"/>
        <v>7.4700000000000001E-3</v>
      </c>
      <c r="Q9" s="535">
        <f t="shared" si="3"/>
        <v>1.23423E-3</v>
      </c>
      <c r="R9" s="535">
        <f t="shared" si="4"/>
        <v>4.8433499999999997E-3</v>
      </c>
      <c r="S9" s="535">
        <f t="shared" si="5"/>
        <v>0.01</v>
      </c>
      <c r="T9" s="535">
        <f t="shared" si="6"/>
        <v>7.0000000000000007E-2</v>
      </c>
      <c r="U9" s="535">
        <f t="shared" si="7"/>
        <v>0.04</v>
      </c>
      <c r="V9" s="535">
        <f t="shared" si="8"/>
        <v>0.68</v>
      </c>
      <c r="W9" s="535">
        <f t="shared" si="9"/>
        <v>1.212858E-2</v>
      </c>
      <c r="X9" s="535">
        <f t="shared" si="10"/>
        <v>0</v>
      </c>
      <c r="Y9" s="535">
        <f t="shared" si="11"/>
        <v>1.7899999999999998E-5</v>
      </c>
      <c r="Z9" s="535" t="s">
        <v>179</v>
      </c>
      <c r="AA9" s="535"/>
      <c r="AC9" s="493">
        <v>3</v>
      </c>
    </row>
    <row r="10" spans="1:31" x14ac:dyDescent="0.35">
      <c r="A10" s="493" t="s">
        <v>654</v>
      </c>
      <c r="B10" s="493">
        <v>0.35</v>
      </c>
      <c r="I10" s="493">
        <v>8</v>
      </c>
      <c r="J10" s="493" t="s">
        <v>387</v>
      </c>
      <c r="K10" s="493">
        <v>1</v>
      </c>
      <c r="L10" s="493" t="s">
        <v>1053</v>
      </c>
      <c r="M10" s="493" t="s">
        <v>1053</v>
      </c>
      <c r="N10" s="535">
        <f t="shared" si="0"/>
        <v>8.6956000000000012E-3</v>
      </c>
      <c r="O10" s="535">
        <f t="shared" si="1"/>
        <v>1.2820500000000002E-2</v>
      </c>
      <c r="P10" s="535">
        <f t="shared" si="2"/>
        <v>7.4700000000000001E-3</v>
      </c>
      <c r="Q10" s="535">
        <f t="shared" si="3"/>
        <v>1.23423E-3</v>
      </c>
      <c r="R10" s="535">
        <f t="shared" si="4"/>
        <v>4.8433499999999997E-3</v>
      </c>
      <c r="S10" s="535">
        <f t="shared" si="5"/>
        <v>0.01</v>
      </c>
      <c r="T10" s="535">
        <f t="shared" si="6"/>
        <v>7.0000000000000007E-2</v>
      </c>
      <c r="U10" s="535">
        <f t="shared" si="7"/>
        <v>0.04</v>
      </c>
      <c r="V10" s="535">
        <f t="shared" si="8"/>
        <v>0.68</v>
      </c>
      <c r="W10" s="535">
        <f t="shared" si="9"/>
        <v>1.212858E-2</v>
      </c>
      <c r="X10" s="535">
        <f t="shared" si="10"/>
        <v>0</v>
      </c>
      <c r="Y10" s="535">
        <f t="shared" si="11"/>
        <v>1.7899999999999998E-5</v>
      </c>
      <c r="Z10" s="535" t="s">
        <v>179</v>
      </c>
      <c r="AA10" s="535"/>
      <c r="AC10" s="493">
        <v>3.5</v>
      </c>
    </row>
    <row r="11" spans="1:31" x14ac:dyDescent="0.35">
      <c r="A11" s="493" t="s">
        <v>655</v>
      </c>
      <c r="B11" s="493">
        <v>0.4</v>
      </c>
      <c r="I11" s="493">
        <v>9</v>
      </c>
      <c r="J11" s="212" t="s">
        <v>71</v>
      </c>
      <c r="K11" s="493">
        <v>24</v>
      </c>
      <c r="L11" s="493" t="s">
        <v>1054</v>
      </c>
      <c r="M11" s="493" t="s">
        <v>1054</v>
      </c>
      <c r="N11" s="535">
        <f t="shared" si="0"/>
        <v>8.6956000000000012E-3</v>
      </c>
      <c r="O11" s="535">
        <f t="shared" si="1"/>
        <v>1.2820500000000002E-2</v>
      </c>
      <c r="P11" s="535">
        <f t="shared" si="2"/>
        <v>7.4700000000000001E-3</v>
      </c>
      <c r="Q11" s="535">
        <f t="shared" si="3"/>
        <v>1.23423E-3</v>
      </c>
      <c r="R11" s="535">
        <f t="shared" si="4"/>
        <v>4.8433499999999997E-3</v>
      </c>
      <c r="S11" s="535">
        <f t="shared" si="5"/>
        <v>0.01</v>
      </c>
      <c r="T11" s="535">
        <f t="shared" si="6"/>
        <v>7.0000000000000007E-2</v>
      </c>
      <c r="U11" s="535">
        <f t="shared" si="7"/>
        <v>0.04</v>
      </c>
      <c r="V11" s="535">
        <f t="shared" si="8"/>
        <v>0.68</v>
      </c>
      <c r="W11" s="535">
        <f t="shared" si="9"/>
        <v>1.212858E-2</v>
      </c>
      <c r="X11" s="535">
        <f t="shared" si="10"/>
        <v>0</v>
      </c>
      <c r="Y11" s="535">
        <f t="shared" si="11"/>
        <v>1.7899999999999998E-5</v>
      </c>
      <c r="Z11" s="535" t="s">
        <v>179</v>
      </c>
      <c r="AA11" s="535"/>
      <c r="AC11" s="493">
        <v>4</v>
      </c>
    </row>
    <row r="12" spans="1:31" x14ac:dyDescent="0.35">
      <c r="A12" s="493" t="s">
        <v>656</v>
      </c>
      <c r="B12" s="493">
        <v>0.45</v>
      </c>
      <c r="L12" s="493" t="s">
        <v>1055</v>
      </c>
      <c r="M12" s="493" t="s">
        <v>1055</v>
      </c>
      <c r="N12" s="535">
        <f t="shared" si="0"/>
        <v>8.6956000000000012E-3</v>
      </c>
      <c r="O12" s="535">
        <f t="shared" si="1"/>
        <v>1.2820500000000002E-2</v>
      </c>
      <c r="P12" s="535">
        <f t="shared" si="2"/>
        <v>7.4700000000000001E-3</v>
      </c>
      <c r="Q12" s="535">
        <f t="shared" si="3"/>
        <v>1.23423E-3</v>
      </c>
      <c r="R12" s="535">
        <f t="shared" si="4"/>
        <v>4.8433499999999997E-3</v>
      </c>
      <c r="S12" s="535">
        <f t="shared" si="5"/>
        <v>0.01</v>
      </c>
      <c r="T12" s="535">
        <f t="shared" si="6"/>
        <v>7.0000000000000007E-2</v>
      </c>
      <c r="U12" s="535">
        <f t="shared" si="7"/>
        <v>0.04</v>
      </c>
      <c r="V12" s="535">
        <f t="shared" si="8"/>
        <v>0.68</v>
      </c>
      <c r="W12" s="535">
        <f t="shared" si="9"/>
        <v>1.212858E-2</v>
      </c>
      <c r="X12" s="535">
        <f t="shared" si="10"/>
        <v>0</v>
      </c>
      <c r="Y12" s="535">
        <f t="shared" si="11"/>
        <v>1.7899999999999998E-5</v>
      </c>
      <c r="Z12" s="535" t="s">
        <v>179</v>
      </c>
      <c r="AA12" s="535"/>
      <c r="AC12" s="493">
        <v>4.5</v>
      </c>
    </row>
    <row r="13" spans="1:31" x14ac:dyDescent="0.35">
      <c r="A13" s="493" t="s">
        <v>657</v>
      </c>
      <c r="B13" s="493">
        <v>0.5</v>
      </c>
      <c r="L13" s="493" t="s">
        <v>1056</v>
      </c>
      <c r="M13" s="493" t="s">
        <v>1056</v>
      </c>
      <c r="N13" s="535">
        <f t="shared" si="0"/>
        <v>8.6956000000000012E-3</v>
      </c>
      <c r="O13" s="535">
        <f t="shared" si="1"/>
        <v>1.2820500000000002E-2</v>
      </c>
      <c r="P13" s="535">
        <f t="shared" si="2"/>
        <v>7.4700000000000001E-3</v>
      </c>
      <c r="Q13" s="535">
        <f t="shared" si="3"/>
        <v>1.23423E-3</v>
      </c>
      <c r="R13" s="535">
        <f t="shared" si="4"/>
        <v>4.8433499999999997E-3</v>
      </c>
      <c r="S13" s="535">
        <f t="shared" si="5"/>
        <v>0.01</v>
      </c>
      <c r="T13" s="535">
        <f t="shared" si="6"/>
        <v>7.0000000000000007E-2</v>
      </c>
      <c r="U13" s="535">
        <f t="shared" si="7"/>
        <v>0.04</v>
      </c>
      <c r="V13" s="535">
        <f t="shared" si="8"/>
        <v>0.68</v>
      </c>
      <c r="W13" s="535">
        <f t="shared" si="9"/>
        <v>1.212858E-2</v>
      </c>
      <c r="X13" s="535">
        <f t="shared" si="10"/>
        <v>0</v>
      </c>
      <c r="Y13" s="535">
        <f t="shared" si="11"/>
        <v>1.7899999999999998E-5</v>
      </c>
      <c r="Z13" s="535" t="s">
        <v>179</v>
      </c>
      <c r="AA13" s="535"/>
      <c r="AC13" s="493">
        <v>5</v>
      </c>
    </row>
    <row r="14" spans="1:31" x14ac:dyDescent="0.35">
      <c r="A14" s="493" t="s">
        <v>331</v>
      </c>
      <c r="C14" s="493">
        <v>0.155</v>
      </c>
      <c r="L14" s="493" t="s">
        <v>1057</v>
      </c>
      <c r="M14" s="493" t="s">
        <v>1057</v>
      </c>
      <c r="N14" s="535">
        <f t="shared" si="0"/>
        <v>8.6956000000000012E-3</v>
      </c>
      <c r="O14" s="535">
        <f t="shared" si="1"/>
        <v>1.2820500000000002E-2</v>
      </c>
      <c r="P14" s="535">
        <f t="shared" si="2"/>
        <v>7.4700000000000001E-3</v>
      </c>
      <c r="Q14" s="535">
        <f t="shared" si="3"/>
        <v>1.23423E-3</v>
      </c>
      <c r="R14" s="535">
        <f t="shared" si="4"/>
        <v>4.8433499999999997E-3</v>
      </c>
      <c r="S14" s="535">
        <f t="shared" si="5"/>
        <v>0.01</v>
      </c>
      <c r="T14" s="535">
        <f t="shared" si="6"/>
        <v>7.0000000000000007E-2</v>
      </c>
      <c r="U14" s="535">
        <f t="shared" si="7"/>
        <v>0.04</v>
      </c>
      <c r="V14" s="535">
        <f t="shared" si="8"/>
        <v>0.68</v>
      </c>
      <c r="W14" s="535">
        <f t="shared" si="9"/>
        <v>1.212858E-2</v>
      </c>
      <c r="X14" s="535">
        <f t="shared" si="10"/>
        <v>0</v>
      </c>
      <c r="Y14" s="535">
        <f t="shared" si="11"/>
        <v>1.7899999999999998E-5</v>
      </c>
      <c r="Z14" s="535" t="s">
        <v>179</v>
      </c>
      <c r="AA14" s="535"/>
    </row>
    <row r="15" spans="1:31" x14ac:dyDescent="0.35">
      <c r="A15" s="493" t="s">
        <v>660</v>
      </c>
      <c r="C15" s="493">
        <v>0.5</v>
      </c>
      <c r="L15" s="493" t="s">
        <v>988</v>
      </c>
      <c r="M15" s="493" t="s">
        <v>988</v>
      </c>
      <c r="N15" s="535">
        <f t="shared" si="0"/>
        <v>1.0869500000000001E-2</v>
      </c>
      <c r="O15" s="535">
        <f t="shared" si="1"/>
        <v>1.8717930000000001E-2</v>
      </c>
      <c r="P15" s="535">
        <f t="shared" si="2"/>
        <v>1.1453999999999999E-2</v>
      </c>
      <c r="Q15" s="535">
        <f t="shared" si="3"/>
        <v>2.0981909999999997E-3</v>
      </c>
      <c r="R15" s="535">
        <f t="shared" si="4"/>
        <v>8.3951400000000006E-3</v>
      </c>
      <c r="S15" s="535">
        <f t="shared" si="5"/>
        <v>1.4999999999999999E-2</v>
      </c>
      <c r="T15" s="535">
        <f t="shared" si="6"/>
        <v>7.2000000000000008E-2</v>
      </c>
      <c r="U15" s="535">
        <f t="shared" si="7"/>
        <v>3.4000000000000002E-2</v>
      </c>
      <c r="V15" s="535">
        <f t="shared" si="8"/>
        <v>0.66</v>
      </c>
      <c r="W15" s="535">
        <f t="shared" si="9"/>
        <v>1.1564459999999999E-2</v>
      </c>
      <c r="X15" s="535">
        <f t="shared" si="10"/>
        <v>0.48</v>
      </c>
      <c r="Y15" s="535">
        <f t="shared" si="11"/>
        <v>9.4870000000000005E-5</v>
      </c>
      <c r="Z15" s="535" t="s">
        <v>1072</v>
      </c>
      <c r="AA15" s="535"/>
    </row>
    <row r="16" spans="1:31" x14ac:dyDescent="0.35">
      <c r="A16" s="493" t="s">
        <v>56</v>
      </c>
      <c r="C16" s="493">
        <v>1</v>
      </c>
      <c r="L16" s="493" t="s">
        <v>1065</v>
      </c>
      <c r="M16" s="493" t="s">
        <v>1065</v>
      </c>
      <c r="N16" s="535">
        <f t="shared" si="0"/>
        <v>8.826034E-3</v>
      </c>
      <c r="O16" s="535">
        <f t="shared" si="1"/>
        <v>1.7179470000000002E-2</v>
      </c>
      <c r="P16" s="535">
        <f t="shared" si="2"/>
        <v>1.3271699999999999E-2</v>
      </c>
      <c r="Q16" s="535">
        <f t="shared" si="3"/>
        <v>3.2912799999999994E-5</v>
      </c>
      <c r="R16" s="535">
        <f t="shared" si="4"/>
        <v>9.4283879999999994E-3</v>
      </c>
      <c r="S16" s="535">
        <f t="shared" si="5"/>
        <v>1.4999999999999999E-2</v>
      </c>
      <c r="T16" s="535">
        <f t="shared" si="6"/>
        <v>7.0000000000000007E-2</v>
      </c>
      <c r="U16" s="535">
        <f t="shared" si="7"/>
        <v>3.6000000000000004E-2</v>
      </c>
      <c r="V16" s="535">
        <f t="shared" si="8"/>
        <v>0.66299999999999992</v>
      </c>
      <c r="W16" s="535">
        <f t="shared" si="9"/>
        <v>1.12824E-2</v>
      </c>
      <c r="X16" s="535">
        <f t="shared" si="10"/>
        <v>0.76</v>
      </c>
      <c r="Y16" s="535">
        <f t="shared" si="11"/>
        <v>9.1290000000000002E-5</v>
      </c>
      <c r="Z16" s="535" t="s">
        <v>1072</v>
      </c>
      <c r="AA16" s="535"/>
    </row>
    <row r="17" spans="1:27" x14ac:dyDescent="0.35">
      <c r="A17" s="493" t="s">
        <v>357</v>
      </c>
      <c r="C17" s="493">
        <v>0.5</v>
      </c>
      <c r="L17" s="493" t="s">
        <v>989</v>
      </c>
      <c r="M17" s="493" t="s">
        <v>989</v>
      </c>
      <c r="N17" s="535">
        <f t="shared" si="0"/>
        <v>1.1347758000000001E-2</v>
      </c>
      <c r="O17" s="535">
        <f t="shared" si="1"/>
        <v>1.8589725000000001E-2</v>
      </c>
      <c r="P17" s="535">
        <f t="shared" si="2"/>
        <v>1.6334399999999999E-2</v>
      </c>
      <c r="Q17" s="535">
        <f t="shared" si="3"/>
        <v>2.8798700000000001E-3</v>
      </c>
      <c r="R17" s="535">
        <f t="shared" si="4"/>
        <v>1.5208118999999999E-2</v>
      </c>
      <c r="S17" s="535">
        <f t="shared" si="5"/>
        <v>1.8000000000000002E-2</v>
      </c>
      <c r="T17" s="535">
        <f t="shared" si="6"/>
        <v>7.2000000000000008E-2</v>
      </c>
      <c r="U17" s="535">
        <f t="shared" si="7"/>
        <v>3.4000000000000002E-2</v>
      </c>
      <c r="V17" s="535">
        <f t="shared" si="8"/>
        <v>0.67</v>
      </c>
      <c r="W17" s="535">
        <f t="shared" si="9"/>
        <v>1.5033797999999998E-2</v>
      </c>
      <c r="X17" s="535">
        <f t="shared" si="10"/>
        <v>0.48</v>
      </c>
      <c r="Y17" s="535">
        <f t="shared" si="11"/>
        <v>1.7899999999999999E-4</v>
      </c>
      <c r="Z17" s="535" t="s">
        <v>1072</v>
      </c>
      <c r="AA17" s="535"/>
    </row>
    <row r="18" spans="1:27" x14ac:dyDescent="0.35">
      <c r="A18" s="493" t="s">
        <v>795</v>
      </c>
      <c r="L18" s="493" t="s">
        <v>1068</v>
      </c>
      <c r="M18" s="493" t="s">
        <v>1068</v>
      </c>
      <c r="N18" s="535">
        <f t="shared" si="0"/>
        <v>8.6956000000000012E-3</v>
      </c>
      <c r="O18" s="535">
        <f t="shared" si="1"/>
        <v>2.076921E-2</v>
      </c>
      <c r="P18" s="535">
        <f t="shared" si="2"/>
        <v>1.1702999999999998E-2</v>
      </c>
      <c r="Q18" s="535">
        <f t="shared" si="3"/>
        <v>2.1804729999999996E-3</v>
      </c>
      <c r="R18" s="535">
        <f t="shared" si="4"/>
        <v>8.3951400000000006E-3</v>
      </c>
      <c r="S18" s="535">
        <f t="shared" si="5"/>
        <v>1.6E-2</v>
      </c>
      <c r="T18" s="535">
        <f t="shared" si="6"/>
        <v>7.0000000000000007E-2</v>
      </c>
      <c r="U18" s="535">
        <f t="shared" si="7"/>
        <v>3.5000000000000003E-2</v>
      </c>
      <c r="V18" s="535">
        <f t="shared" si="8"/>
        <v>0.67</v>
      </c>
      <c r="W18" s="535">
        <f t="shared" si="9"/>
        <v>1.12824E-2</v>
      </c>
      <c r="X18" s="535">
        <f t="shared" si="10"/>
        <v>0.52</v>
      </c>
      <c r="Y18" s="535">
        <f t="shared" si="11"/>
        <v>9.4870000000000005E-5</v>
      </c>
      <c r="Z18" s="535" t="s">
        <v>1072</v>
      </c>
      <c r="AA18" s="535"/>
    </row>
    <row r="19" spans="1:27" x14ac:dyDescent="0.35">
      <c r="L19" s="493" t="s">
        <v>991</v>
      </c>
      <c r="M19" s="493" t="s">
        <v>991</v>
      </c>
      <c r="N19" s="535">
        <f t="shared" si="0"/>
        <v>8.6956000000000012E-3</v>
      </c>
      <c r="O19" s="535">
        <f t="shared" si="1"/>
        <v>1.6666650000000002E-2</v>
      </c>
      <c r="P19" s="535">
        <f t="shared" si="2"/>
        <v>1.2449999999999999E-2</v>
      </c>
      <c r="Q19" s="535">
        <f t="shared" si="3"/>
        <v>2.46846E-3</v>
      </c>
      <c r="R19" s="535">
        <f t="shared" si="4"/>
        <v>9.6866999999999995E-3</v>
      </c>
      <c r="S19" s="535">
        <f t="shared" si="5"/>
        <v>1.3999999999999999E-2</v>
      </c>
      <c r="T19" s="535">
        <f t="shared" si="6"/>
        <v>7.2000000000000008E-2</v>
      </c>
      <c r="U19" s="535">
        <f t="shared" si="7"/>
        <v>3.5000000000000003E-2</v>
      </c>
      <c r="V19" s="535">
        <f t="shared" si="8"/>
        <v>0.66</v>
      </c>
      <c r="W19" s="535">
        <f t="shared" si="9"/>
        <v>1.1846520000000001E-2</v>
      </c>
      <c r="X19" s="535">
        <f t="shared" si="10"/>
        <v>0.48</v>
      </c>
      <c r="Y19" s="535">
        <f t="shared" si="11"/>
        <v>1.3961999999999999E-4</v>
      </c>
      <c r="Z19" s="535" t="s">
        <v>1072</v>
      </c>
      <c r="AA19" s="535"/>
    </row>
    <row r="23" spans="1:27" ht="13.2" x14ac:dyDescent="0.4">
      <c r="L23" s="953" t="s">
        <v>1145</v>
      </c>
      <c r="M23" s="953"/>
      <c r="N23" s="953"/>
      <c r="O23" s="953"/>
      <c r="P23" s="953"/>
      <c r="Q23" s="953"/>
      <c r="R23" s="953"/>
      <c r="S23" s="953"/>
      <c r="T23" s="953"/>
      <c r="U23" s="953"/>
      <c r="V23" s="953"/>
      <c r="W23" s="953"/>
      <c r="X23" s="953"/>
      <c r="Y23" s="953"/>
      <c r="Z23" s="953"/>
    </row>
    <row r="24" spans="1:27" ht="13.2" x14ac:dyDescent="0.4">
      <c r="M24" s="504" t="s">
        <v>252</v>
      </c>
      <c r="N24" s="504" t="s">
        <v>246</v>
      </c>
      <c r="O24" s="504" t="s">
        <v>247</v>
      </c>
      <c r="P24" s="504" t="s">
        <v>248</v>
      </c>
      <c r="Q24" s="504" t="s">
        <v>249</v>
      </c>
      <c r="R24" s="504" t="s">
        <v>581</v>
      </c>
      <c r="S24" s="504" t="s">
        <v>244</v>
      </c>
      <c r="T24" s="504" t="s">
        <v>582</v>
      </c>
      <c r="U24" s="504" t="s">
        <v>583</v>
      </c>
      <c r="V24" s="504" t="s">
        <v>584</v>
      </c>
    </row>
    <row r="25" spans="1:27" x14ac:dyDescent="0.35">
      <c r="M25" s="493" t="s">
        <v>355</v>
      </c>
      <c r="N25" s="493">
        <f>0.25/35</f>
        <v>7.1428571428571426E-3</v>
      </c>
      <c r="O25" s="493">
        <f>0.6/35</f>
        <v>1.7142857142857144E-2</v>
      </c>
      <c r="P25" s="493">
        <f>0.9/35</f>
        <v>2.5714285714285714E-2</v>
      </c>
      <c r="Q25" s="493">
        <f>0.2/35</f>
        <v>5.7142857142857143E-3</v>
      </c>
      <c r="R25" s="493">
        <f>0.75/35</f>
        <v>2.1428571428571429E-2</v>
      </c>
      <c r="S25" s="493">
        <f>2.6/35</f>
        <v>7.4285714285714288E-2</v>
      </c>
      <c r="T25" s="493">
        <v>0</v>
      </c>
      <c r="U25" s="493">
        <v>0</v>
      </c>
      <c r="V25" s="493">
        <v>0.28999999999999998</v>
      </c>
    </row>
    <row r="26" spans="1:27" x14ac:dyDescent="0.35">
      <c r="M26" s="493" t="s">
        <v>661</v>
      </c>
      <c r="N26" s="493">
        <f>1.9/35</f>
        <v>5.4285714285714284E-2</v>
      </c>
      <c r="O26" s="493">
        <f>2.5/35</f>
        <v>7.1428571428571425E-2</v>
      </c>
      <c r="P26" s="493">
        <f>0.225*4/35</f>
        <v>2.5714285714285714E-2</v>
      </c>
      <c r="Q26" s="493">
        <f>0.5*0.3/35</f>
        <v>4.2857142857142859E-3</v>
      </c>
      <c r="R26" s="493">
        <f>1.2/35</f>
        <v>3.4285714285714287E-2</v>
      </c>
      <c r="S26" s="493">
        <f>2.6/35</f>
        <v>7.4285714285714288E-2</v>
      </c>
      <c r="T26" s="493">
        <v>0</v>
      </c>
      <c r="U26" s="493">
        <v>0</v>
      </c>
      <c r="V26" s="493">
        <v>0.28999999999999998</v>
      </c>
    </row>
    <row r="29" spans="1:27" x14ac:dyDescent="0.35">
      <c r="N29" s="492"/>
      <c r="O29" s="492"/>
      <c r="P29" s="492"/>
      <c r="Q29" s="492"/>
      <c r="R29" s="492"/>
      <c r="S29" s="492"/>
      <c r="T29" s="492"/>
      <c r="U29" s="492"/>
      <c r="V29" s="492"/>
      <c r="W29" s="492"/>
      <c r="X29" s="492"/>
    </row>
    <row r="30" spans="1:27" x14ac:dyDescent="0.35">
      <c r="N30" s="492"/>
      <c r="O30" s="492"/>
      <c r="P30" s="492"/>
      <c r="Q30" s="492"/>
      <c r="R30" s="492"/>
      <c r="S30" s="492"/>
      <c r="T30" s="492"/>
      <c r="U30" s="492"/>
      <c r="V30" s="492"/>
      <c r="W30" s="492"/>
      <c r="X30" s="492"/>
    </row>
    <row r="31" spans="1:27" ht="13.2" x14ac:dyDescent="0.4">
      <c r="L31" s="953" t="s">
        <v>1144</v>
      </c>
      <c r="M31" s="953"/>
      <c r="N31" s="953"/>
      <c r="O31" s="953"/>
      <c r="P31" s="953"/>
      <c r="Q31" s="953"/>
      <c r="R31" s="953"/>
      <c r="S31" s="953"/>
      <c r="T31" s="953"/>
      <c r="U31" s="953"/>
      <c r="V31" s="953"/>
      <c r="W31" s="953"/>
      <c r="X31" s="953"/>
      <c r="Y31" s="953"/>
      <c r="Z31" s="953"/>
    </row>
    <row r="32" spans="1:27" ht="13.2" x14ac:dyDescent="0.4">
      <c r="M32" s="504" t="s">
        <v>965</v>
      </c>
      <c r="N32" s="504" t="s">
        <v>246</v>
      </c>
      <c r="O32" s="504" t="s">
        <v>247</v>
      </c>
      <c r="P32" s="504" t="s">
        <v>248</v>
      </c>
      <c r="Q32" s="504" t="s">
        <v>249</v>
      </c>
      <c r="R32" s="504" t="s">
        <v>581</v>
      </c>
      <c r="S32" s="504" t="s">
        <v>244</v>
      </c>
      <c r="T32" s="504" t="s">
        <v>582</v>
      </c>
      <c r="U32" s="504" t="s">
        <v>583</v>
      </c>
      <c r="V32" s="504" t="s">
        <v>584</v>
      </c>
      <c r="W32" s="513" t="s">
        <v>635</v>
      </c>
      <c r="X32" s="513" t="s">
        <v>636</v>
      </c>
      <c r="Y32" s="504" t="s">
        <v>981</v>
      </c>
    </row>
    <row r="34" spans="11:27" x14ac:dyDescent="0.35">
      <c r="L34" s="493" t="s">
        <v>585</v>
      </c>
      <c r="M34" s="493" t="s">
        <v>585</v>
      </c>
      <c r="N34" s="535">
        <f t="shared" ref="N34:N39" si="12">VLOOKUP(M34,tblVoedingPoeder,6,FALSE)*tblOmrekenNA/100</f>
        <v>8.6956000000000002E-4</v>
      </c>
      <c r="O34" s="535">
        <f t="shared" ref="O34:O39" si="13">VLOOKUP(M34,tblVoedingPoeder,7,FALSE)*tblOmrekenK/100</f>
        <v>0</v>
      </c>
      <c r="P34" s="535">
        <f t="shared" ref="P34:P39" si="14">VLOOKUP(M34,tblVoedingPoeder,8,FALSE)*tblOmrekenCa/100</f>
        <v>0</v>
      </c>
      <c r="Q34" s="535">
        <f t="shared" ref="Q34:Q39" si="15">VLOOKUP(M34,tblVoedingPoeder,10,FALSE)*tblOmrekenMg/100</f>
        <v>0</v>
      </c>
      <c r="R34" s="535">
        <f t="shared" ref="R34:R39" si="16">VLOOKUP(M34,tblVoedingPoeder,9,FALSE)*tblOmrekenP/100</f>
        <v>0</v>
      </c>
      <c r="S34" s="535">
        <f t="shared" ref="S34:S39" si="17">VLOOKUP(M34,tblVoedingPoeder,3,FALSE)/100</f>
        <v>0</v>
      </c>
      <c r="T34" s="535">
        <f t="shared" ref="T34:T39" si="18">VLOOKUP(M34,tblVoedingPoeder,4,FALSE)/100</f>
        <v>0.96</v>
      </c>
      <c r="U34" s="535">
        <f t="shared" ref="U34:U39" si="19">VLOOKUP(M34,tblVoedingPoeder,5,FALSE)/100</f>
        <v>0</v>
      </c>
      <c r="V34" s="535">
        <f t="shared" ref="V34:V39" si="20">VLOOKUP(M34,tblVoedingPoeder,2,FALSE)/100</f>
        <v>3.84</v>
      </c>
      <c r="W34" s="535">
        <f t="shared" ref="W34:W39" si="21">VLOOKUP(M34,tblVoedingPoeder,13,FALSE)*tblOmrekenCl/100</f>
        <v>0</v>
      </c>
      <c r="X34" s="535">
        <f t="shared" ref="X34:X39" si="22">VLOOKUP(M34,tblVoedingPoeder,12,FALSE)*tblOmrekenVitD/100</f>
        <v>0</v>
      </c>
      <c r="Y34" s="535">
        <f t="shared" ref="Y34:Y39" si="23">VLOOKUP(M34,tblVoedingPoeder,11,FALSE)*tblOmrekenFe/100</f>
        <v>0</v>
      </c>
    </row>
    <row r="35" spans="11:27" x14ac:dyDescent="0.35">
      <c r="L35" s="493" t="s">
        <v>641</v>
      </c>
      <c r="M35" s="493" t="s">
        <v>1116</v>
      </c>
      <c r="N35" s="535">
        <f t="shared" si="12"/>
        <v>5.43475E-2</v>
      </c>
      <c r="O35" s="535">
        <f t="shared" si="13"/>
        <v>0.12846141</v>
      </c>
      <c r="P35" s="535">
        <f t="shared" si="14"/>
        <v>0.10408199999999999</v>
      </c>
      <c r="Q35" s="535">
        <f t="shared" si="15"/>
        <v>1.522217E-2</v>
      </c>
      <c r="R35" s="535">
        <f t="shared" si="16"/>
        <v>7.6524929999999991E-2</v>
      </c>
      <c r="S35" s="535">
        <f t="shared" si="17"/>
        <v>9.6999999999999989E-2</v>
      </c>
      <c r="T35" s="535">
        <f t="shared" si="18"/>
        <v>0.53799999999999992</v>
      </c>
      <c r="U35" s="535">
        <f t="shared" si="19"/>
        <v>0.247</v>
      </c>
      <c r="V35" s="535">
        <f t="shared" si="20"/>
        <v>4.84</v>
      </c>
      <c r="W35" s="535">
        <f t="shared" si="21"/>
        <v>8.5746240000000001E-2</v>
      </c>
      <c r="X35" s="535">
        <f t="shared" si="22"/>
        <v>3.48</v>
      </c>
      <c r="Y35" s="535">
        <f t="shared" si="23"/>
        <v>6.981E-4</v>
      </c>
    </row>
    <row r="36" spans="11:27" x14ac:dyDescent="0.35">
      <c r="L36" s="493" t="s">
        <v>644</v>
      </c>
      <c r="M36" s="493" t="s">
        <v>1000</v>
      </c>
      <c r="N36" s="535">
        <f t="shared" si="12"/>
        <v>0.1804337</v>
      </c>
      <c r="O36" s="535">
        <f t="shared" si="13"/>
        <v>0.12153833999999999</v>
      </c>
      <c r="P36" s="535">
        <f t="shared" si="14"/>
        <v>0.14765699999999998</v>
      </c>
      <c r="Q36" s="535">
        <f t="shared" si="15"/>
        <v>1.9336269999999999E-2</v>
      </c>
      <c r="R36" s="535">
        <f t="shared" si="16"/>
        <v>0.10719947999999999</v>
      </c>
      <c r="S36" s="535">
        <f t="shared" si="17"/>
        <v>0.156</v>
      </c>
      <c r="T36" s="535">
        <f t="shared" si="18"/>
        <v>0.22899999999999998</v>
      </c>
      <c r="U36" s="535">
        <f t="shared" si="19"/>
        <v>0.498</v>
      </c>
      <c r="V36" s="535">
        <f t="shared" si="20"/>
        <v>4.74</v>
      </c>
      <c r="W36" s="535">
        <f t="shared" si="21"/>
        <v>0.14215823999999999</v>
      </c>
      <c r="X36" s="535">
        <f t="shared" si="22"/>
        <v>7.2</v>
      </c>
      <c r="Y36" s="535">
        <f t="shared" si="23"/>
        <v>1.7004999999999998E-3</v>
      </c>
    </row>
    <row r="37" spans="11:27" x14ac:dyDescent="0.35">
      <c r="L37" s="493" t="s">
        <v>649</v>
      </c>
      <c r="M37" s="493" t="s">
        <v>1001</v>
      </c>
      <c r="N37" s="535">
        <f t="shared" si="12"/>
        <v>0.33738928000000001</v>
      </c>
      <c r="O37" s="535">
        <f t="shared" si="13"/>
        <v>0.31435866000000001</v>
      </c>
      <c r="P37" s="535">
        <f t="shared" si="14"/>
        <v>0.13047599999999998</v>
      </c>
      <c r="Q37" s="535">
        <f t="shared" si="15"/>
        <v>1.8924859999999998E-2</v>
      </c>
      <c r="R37" s="535">
        <f t="shared" si="16"/>
        <v>0.16661123999999997</v>
      </c>
      <c r="S37" s="535">
        <f t="shared" si="17"/>
        <v>0.82099999999999995</v>
      </c>
      <c r="T37" s="535">
        <f t="shared" si="18"/>
        <v>2.2000000000000002E-2</v>
      </c>
      <c r="U37" s="535">
        <f t="shared" si="19"/>
        <v>1E-3</v>
      </c>
      <c r="V37" s="535">
        <f t="shared" si="20"/>
        <v>3.38</v>
      </c>
      <c r="W37" s="535">
        <f t="shared" si="21"/>
        <v>1.8615959999999997E-2</v>
      </c>
      <c r="X37" s="535">
        <f t="shared" si="22"/>
        <v>0</v>
      </c>
      <c r="Y37" s="535">
        <f t="shared" si="23"/>
        <v>0</v>
      </c>
    </row>
    <row r="38" spans="11:27" x14ac:dyDescent="0.35">
      <c r="L38" s="493" t="s">
        <v>651</v>
      </c>
      <c r="M38" s="493" t="s">
        <v>1002</v>
      </c>
      <c r="N38" s="535">
        <f t="shared" si="12"/>
        <v>3.04346E-3</v>
      </c>
      <c r="O38" s="535">
        <f t="shared" si="13"/>
        <v>0</v>
      </c>
      <c r="P38" s="535">
        <f t="shared" si="14"/>
        <v>0</v>
      </c>
      <c r="Q38" s="535">
        <f t="shared" si="15"/>
        <v>0</v>
      </c>
      <c r="R38" s="535">
        <f t="shared" si="16"/>
        <v>0</v>
      </c>
      <c r="S38" s="535">
        <f t="shared" si="17"/>
        <v>0</v>
      </c>
      <c r="T38" s="535">
        <f t="shared" si="18"/>
        <v>0</v>
      </c>
      <c r="U38" s="535">
        <f t="shared" si="19"/>
        <v>0.5</v>
      </c>
      <c r="V38" s="535">
        <f t="shared" si="20"/>
        <v>4.5</v>
      </c>
      <c r="W38" s="535">
        <f t="shared" si="21"/>
        <v>2.8206000000000001E-5</v>
      </c>
      <c r="X38" s="535">
        <f t="shared" si="22"/>
        <v>0</v>
      </c>
      <c r="Y38" s="535">
        <f t="shared" si="23"/>
        <v>0</v>
      </c>
    </row>
    <row r="39" spans="11:27" x14ac:dyDescent="0.35">
      <c r="L39" s="493" t="s">
        <v>1061</v>
      </c>
      <c r="M39" s="493" t="s">
        <v>1061</v>
      </c>
      <c r="N39" s="535">
        <f t="shared" si="12"/>
        <v>2.6086799999999999E-3</v>
      </c>
      <c r="O39" s="535">
        <f t="shared" si="13"/>
        <v>2.3333310000000003E-2</v>
      </c>
      <c r="P39" s="535">
        <f t="shared" si="14"/>
        <v>8.3415000000000003E-2</v>
      </c>
      <c r="Q39" s="535">
        <f t="shared" si="15"/>
        <v>3.7438309999999995E-3</v>
      </c>
      <c r="R39" s="535">
        <f t="shared" si="16"/>
        <v>3.8746799999999997E-3</v>
      </c>
      <c r="S39" s="535">
        <f t="shared" si="17"/>
        <v>0</v>
      </c>
      <c r="T39" s="535">
        <f t="shared" si="18"/>
        <v>0.66200000000000003</v>
      </c>
      <c r="U39" s="535">
        <f t="shared" si="19"/>
        <v>3.0000000000000001E-3</v>
      </c>
      <c r="V39" s="535">
        <f t="shared" si="20"/>
        <v>3.18</v>
      </c>
      <c r="W39" s="535">
        <f t="shared" si="21"/>
        <v>3.0744539999999997E-2</v>
      </c>
      <c r="X39" s="535">
        <f t="shared" si="22"/>
        <v>0</v>
      </c>
      <c r="Y39" s="535">
        <f t="shared" si="23"/>
        <v>1.5751999999999999E-3</v>
      </c>
    </row>
    <row r="40" spans="11:27" x14ac:dyDescent="0.35">
      <c r="Z40" s="537"/>
      <c r="AA40" s="537"/>
    </row>
    <row r="41" spans="11:27" x14ac:dyDescent="0.35">
      <c r="K41" s="537"/>
    </row>
    <row r="42" spans="11:27" ht="13.2" x14ac:dyDescent="0.4">
      <c r="L42" s="953" t="s">
        <v>1143</v>
      </c>
      <c r="M42" s="953"/>
      <c r="N42" s="953"/>
      <c r="O42" s="953"/>
      <c r="P42" s="953"/>
      <c r="Q42" s="953"/>
      <c r="R42" s="953"/>
      <c r="S42" s="953"/>
      <c r="T42" s="953"/>
      <c r="U42" s="953"/>
      <c r="V42" s="953"/>
      <c r="W42" s="953"/>
      <c r="X42" s="953"/>
      <c r="Y42" s="953"/>
      <c r="Z42" s="953"/>
    </row>
    <row r="43" spans="11:27" ht="13.2" x14ac:dyDescent="0.4">
      <c r="M43" s="504" t="s">
        <v>966</v>
      </c>
      <c r="N43" s="504" t="s">
        <v>246</v>
      </c>
      <c r="O43" s="504" t="s">
        <v>247</v>
      </c>
      <c r="P43" s="504" t="s">
        <v>248</v>
      </c>
      <c r="Q43" s="504" t="s">
        <v>249</v>
      </c>
      <c r="R43" s="504" t="s">
        <v>581</v>
      </c>
      <c r="S43" s="504" t="s">
        <v>244</v>
      </c>
      <c r="T43" s="504" t="s">
        <v>582</v>
      </c>
      <c r="U43" s="504" t="s">
        <v>583</v>
      </c>
      <c r="V43" s="504" t="s">
        <v>584</v>
      </c>
      <c r="W43" s="513" t="s">
        <v>635</v>
      </c>
      <c r="X43" s="513" t="s">
        <v>636</v>
      </c>
      <c r="Y43" s="504" t="s">
        <v>981</v>
      </c>
    </row>
    <row r="45" spans="11:27" x14ac:dyDescent="0.35">
      <c r="L45" s="493" t="s">
        <v>967</v>
      </c>
      <c r="M45" s="493" t="s">
        <v>1002</v>
      </c>
      <c r="N45" s="535">
        <f>VLOOKUP(M45,tblVoedingPoeder,6,FALSE)*tblOmrekenNA/100</f>
        <v>3.04346E-3</v>
      </c>
      <c r="O45" s="535">
        <f>VLOOKUP(M45,tblVoedingPoeder,7,FALSE)*tblOmrekenK/100</f>
        <v>0</v>
      </c>
      <c r="P45" s="535">
        <f>VLOOKUP(M45,tblVoedingPoeder,8,FALSE)*tblOmrekenCa/100</f>
        <v>0</v>
      </c>
      <c r="Q45" s="535">
        <f>VLOOKUP(M45,tblVoedingPoeder,10,FALSE)*tblOmrekenMg/100</f>
        <v>0</v>
      </c>
      <c r="R45" s="535">
        <f>VLOOKUP(M45,tblVoedingPoeder,9,FALSE)*tblOmrekenP/100</f>
        <v>0</v>
      </c>
      <c r="S45" s="535">
        <f>VLOOKUP(M45,tblVoedingPoeder,3,FALSE)/100</f>
        <v>0</v>
      </c>
      <c r="T45" s="535">
        <f>VLOOKUP(M45,tblVoedingPoeder,4,FALSE)/100</f>
        <v>0</v>
      </c>
      <c r="U45" s="535">
        <f>VLOOKUP(M45,tblVoedingPoeder,5,FALSE)/100</f>
        <v>0.5</v>
      </c>
      <c r="V45" s="535">
        <f>VLOOKUP(M45,tblVoedingPoeder,2,FALSE)/100</f>
        <v>4.5</v>
      </c>
      <c r="W45" s="535">
        <f>VLOOKUP(M45,tblVoedingPoeder,13,FALSE)*tblOmrekenCl/100</f>
        <v>2.8206000000000001E-5</v>
      </c>
      <c r="X45" s="535">
        <f>VLOOKUP(M45,tblVoedingPoeder,12,FALSE)*tblOmrekenVitD/100</f>
        <v>0</v>
      </c>
      <c r="Y45" s="535">
        <f>VLOOKUP(M45,tblVoedingPoeder,11,FALSE)*tblOmrekenFe/100</f>
        <v>0</v>
      </c>
      <c r="Z45" s="494"/>
      <c r="AA45" s="494"/>
    </row>
    <row r="46" spans="11:27" x14ac:dyDescent="0.35">
      <c r="L46" s="493" t="s">
        <v>968</v>
      </c>
      <c r="M46" s="493" t="s">
        <v>585</v>
      </c>
      <c r="N46" s="535">
        <f>VLOOKUP(M46,tblVoedingPoeder,6,FALSE)*tblOmrekenNA/100</f>
        <v>8.6956000000000002E-4</v>
      </c>
      <c r="O46" s="535">
        <f>VLOOKUP(M46,tblVoedingPoeder,7,FALSE)*tblOmrekenK/100</f>
        <v>0</v>
      </c>
      <c r="P46" s="535">
        <f>VLOOKUP(M46,tblVoedingPoeder,8,FALSE)*tblOmrekenCa/100</f>
        <v>0</v>
      </c>
      <c r="Q46" s="535">
        <f>VLOOKUP(M46,tblVoedingPoeder,10,FALSE)*tblOmrekenMg/100</f>
        <v>0</v>
      </c>
      <c r="R46" s="535">
        <f>VLOOKUP(M46,tblVoedingPoeder,9,FALSE)*tblOmrekenP/100</f>
        <v>0</v>
      </c>
      <c r="S46" s="535">
        <f>VLOOKUP(M46,tblVoedingPoeder,3,FALSE)/100</f>
        <v>0</v>
      </c>
      <c r="T46" s="535">
        <f>VLOOKUP(M46,tblVoedingPoeder,4,FALSE)/100</f>
        <v>0.96</v>
      </c>
      <c r="U46" s="535">
        <f>VLOOKUP(M46,tblVoedingPoeder,5,FALSE)/100</f>
        <v>0</v>
      </c>
      <c r="V46" s="535">
        <f>VLOOKUP(M46,tblVoedingPoeder,2,FALSE)/100</f>
        <v>3.84</v>
      </c>
      <c r="W46" s="535">
        <f>VLOOKUP(M46,tblVoedingPoeder,13,FALSE)*tblOmrekenCl/100</f>
        <v>0</v>
      </c>
      <c r="X46" s="535">
        <f>VLOOKUP(M46,tblVoedingPoeder,12,FALSE)*tblOmrekenVitD/100</f>
        <v>0</v>
      </c>
      <c r="Y46" s="535">
        <f>VLOOKUP(M46,tblVoedingPoeder,11,FALSE)*tblOmrekenFe/100</f>
        <v>0</v>
      </c>
      <c r="Z46" s="494"/>
      <c r="AA46" s="494"/>
    </row>
    <row r="47" spans="11:27" x14ac:dyDescent="0.35">
      <c r="L47" s="493" t="s">
        <v>969</v>
      </c>
      <c r="M47" s="493" t="s">
        <v>1000</v>
      </c>
      <c r="N47" s="535">
        <f>VLOOKUP(M47,tblVoedingPoeder,6,FALSE)*tblOmrekenNA/100</f>
        <v>0.1804337</v>
      </c>
      <c r="O47" s="535">
        <f>VLOOKUP(M47,tblVoedingPoeder,7,FALSE)*tblOmrekenK/100</f>
        <v>0.12153833999999999</v>
      </c>
      <c r="P47" s="535">
        <f>VLOOKUP(M47,tblVoedingPoeder,8,FALSE)*tblOmrekenCa/100</f>
        <v>0.14765699999999998</v>
      </c>
      <c r="Q47" s="535">
        <f>VLOOKUP(M47,tblVoedingPoeder,10,FALSE)*tblOmrekenMg/100</f>
        <v>1.9336269999999999E-2</v>
      </c>
      <c r="R47" s="535">
        <f>VLOOKUP(M47,tblVoedingPoeder,9,FALSE)*tblOmrekenP/100</f>
        <v>0.10719947999999999</v>
      </c>
      <c r="S47" s="535">
        <f>VLOOKUP(M47,tblVoedingPoeder,3,FALSE)/100</f>
        <v>0.156</v>
      </c>
      <c r="T47" s="535">
        <f>VLOOKUP(M47,tblVoedingPoeder,4,FALSE)/100</f>
        <v>0.22899999999999998</v>
      </c>
      <c r="U47" s="535">
        <f>VLOOKUP(M47,tblVoedingPoeder,5,FALSE)/100</f>
        <v>0.498</v>
      </c>
      <c r="V47" s="535">
        <f>VLOOKUP(M47,tblVoedingPoeder,2,FALSE)/100</f>
        <v>4.74</v>
      </c>
      <c r="W47" s="535">
        <f>VLOOKUP(M47,tblVoedingPoeder,13,FALSE)*tblOmrekenCl/100</f>
        <v>0.14215823999999999</v>
      </c>
      <c r="X47" s="535">
        <f>VLOOKUP(M47,tblVoedingPoeder,12,FALSE)*tblOmrekenVitD/100</f>
        <v>7.2</v>
      </c>
      <c r="Y47" s="535">
        <f>VLOOKUP(M47,tblVoedingPoeder,11,FALSE)*tblOmrekenFe/100</f>
        <v>1.7004999999999998E-3</v>
      </c>
      <c r="Z47" s="494"/>
      <c r="AA47" s="494"/>
    </row>
    <row r="48" spans="11:27" x14ac:dyDescent="0.35">
      <c r="L48" s="493" t="s">
        <v>970</v>
      </c>
      <c r="M48" s="493" t="s">
        <v>1061</v>
      </c>
      <c r="N48" s="535">
        <f>VLOOKUP(M48,tblVoedingPoeder,6,FALSE)*tblOmrekenNA/100</f>
        <v>2.6086799999999999E-3</v>
      </c>
      <c r="O48" s="535">
        <f>VLOOKUP(M48,tblVoedingPoeder,7,FALSE)*tblOmrekenK/100</f>
        <v>2.3333310000000003E-2</v>
      </c>
      <c r="P48" s="535">
        <f>VLOOKUP(M48,tblVoedingPoeder,8,FALSE)*tblOmrekenCa/100</f>
        <v>8.3415000000000003E-2</v>
      </c>
      <c r="Q48" s="535">
        <f>VLOOKUP(M48,tblVoedingPoeder,10,FALSE)*tblOmrekenMg/100</f>
        <v>3.7438309999999995E-3</v>
      </c>
      <c r="R48" s="535">
        <f>VLOOKUP(M48,tblVoedingPoeder,9,FALSE)*tblOmrekenP/100</f>
        <v>3.8746799999999997E-3</v>
      </c>
      <c r="S48" s="535">
        <f>VLOOKUP(M48,tblVoedingPoeder,3,FALSE)/100</f>
        <v>0</v>
      </c>
      <c r="T48" s="535">
        <f>VLOOKUP(M48,tblVoedingPoeder,4,FALSE)/100</f>
        <v>0.66200000000000003</v>
      </c>
      <c r="U48" s="535">
        <f>VLOOKUP(M48,tblVoedingPoeder,5,FALSE)/100</f>
        <v>3.0000000000000001E-3</v>
      </c>
      <c r="V48" s="535">
        <f>VLOOKUP(M48,tblVoedingPoeder,2,FALSE)/100</f>
        <v>3.18</v>
      </c>
      <c r="W48" s="535">
        <f>VLOOKUP(M48,tblVoedingPoeder,13,FALSE)*tblOmrekenCl/100</f>
        <v>3.0744539999999997E-2</v>
      </c>
      <c r="X48" s="535">
        <f>VLOOKUP(M48,tblVoedingPoeder,12,FALSE)*tblOmrekenVitD/100</f>
        <v>0</v>
      </c>
      <c r="Y48" s="535">
        <f>VLOOKUP(M48,tblVoedingPoeder,11,FALSE)*tblOmrekenFe/100</f>
        <v>1.5751999999999999E-3</v>
      </c>
      <c r="Z48" s="494"/>
      <c r="AA48" s="494"/>
    </row>
    <row r="49" spans="1:27" x14ac:dyDescent="0.35">
      <c r="M49" s="537"/>
      <c r="P49" s="496"/>
      <c r="Q49" s="496"/>
      <c r="W49" s="496"/>
      <c r="Y49" s="494"/>
      <c r="Z49" s="494"/>
      <c r="AA49" s="494"/>
    </row>
    <row r="50" spans="1:27" ht="13.2" x14ac:dyDescent="0.4">
      <c r="L50" s="953" t="s">
        <v>1146</v>
      </c>
      <c r="M50" s="953"/>
      <c r="N50" s="953"/>
      <c r="O50" s="953"/>
      <c r="P50" s="953"/>
      <c r="Q50" s="953"/>
      <c r="R50" s="953"/>
      <c r="S50" s="953"/>
      <c r="T50" s="953"/>
      <c r="U50" s="953"/>
      <c r="V50" s="953"/>
      <c r="W50" s="953"/>
      <c r="X50" s="953"/>
      <c r="Y50" s="953"/>
      <c r="Z50" s="953"/>
      <c r="AA50" s="494"/>
    </row>
    <row r="51" spans="1:27" ht="13.2" x14ac:dyDescent="0.4">
      <c r="M51" s="504"/>
      <c r="N51" s="504" t="s">
        <v>246</v>
      </c>
      <c r="O51" s="504" t="s">
        <v>247</v>
      </c>
      <c r="P51" s="504" t="s">
        <v>248</v>
      </c>
      <c r="Q51" s="504" t="s">
        <v>249</v>
      </c>
      <c r="R51" s="504" t="s">
        <v>581</v>
      </c>
      <c r="S51" s="504" t="s">
        <v>244</v>
      </c>
      <c r="T51" s="504" t="s">
        <v>582</v>
      </c>
      <c r="U51" s="504" t="s">
        <v>583</v>
      </c>
      <c r="V51" s="504" t="s">
        <v>584</v>
      </c>
      <c r="W51" s="556" t="s">
        <v>635</v>
      </c>
      <c r="X51" s="556" t="s">
        <v>636</v>
      </c>
      <c r="Y51" s="504" t="s">
        <v>981</v>
      </c>
      <c r="Z51" s="494"/>
      <c r="AA51" s="494"/>
    </row>
    <row r="52" spans="1:27" x14ac:dyDescent="0.35">
      <c r="L52" s="493" t="s">
        <v>647</v>
      </c>
      <c r="M52" s="493" t="s">
        <v>647</v>
      </c>
      <c r="N52" s="535">
        <f>VLOOKUP(M52,tblVoedingPoeder,6,FALSE)*tblOmrekenNA/100</f>
        <v>0.34912834000000004</v>
      </c>
      <c r="O52" s="535">
        <f>VLOOKUP(M52,tblVoedingPoeder,7,FALSE)*tblOmrekenK/100</f>
        <v>0.13538448</v>
      </c>
      <c r="P52" s="535">
        <f>VLOOKUP(M52,tblVoedingPoeder,8,FALSE)*tblOmrekenCa/100</f>
        <v>0.37125899999999995</v>
      </c>
      <c r="Q52" s="535">
        <f>VLOOKUP(M52,tblVoedingPoeder,10,FALSE)*tblOmrekenMg/100</f>
        <v>4.7312149999999997E-2</v>
      </c>
      <c r="R52" s="535">
        <f>VLOOKUP(M52,tblVoedingPoeder,9,FALSE)*tblOmrekenP/100</f>
        <v>0.28156007999999999</v>
      </c>
      <c r="S52" s="535">
        <f>VLOOKUP(M52,tblVoedingPoeder,3,FALSE)/100</f>
        <v>0.252</v>
      </c>
      <c r="T52" s="535">
        <f>VLOOKUP(M52,tblVoedingPoeder,4,FALSE)/100</f>
        <v>0.622</v>
      </c>
      <c r="U52" s="535">
        <f>VLOOKUP(M52,tblVoedingPoeder,5,FALSE)/100</f>
        <v>0</v>
      </c>
      <c r="V52" s="535">
        <f>VLOOKUP(M52,tblVoedingPoeder,2,FALSE)/100</f>
        <v>3.47</v>
      </c>
      <c r="W52" s="535">
        <f>VLOOKUP(M52,tblVoedingPoeder,13,FALSE)*tblOmrekenCl/100</f>
        <v>0.16162037999999998</v>
      </c>
      <c r="X52" s="535">
        <f>VLOOKUP(M52,tblVoedingPoeder,12,FALSE)*tblOmrekenVitD/100</f>
        <v>46</v>
      </c>
      <c r="Y52" s="535">
        <f>VLOOKUP(M52,tblVoedingPoeder,11,FALSE)*tblOmrekenFe/100</f>
        <v>0</v>
      </c>
      <c r="Z52" s="494"/>
      <c r="AA52" s="494"/>
    </row>
    <row r="53" spans="1:27" x14ac:dyDescent="0.35">
      <c r="M53" s="494"/>
      <c r="N53" s="481"/>
      <c r="O53" s="481"/>
      <c r="P53" s="481"/>
      <c r="Q53" s="481"/>
      <c r="R53" s="481"/>
      <c r="S53" s="481"/>
      <c r="T53" s="481"/>
      <c r="U53" s="481"/>
      <c r="V53" s="481"/>
      <c r="W53" s="481"/>
      <c r="X53" s="481"/>
      <c r="Y53" s="481"/>
      <c r="Z53" s="481"/>
      <c r="AA53" s="481"/>
    </row>
    <row r="54" spans="1:27" x14ac:dyDescent="0.35">
      <c r="A54" s="494"/>
      <c r="B54" s="494"/>
      <c r="C54" s="494"/>
      <c r="D54" s="494"/>
      <c r="E54" s="494"/>
      <c r="F54" s="494"/>
      <c r="G54" s="494"/>
      <c r="H54" s="494"/>
      <c r="M54" s="494"/>
      <c r="N54" s="481"/>
      <c r="O54" s="481"/>
      <c r="P54" s="481"/>
      <c r="Q54" s="481"/>
      <c r="R54" s="481"/>
      <c r="S54" s="481"/>
      <c r="T54" s="481"/>
      <c r="U54" s="481"/>
      <c r="V54" s="481"/>
      <c r="W54" s="481"/>
      <c r="X54" s="481"/>
      <c r="Y54" s="481"/>
      <c r="Z54" s="481"/>
      <c r="AA54" s="481"/>
    </row>
    <row r="55" spans="1:27" x14ac:dyDescent="0.35">
      <c r="A55" s="494"/>
      <c r="B55" s="494"/>
      <c r="C55" s="494"/>
      <c r="D55" s="494"/>
      <c r="E55" s="494"/>
      <c r="F55" s="494"/>
      <c r="G55" s="494"/>
      <c r="H55" s="494"/>
      <c r="L55" s="494"/>
      <c r="M55" s="494"/>
      <c r="N55" s="481"/>
      <c r="O55" s="481"/>
      <c r="P55" s="481"/>
      <c r="Q55" s="481"/>
      <c r="R55" s="481"/>
      <c r="S55" s="481"/>
      <c r="T55" s="481"/>
      <c r="U55" s="481"/>
      <c r="V55" s="481"/>
      <c r="W55" s="481"/>
      <c r="X55" s="481"/>
      <c r="Y55" s="481"/>
      <c r="Z55" s="481"/>
      <c r="AA55" s="481"/>
    </row>
    <row r="56" spans="1:27" x14ac:dyDescent="0.35">
      <c r="A56" s="494"/>
      <c r="B56" s="494"/>
      <c r="C56" s="494"/>
      <c r="D56" s="494"/>
      <c r="E56" s="494"/>
      <c r="F56" s="494"/>
      <c r="G56" s="494"/>
      <c r="H56" s="494"/>
      <c r="I56" s="494"/>
      <c r="J56" s="494"/>
      <c r="K56" s="494"/>
      <c r="L56" s="494"/>
      <c r="M56" s="494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1"/>
      <c r="Y56" s="481"/>
      <c r="Z56" s="481"/>
      <c r="AA56" s="481"/>
    </row>
    <row r="57" spans="1:27" x14ac:dyDescent="0.35">
      <c r="A57" s="494"/>
      <c r="B57" s="494"/>
      <c r="C57" s="494"/>
      <c r="D57" s="494"/>
      <c r="E57" s="494"/>
      <c r="F57" s="494"/>
      <c r="G57" s="494"/>
      <c r="H57" s="494"/>
      <c r="I57" s="494"/>
      <c r="J57" s="494"/>
      <c r="K57" s="494"/>
      <c r="L57" s="494"/>
      <c r="M57" s="494"/>
      <c r="N57" s="481"/>
      <c r="O57" s="481"/>
      <c r="P57" s="481"/>
      <c r="Q57" s="481"/>
      <c r="R57" s="481"/>
      <c r="S57" s="481"/>
      <c r="T57" s="481"/>
      <c r="U57" s="481"/>
      <c r="V57" s="481"/>
      <c r="W57" s="481"/>
      <c r="X57" s="481"/>
      <c r="Y57" s="481"/>
      <c r="Z57" s="481"/>
      <c r="AA57" s="481"/>
    </row>
    <row r="58" spans="1:27" x14ac:dyDescent="0.35">
      <c r="A58" s="494"/>
      <c r="B58" s="494"/>
      <c r="C58" s="494"/>
      <c r="D58" s="494"/>
      <c r="E58" s="494"/>
      <c r="F58" s="494"/>
      <c r="G58" s="494"/>
      <c r="H58" s="494"/>
      <c r="I58" s="494"/>
      <c r="J58" s="494"/>
      <c r="K58" s="494"/>
      <c r="L58" s="494"/>
      <c r="P58" s="496"/>
      <c r="Q58" s="496"/>
      <c r="W58" s="482"/>
      <c r="X58" s="495"/>
      <c r="Y58" s="494"/>
      <c r="Z58" s="481"/>
      <c r="AA58" s="481"/>
    </row>
    <row r="59" spans="1:27" x14ac:dyDescent="0.35">
      <c r="A59" s="494"/>
      <c r="B59" s="494"/>
      <c r="C59" s="494"/>
      <c r="D59" s="494"/>
      <c r="E59" s="494"/>
      <c r="F59" s="494"/>
      <c r="G59" s="494"/>
      <c r="H59" s="494"/>
      <c r="I59" s="494"/>
      <c r="J59" s="494"/>
      <c r="K59" s="494"/>
      <c r="L59" s="494"/>
      <c r="P59" s="496"/>
      <c r="Q59" s="496"/>
      <c r="W59" s="492"/>
      <c r="Y59" s="494"/>
      <c r="Z59" s="494"/>
      <c r="AA59" s="494"/>
    </row>
    <row r="60" spans="1:27" x14ac:dyDescent="0.35">
      <c r="A60" s="494"/>
      <c r="B60" s="494"/>
      <c r="C60" s="494"/>
      <c r="D60" s="494"/>
      <c r="E60" s="494"/>
      <c r="F60" s="494"/>
      <c r="G60" s="494"/>
      <c r="H60" s="494"/>
      <c r="I60" s="494"/>
      <c r="J60" s="494"/>
      <c r="K60" s="494"/>
      <c r="L60" s="494"/>
      <c r="P60" s="496"/>
      <c r="Q60" s="496"/>
      <c r="W60" s="492"/>
      <c r="Y60" s="494"/>
      <c r="Z60" s="494"/>
      <c r="AA60" s="494"/>
    </row>
    <row r="61" spans="1:27" x14ac:dyDescent="0.35">
      <c r="A61" s="494"/>
      <c r="B61" s="494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P61" s="496"/>
      <c r="Q61" s="496"/>
      <c r="W61" s="492"/>
      <c r="Y61" s="494"/>
      <c r="Z61" s="494"/>
      <c r="AA61" s="494"/>
    </row>
    <row r="62" spans="1:27" ht="13.2" x14ac:dyDescent="0.4">
      <c r="A62" s="494"/>
      <c r="B62" s="494"/>
      <c r="C62" s="494"/>
      <c r="D62" s="494"/>
      <c r="E62" s="494"/>
      <c r="F62" s="494"/>
      <c r="G62" s="494"/>
      <c r="H62" s="494"/>
      <c r="I62" s="494"/>
      <c r="J62" s="494"/>
      <c r="K62" s="494"/>
      <c r="L62" s="494"/>
      <c r="M62" s="536"/>
      <c r="N62" s="536"/>
      <c r="Z62" s="494"/>
      <c r="AA62" s="494"/>
    </row>
    <row r="63" spans="1:27" x14ac:dyDescent="0.35">
      <c r="A63" s="494"/>
      <c r="B63" s="494"/>
      <c r="C63" s="494"/>
      <c r="D63" s="494"/>
      <c r="E63" s="494"/>
      <c r="F63" s="494"/>
      <c r="G63" s="494"/>
      <c r="H63" s="494"/>
      <c r="I63" s="494"/>
      <c r="J63" s="494"/>
      <c r="K63" s="494"/>
      <c r="L63" s="494"/>
      <c r="M63" s="451"/>
    </row>
    <row r="64" spans="1:27" x14ac:dyDescent="0.35">
      <c r="A64" s="494"/>
      <c r="B64" s="494"/>
      <c r="C64" s="494"/>
      <c r="D64" s="494"/>
      <c r="E64" s="494"/>
      <c r="F64" s="494"/>
      <c r="G64" s="494"/>
      <c r="H64" s="494"/>
      <c r="I64" s="494"/>
      <c r="J64" s="494"/>
      <c r="K64" s="494"/>
      <c r="L64" s="494"/>
    </row>
    <row r="65" spans="1:27" x14ac:dyDescent="0.35">
      <c r="A65" s="494"/>
      <c r="B65" s="494"/>
      <c r="C65" s="494"/>
      <c r="D65" s="494"/>
      <c r="E65" s="494"/>
      <c r="F65" s="494"/>
      <c r="G65" s="494"/>
      <c r="H65" s="494"/>
      <c r="I65" s="494"/>
      <c r="J65" s="494"/>
      <c r="K65" s="494"/>
      <c r="L65" s="494"/>
      <c r="N65" s="537"/>
      <c r="O65" s="537"/>
      <c r="P65" s="537"/>
      <c r="Q65" s="537"/>
      <c r="R65" s="537"/>
      <c r="S65" s="537"/>
      <c r="T65" s="537"/>
      <c r="U65" s="537"/>
      <c r="V65" s="537"/>
      <c r="W65" s="537"/>
      <c r="X65" s="537"/>
      <c r="Y65" s="537"/>
    </row>
    <row r="66" spans="1:27" x14ac:dyDescent="0.35">
      <c r="A66" s="494"/>
      <c r="B66" s="494"/>
      <c r="C66" s="494"/>
      <c r="D66" s="494"/>
      <c r="E66" s="494"/>
      <c r="F66" s="494"/>
      <c r="G66" s="494"/>
      <c r="H66" s="494"/>
      <c r="I66" s="494"/>
      <c r="J66" s="494"/>
      <c r="K66" s="494"/>
      <c r="L66" s="494"/>
      <c r="P66" s="496"/>
      <c r="Q66" s="496"/>
      <c r="W66" s="497"/>
      <c r="X66" s="494"/>
      <c r="Y66" s="494"/>
      <c r="Z66" s="537"/>
      <c r="AA66" s="537"/>
    </row>
    <row r="67" spans="1:27" x14ac:dyDescent="0.35">
      <c r="A67" s="494"/>
      <c r="B67" s="494"/>
      <c r="C67" s="494"/>
      <c r="D67" s="494"/>
      <c r="E67" s="494"/>
      <c r="F67" s="494"/>
      <c r="G67" s="494"/>
      <c r="H67" s="494"/>
      <c r="I67" s="494"/>
      <c r="J67" s="494"/>
      <c r="K67" s="494"/>
      <c r="L67" s="494"/>
      <c r="M67" s="494"/>
      <c r="N67" s="494"/>
      <c r="O67" s="494"/>
      <c r="P67" s="497"/>
      <c r="Q67" s="497"/>
      <c r="R67" s="494"/>
      <c r="S67" s="494"/>
      <c r="T67" s="494"/>
      <c r="U67" s="494"/>
      <c r="V67" s="494"/>
      <c r="W67" s="485"/>
      <c r="X67" s="481"/>
      <c r="Y67" s="481"/>
      <c r="Z67" s="494"/>
      <c r="AA67" s="494"/>
    </row>
    <row r="68" spans="1:27" x14ac:dyDescent="0.35">
      <c r="A68" s="494"/>
      <c r="B68" s="494"/>
      <c r="C68" s="494"/>
      <c r="D68" s="494"/>
      <c r="E68" s="494"/>
      <c r="F68" s="494"/>
      <c r="G68" s="494"/>
      <c r="H68" s="494"/>
      <c r="I68" s="494"/>
      <c r="J68" s="494"/>
      <c r="K68" s="494"/>
      <c r="L68" s="494"/>
      <c r="M68" s="494"/>
      <c r="N68" s="494"/>
      <c r="O68" s="494"/>
      <c r="P68" s="497"/>
      <c r="Q68" s="497"/>
      <c r="R68" s="494"/>
      <c r="S68" s="494"/>
      <c r="T68" s="494"/>
      <c r="U68" s="494"/>
      <c r="V68" s="494"/>
      <c r="W68" s="485"/>
      <c r="X68" s="481"/>
      <c r="Y68" s="481"/>
      <c r="Z68" s="481"/>
      <c r="AA68" s="481"/>
    </row>
    <row r="69" spans="1:27" x14ac:dyDescent="0.35">
      <c r="A69" s="494"/>
      <c r="B69" s="494"/>
      <c r="C69" s="494"/>
      <c r="D69" s="494"/>
      <c r="E69" s="494"/>
      <c r="F69" s="494"/>
      <c r="G69" s="494"/>
      <c r="H69" s="494"/>
      <c r="I69" s="494"/>
      <c r="J69" s="494"/>
      <c r="K69" s="494"/>
      <c r="L69" s="494"/>
      <c r="M69" s="494"/>
      <c r="N69" s="494"/>
      <c r="O69" s="494"/>
      <c r="P69" s="497"/>
      <c r="Q69" s="497"/>
      <c r="R69" s="494"/>
      <c r="S69" s="494"/>
      <c r="T69" s="494"/>
      <c r="U69" s="494"/>
      <c r="V69" s="489"/>
      <c r="W69" s="487"/>
      <c r="X69" s="486"/>
      <c r="Y69" s="486"/>
      <c r="Z69" s="481"/>
      <c r="AA69" s="481"/>
    </row>
    <row r="70" spans="1:27" x14ac:dyDescent="0.35">
      <c r="A70" s="494"/>
      <c r="B70" s="494"/>
      <c r="C70" s="494"/>
      <c r="D70" s="494"/>
      <c r="E70" s="494"/>
      <c r="F70" s="494"/>
      <c r="G70" s="494"/>
      <c r="H70" s="494"/>
      <c r="I70" s="494"/>
      <c r="J70" s="494"/>
      <c r="K70" s="494"/>
      <c r="L70" s="494"/>
      <c r="M70" s="494"/>
      <c r="N70" s="494"/>
      <c r="O70" s="494"/>
      <c r="P70" s="497"/>
      <c r="Q70" s="497"/>
      <c r="R70" s="494"/>
      <c r="S70" s="494"/>
      <c r="T70" s="494"/>
      <c r="U70" s="494"/>
      <c r="V70" s="489"/>
      <c r="W70" s="487"/>
      <c r="X70" s="486"/>
      <c r="Y70" s="486"/>
      <c r="Z70" s="486"/>
      <c r="AA70" s="486"/>
    </row>
    <row r="71" spans="1:27" x14ac:dyDescent="0.35">
      <c r="A71" s="494"/>
      <c r="B71" s="494"/>
      <c r="C71" s="494"/>
      <c r="D71" s="494"/>
      <c r="E71" s="494"/>
      <c r="F71" s="494"/>
      <c r="G71" s="494"/>
      <c r="H71" s="494"/>
      <c r="I71" s="494"/>
      <c r="J71" s="494"/>
      <c r="K71" s="494"/>
      <c r="L71" s="494"/>
      <c r="M71" s="494"/>
      <c r="N71" s="494"/>
      <c r="O71" s="494"/>
      <c r="P71" s="497"/>
      <c r="Q71" s="497"/>
      <c r="R71" s="494"/>
      <c r="S71" s="494"/>
      <c r="T71" s="494"/>
      <c r="U71" s="494"/>
      <c r="V71" s="494"/>
      <c r="W71" s="487"/>
      <c r="X71" s="486"/>
      <c r="Y71" s="486"/>
      <c r="Z71" s="486"/>
      <c r="AA71" s="486"/>
    </row>
    <row r="72" spans="1:27" x14ac:dyDescent="0.35">
      <c r="A72" s="494"/>
      <c r="B72" s="494"/>
      <c r="C72" s="494"/>
      <c r="D72" s="494"/>
      <c r="E72" s="494"/>
      <c r="F72" s="494"/>
      <c r="G72" s="494"/>
      <c r="H72" s="494"/>
      <c r="I72" s="494"/>
      <c r="J72" s="494"/>
      <c r="K72" s="494"/>
      <c r="L72" s="494"/>
      <c r="M72" s="494"/>
      <c r="N72" s="494"/>
      <c r="O72" s="494"/>
      <c r="P72" s="497"/>
      <c r="Q72" s="497"/>
      <c r="R72" s="494"/>
      <c r="S72" s="494"/>
      <c r="T72" s="494"/>
      <c r="U72" s="494"/>
      <c r="V72" s="494"/>
      <c r="W72" s="487"/>
      <c r="X72" s="486"/>
      <c r="Y72" s="486"/>
      <c r="Z72" s="486"/>
      <c r="AA72" s="486"/>
    </row>
    <row r="73" spans="1:27" x14ac:dyDescent="0.35">
      <c r="A73" s="494"/>
      <c r="B73" s="494"/>
      <c r="C73" s="494"/>
      <c r="D73" s="494"/>
      <c r="E73" s="494"/>
      <c r="F73" s="494"/>
      <c r="G73" s="494"/>
      <c r="H73" s="494"/>
      <c r="I73" s="494"/>
      <c r="J73" s="494"/>
      <c r="K73" s="494"/>
      <c r="L73" s="494"/>
      <c r="M73" s="494"/>
      <c r="P73" s="496"/>
      <c r="Q73" s="496"/>
      <c r="W73" s="482"/>
      <c r="X73" s="495"/>
      <c r="Y73" s="481"/>
      <c r="Z73" s="486"/>
      <c r="AA73" s="486"/>
    </row>
    <row r="74" spans="1:27" x14ac:dyDescent="0.35">
      <c r="A74" s="494"/>
      <c r="B74" s="494"/>
      <c r="C74" s="494"/>
      <c r="D74" s="494"/>
      <c r="E74" s="494"/>
      <c r="F74" s="494"/>
      <c r="G74" s="494"/>
      <c r="H74" s="494"/>
      <c r="I74" s="494"/>
      <c r="J74" s="494"/>
      <c r="K74" s="494"/>
      <c r="L74" s="494"/>
      <c r="M74" s="494"/>
      <c r="P74" s="496"/>
      <c r="Q74" s="496"/>
      <c r="W74" s="482"/>
      <c r="X74" s="495"/>
      <c r="Y74" s="481"/>
      <c r="Z74" s="481"/>
      <c r="AA74" s="481"/>
    </row>
    <row r="75" spans="1:27" x14ac:dyDescent="0.35">
      <c r="A75" s="538"/>
      <c r="B75" s="538"/>
      <c r="C75" s="407"/>
      <c r="D75" s="407"/>
      <c r="E75" s="407"/>
      <c r="F75" s="407"/>
      <c r="G75" s="407"/>
      <c r="H75" s="407"/>
      <c r="I75" s="494"/>
      <c r="J75" s="494"/>
      <c r="K75" s="494"/>
      <c r="L75" s="494"/>
      <c r="M75" s="494"/>
      <c r="P75" s="496"/>
      <c r="Q75" s="496"/>
      <c r="W75" s="482"/>
      <c r="X75" s="495"/>
      <c r="Y75" s="481"/>
      <c r="Z75" s="481"/>
      <c r="AA75" s="481"/>
    </row>
    <row r="76" spans="1:27" x14ac:dyDescent="0.35">
      <c r="A76" s="538"/>
      <c r="B76" s="538"/>
      <c r="C76" s="407"/>
      <c r="D76" s="407"/>
      <c r="E76" s="407"/>
      <c r="F76" s="407"/>
      <c r="G76" s="407"/>
      <c r="H76" s="407"/>
      <c r="I76" s="494"/>
      <c r="J76" s="494"/>
      <c r="K76" s="494"/>
      <c r="L76" s="212"/>
      <c r="M76" s="494"/>
      <c r="P76" s="496"/>
      <c r="Q76" s="496"/>
      <c r="W76" s="482"/>
      <c r="X76" s="495"/>
      <c r="Y76" s="481"/>
      <c r="Z76" s="481"/>
      <c r="AA76" s="481"/>
    </row>
    <row r="77" spans="1:27" x14ac:dyDescent="0.35">
      <c r="A77" s="407"/>
      <c r="B77" s="407"/>
      <c r="C77" s="407"/>
      <c r="D77" s="407"/>
      <c r="E77" s="407"/>
      <c r="F77" s="407"/>
      <c r="G77" s="407"/>
      <c r="H77" s="407"/>
      <c r="I77" s="407"/>
      <c r="J77" s="407"/>
      <c r="K77" s="212"/>
      <c r="L77" s="407"/>
      <c r="M77" s="494"/>
      <c r="N77" s="494"/>
      <c r="O77" s="494"/>
      <c r="P77" s="497"/>
      <c r="Q77" s="497"/>
      <c r="R77" s="494"/>
      <c r="S77" s="494"/>
      <c r="T77" s="494"/>
      <c r="U77" s="494"/>
      <c r="V77" s="495"/>
      <c r="W77" s="497"/>
      <c r="X77" s="494"/>
      <c r="Y77" s="494"/>
      <c r="Z77" s="481"/>
      <c r="AA77" s="481"/>
    </row>
    <row r="78" spans="1:27" x14ac:dyDescent="0.35">
      <c r="A78" s="538"/>
      <c r="B78" s="538"/>
      <c r="C78" s="407"/>
      <c r="D78" s="407"/>
      <c r="E78" s="407"/>
      <c r="F78" s="407"/>
      <c r="G78" s="407"/>
      <c r="H78" s="407"/>
      <c r="I78" s="407"/>
      <c r="J78" s="407"/>
      <c r="K78" s="407"/>
      <c r="L78" s="407"/>
      <c r="M78" s="494"/>
      <c r="N78" s="494"/>
      <c r="O78" s="494"/>
      <c r="P78" s="497"/>
      <c r="Q78" s="497"/>
      <c r="R78" s="494"/>
      <c r="S78" s="494"/>
      <c r="T78" s="494"/>
      <c r="U78" s="494"/>
      <c r="V78" s="495"/>
      <c r="W78" s="497"/>
      <c r="X78" s="494"/>
      <c r="Y78" s="494"/>
      <c r="Z78" s="494"/>
      <c r="AA78" s="494"/>
    </row>
    <row r="79" spans="1:27" x14ac:dyDescent="0.35">
      <c r="A79" s="538"/>
      <c r="B79" s="538"/>
      <c r="C79" s="407"/>
      <c r="D79" s="407"/>
      <c r="E79" s="407"/>
      <c r="F79" s="407"/>
      <c r="G79" s="407"/>
      <c r="H79" s="407"/>
      <c r="I79" s="407"/>
      <c r="J79" s="407"/>
      <c r="K79" s="407"/>
      <c r="L79" s="407"/>
      <c r="M79" s="495"/>
      <c r="P79" s="496"/>
      <c r="Q79" s="496"/>
      <c r="W79" s="497"/>
      <c r="X79" s="494"/>
      <c r="Y79" s="494"/>
      <c r="Z79" s="494"/>
      <c r="AA79" s="494"/>
    </row>
    <row r="80" spans="1:27" x14ac:dyDescent="0.35">
      <c r="A80" s="538"/>
      <c r="B80" s="538"/>
      <c r="C80" s="407"/>
      <c r="D80" s="407"/>
      <c r="E80" s="407"/>
      <c r="F80" s="407"/>
      <c r="G80" s="407"/>
      <c r="H80" s="407"/>
      <c r="I80" s="407"/>
      <c r="J80" s="407"/>
      <c r="K80" s="407"/>
      <c r="L80" s="407"/>
      <c r="M80" s="495"/>
      <c r="N80" s="495"/>
      <c r="O80" s="495"/>
      <c r="P80" s="482"/>
      <c r="Q80" s="482"/>
      <c r="R80" s="495"/>
      <c r="S80" s="495"/>
      <c r="T80" s="495"/>
      <c r="U80" s="495"/>
      <c r="V80" s="495"/>
      <c r="W80" s="482"/>
      <c r="X80" s="495"/>
      <c r="Y80" s="481"/>
      <c r="Z80" s="494"/>
      <c r="AA80" s="494"/>
    </row>
    <row r="81" spans="1:27" x14ac:dyDescent="0.35">
      <c r="A81" s="538"/>
      <c r="B81" s="538"/>
      <c r="C81" s="407"/>
      <c r="D81" s="407"/>
      <c r="E81" s="407"/>
      <c r="F81" s="407"/>
      <c r="G81" s="407"/>
      <c r="H81" s="407"/>
      <c r="I81" s="407"/>
      <c r="J81" s="407"/>
      <c r="K81" s="407"/>
      <c r="L81" s="407"/>
      <c r="M81" s="495"/>
      <c r="N81" s="495"/>
      <c r="O81" s="495"/>
      <c r="P81" s="482"/>
      <c r="Q81" s="482"/>
      <c r="R81" s="495"/>
      <c r="S81" s="495"/>
      <c r="T81" s="495"/>
      <c r="U81" s="495"/>
      <c r="V81" s="495"/>
      <c r="W81" s="482"/>
      <c r="X81" s="495"/>
      <c r="Y81" s="481"/>
      <c r="Z81" s="481"/>
      <c r="AA81" s="481"/>
    </row>
    <row r="82" spans="1:27" x14ac:dyDescent="0.35">
      <c r="A82" s="407"/>
      <c r="B82" s="538"/>
      <c r="C82" s="407"/>
      <c r="D82" s="407"/>
      <c r="E82" s="407"/>
      <c r="F82" s="407"/>
      <c r="G82" s="407"/>
      <c r="H82" s="407"/>
      <c r="I82" s="407"/>
      <c r="J82" s="407"/>
      <c r="K82" s="407"/>
      <c r="L82" s="407"/>
      <c r="M82" s="495"/>
      <c r="N82" s="495"/>
      <c r="O82" s="495"/>
      <c r="P82" s="482"/>
      <c r="Q82" s="482"/>
      <c r="R82" s="495"/>
      <c r="S82" s="495"/>
      <c r="T82" s="495"/>
      <c r="U82" s="495"/>
      <c r="V82" s="495"/>
      <c r="W82" s="482"/>
      <c r="X82" s="495"/>
      <c r="Y82" s="481"/>
      <c r="Z82" s="481"/>
      <c r="AA82" s="481"/>
    </row>
    <row r="83" spans="1:27" x14ac:dyDescent="0.35">
      <c r="A83" s="407"/>
      <c r="B83" s="538"/>
      <c r="C83" s="407"/>
      <c r="D83" s="407"/>
      <c r="E83" s="407"/>
      <c r="F83" s="407"/>
      <c r="G83" s="407"/>
      <c r="H83" s="407"/>
      <c r="I83" s="407"/>
      <c r="J83" s="407"/>
      <c r="K83" s="407"/>
      <c r="L83" s="407"/>
      <c r="M83" s="495"/>
      <c r="N83" s="495"/>
      <c r="O83" s="495"/>
      <c r="P83" s="482"/>
      <c r="Q83" s="488"/>
      <c r="R83" s="495"/>
      <c r="S83" s="495"/>
      <c r="T83" s="495"/>
      <c r="U83" s="495"/>
      <c r="V83" s="495"/>
      <c r="W83" s="482"/>
      <c r="X83" s="483"/>
      <c r="Y83" s="486"/>
      <c r="Z83" s="481"/>
      <c r="AA83" s="481"/>
    </row>
    <row r="84" spans="1:27" x14ac:dyDescent="0.35">
      <c r="A84" s="538"/>
      <c r="B84" s="538"/>
      <c r="C84" s="407"/>
      <c r="D84" s="407"/>
      <c r="E84" s="407"/>
      <c r="F84" s="407"/>
      <c r="G84" s="407"/>
      <c r="H84" s="407"/>
      <c r="I84" s="407"/>
      <c r="J84" s="407"/>
      <c r="K84" s="407"/>
      <c r="L84" s="407"/>
      <c r="M84" s="495"/>
      <c r="N84" s="495"/>
      <c r="O84" s="495"/>
      <c r="P84" s="482"/>
      <c r="Q84" s="482"/>
      <c r="R84" s="495"/>
      <c r="S84" s="495"/>
      <c r="T84" s="495"/>
      <c r="U84" s="495"/>
      <c r="V84" s="495"/>
      <c r="W84" s="482"/>
      <c r="X84" s="483"/>
      <c r="Y84" s="486"/>
      <c r="Z84" s="486"/>
      <c r="AA84" s="486"/>
    </row>
    <row r="85" spans="1:27" x14ac:dyDescent="0.35">
      <c r="A85" s="538"/>
      <c r="B85" s="538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95"/>
      <c r="N85" s="495"/>
      <c r="O85" s="495"/>
      <c r="P85" s="482"/>
      <c r="Q85" s="482"/>
      <c r="R85" s="495"/>
      <c r="S85" s="495"/>
      <c r="T85" s="495"/>
      <c r="U85" s="495"/>
      <c r="V85" s="495"/>
      <c r="W85" s="482"/>
      <c r="X85" s="483"/>
      <c r="Y85" s="486"/>
      <c r="Z85" s="486"/>
      <c r="AA85" s="486"/>
    </row>
    <row r="86" spans="1:27" x14ac:dyDescent="0.35">
      <c r="A86" s="538"/>
      <c r="B86" s="538"/>
      <c r="C86" s="407"/>
      <c r="D86" s="407"/>
      <c r="E86" s="407"/>
      <c r="F86" s="407"/>
      <c r="G86" s="407"/>
      <c r="H86" s="407"/>
      <c r="I86" s="407"/>
      <c r="J86" s="407"/>
      <c r="K86" s="407"/>
      <c r="L86" s="407"/>
      <c r="M86" s="495"/>
      <c r="N86" s="495"/>
      <c r="O86" s="495"/>
      <c r="P86" s="482"/>
      <c r="Q86" s="482"/>
      <c r="R86" s="495"/>
      <c r="S86" s="495"/>
      <c r="T86" s="495"/>
      <c r="U86" s="495"/>
      <c r="V86" s="495"/>
      <c r="W86" s="482"/>
      <c r="X86" s="495"/>
      <c r="Y86" s="481"/>
      <c r="Z86" s="486"/>
      <c r="AA86" s="486"/>
    </row>
    <row r="87" spans="1:27" x14ac:dyDescent="0.35">
      <c r="A87" s="538"/>
      <c r="B87" s="538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81"/>
      <c r="N87" s="484"/>
      <c r="O87" s="484"/>
      <c r="P87" s="484"/>
      <c r="Q87" s="484"/>
      <c r="R87" s="484"/>
      <c r="S87" s="484"/>
      <c r="T87" s="484"/>
      <c r="U87" s="484"/>
      <c r="V87" s="484"/>
      <c r="W87" s="484"/>
      <c r="X87" s="484"/>
      <c r="Y87" s="481"/>
      <c r="Z87" s="481"/>
      <c r="AA87" s="481"/>
    </row>
    <row r="88" spans="1:27" x14ac:dyDescent="0.35">
      <c r="A88" s="538"/>
      <c r="B88" s="538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81"/>
      <c r="N88" s="484"/>
      <c r="O88" s="484"/>
      <c r="P88" s="484"/>
      <c r="Q88" s="484"/>
      <c r="R88" s="484"/>
      <c r="S88" s="484"/>
      <c r="T88" s="484"/>
      <c r="U88" s="484"/>
      <c r="V88" s="484"/>
      <c r="W88" s="484"/>
      <c r="X88" s="484"/>
      <c r="Y88" s="481"/>
      <c r="Z88" s="481"/>
      <c r="AA88" s="481"/>
    </row>
    <row r="89" spans="1:27" x14ac:dyDescent="0.35">
      <c r="A89" s="538"/>
      <c r="B89" s="538"/>
      <c r="C89" s="407"/>
      <c r="D89" s="407"/>
      <c r="E89" s="407"/>
      <c r="F89" s="407"/>
      <c r="G89" s="407"/>
      <c r="H89" s="407"/>
      <c r="I89" s="407"/>
      <c r="J89" s="407"/>
      <c r="K89" s="407"/>
      <c r="L89" s="407"/>
      <c r="M89" s="407"/>
      <c r="N89" s="494"/>
      <c r="O89" s="494"/>
      <c r="P89" s="494"/>
      <c r="Q89" s="494"/>
      <c r="R89" s="494"/>
      <c r="S89" s="494"/>
      <c r="Z89" s="481"/>
      <c r="AA89" s="481"/>
    </row>
    <row r="90" spans="1:27" x14ac:dyDescent="0.35">
      <c r="A90" s="538"/>
      <c r="B90" s="538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  <c r="N90" s="494"/>
      <c r="O90" s="494"/>
      <c r="P90" s="494"/>
      <c r="Q90" s="494"/>
      <c r="R90" s="494"/>
      <c r="S90" s="494"/>
    </row>
    <row r="91" spans="1:27" x14ac:dyDescent="0.35">
      <c r="A91" s="538"/>
      <c r="B91" s="538"/>
      <c r="C91" s="407"/>
      <c r="D91" s="407"/>
      <c r="E91" s="407"/>
      <c r="F91" s="407"/>
      <c r="G91" s="407"/>
      <c r="H91" s="407"/>
      <c r="I91" s="407"/>
      <c r="J91" s="407"/>
      <c r="K91" s="407"/>
      <c r="L91" s="407"/>
      <c r="M91" s="407"/>
      <c r="N91" s="494"/>
      <c r="O91" s="494"/>
      <c r="P91" s="494"/>
      <c r="Q91" s="494"/>
      <c r="R91" s="494"/>
      <c r="S91" s="494"/>
    </row>
    <row r="92" spans="1:27" x14ac:dyDescent="0.35">
      <c r="A92" s="538"/>
      <c r="B92" s="538"/>
      <c r="C92" s="407"/>
      <c r="D92" s="407"/>
      <c r="E92" s="407"/>
      <c r="F92" s="407"/>
      <c r="G92" s="407"/>
      <c r="H92" s="407"/>
      <c r="I92" s="407"/>
      <c r="J92" s="407"/>
      <c r="K92" s="407"/>
      <c r="L92" s="407"/>
      <c r="M92" s="407"/>
      <c r="N92" s="494"/>
      <c r="O92" s="494"/>
      <c r="P92" s="494"/>
      <c r="Q92" s="494"/>
      <c r="R92" s="494"/>
      <c r="S92" s="494"/>
    </row>
    <row r="93" spans="1:27" x14ac:dyDescent="0.35">
      <c r="A93" s="538"/>
      <c r="B93" s="538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94"/>
      <c r="O93" s="494"/>
      <c r="P93" s="494"/>
      <c r="Q93" s="494"/>
      <c r="R93" s="494"/>
      <c r="S93" s="494"/>
    </row>
    <row r="94" spans="1:27" x14ac:dyDescent="0.35">
      <c r="A94" s="538"/>
      <c r="B94" s="538"/>
      <c r="C94" s="407"/>
      <c r="D94" s="407"/>
      <c r="E94" s="407"/>
      <c r="F94" s="407"/>
      <c r="G94" s="407"/>
      <c r="H94" s="407"/>
      <c r="I94" s="407"/>
      <c r="J94" s="407"/>
      <c r="K94" s="407"/>
      <c r="L94" s="407"/>
      <c r="M94" s="407"/>
      <c r="N94" s="494"/>
      <c r="O94" s="494"/>
      <c r="P94" s="494"/>
      <c r="Q94" s="494"/>
      <c r="R94" s="494"/>
      <c r="S94" s="494"/>
    </row>
    <row r="95" spans="1:27" x14ac:dyDescent="0.35">
      <c r="A95" s="538"/>
      <c r="B95" s="538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07"/>
      <c r="N95" s="494"/>
      <c r="O95" s="494"/>
      <c r="P95" s="494"/>
      <c r="Q95" s="494"/>
      <c r="R95" s="494"/>
      <c r="S95" s="494"/>
    </row>
    <row r="96" spans="1:27" x14ac:dyDescent="0.35">
      <c r="A96" s="538"/>
      <c r="B96" s="538"/>
      <c r="C96" s="407"/>
      <c r="D96" s="407"/>
      <c r="E96" s="407"/>
      <c r="F96" s="407"/>
      <c r="G96" s="407"/>
      <c r="H96" s="407"/>
      <c r="I96" s="407"/>
      <c r="J96" s="407"/>
      <c r="K96" s="407"/>
      <c r="L96" s="407"/>
      <c r="M96" s="407"/>
      <c r="N96" s="494"/>
      <c r="O96" s="494"/>
      <c r="P96" s="494"/>
      <c r="Q96" s="494"/>
      <c r="R96" s="494"/>
      <c r="S96" s="494"/>
    </row>
    <row r="97" spans="1:19" x14ac:dyDescent="0.35">
      <c r="A97" s="538"/>
      <c r="B97" s="538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94"/>
      <c r="O97" s="494"/>
      <c r="P97" s="494"/>
      <c r="Q97" s="494"/>
      <c r="R97" s="494"/>
      <c r="S97" s="494"/>
    </row>
    <row r="98" spans="1:19" x14ac:dyDescent="0.35">
      <c r="A98" s="538"/>
      <c r="B98" s="538"/>
      <c r="C98" s="407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94"/>
      <c r="O98" s="494"/>
      <c r="P98" s="494"/>
      <c r="Q98" s="494"/>
      <c r="R98" s="494"/>
      <c r="S98" s="494"/>
    </row>
    <row r="99" spans="1:19" x14ac:dyDescent="0.35">
      <c r="A99" s="538"/>
      <c r="B99" s="538"/>
      <c r="C99" s="407"/>
      <c r="D99" s="407"/>
      <c r="E99" s="407"/>
      <c r="F99" s="407"/>
      <c r="G99" s="407"/>
      <c r="H99" s="407"/>
      <c r="I99" s="407"/>
      <c r="J99" s="407"/>
      <c r="K99" s="407"/>
      <c r="L99" s="407"/>
      <c r="M99" s="407"/>
      <c r="N99" s="494"/>
      <c r="O99" s="494"/>
      <c r="P99" s="494"/>
      <c r="Q99" s="494"/>
      <c r="R99" s="494"/>
      <c r="S99" s="494"/>
    </row>
    <row r="100" spans="1:19" x14ac:dyDescent="0.35">
      <c r="A100" s="538"/>
      <c r="B100" s="538"/>
      <c r="C100" s="407"/>
      <c r="D100" s="407"/>
      <c r="E100" s="407"/>
      <c r="F100" s="407"/>
      <c r="G100" s="407"/>
      <c r="H100" s="407"/>
      <c r="I100" s="407"/>
      <c r="J100" s="407"/>
      <c r="K100" s="407"/>
      <c r="L100" s="407"/>
      <c r="M100" s="407"/>
      <c r="N100" s="494"/>
      <c r="O100" s="494"/>
      <c r="P100" s="494"/>
      <c r="Q100" s="494"/>
      <c r="R100" s="494"/>
      <c r="S100" s="494"/>
    </row>
    <row r="101" spans="1:19" x14ac:dyDescent="0.35">
      <c r="A101" s="538"/>
      <c r="B101" s="538"/>
      <c r="C101" s="407"/>
      <c r="D101" s="407"/>
      <c r="E101" s="407"/>
      <c r="F101" s="407"/>
      <c r="G101" s="407"/>
      <c r="H101" s="407"/>
      <c r="I101" s="407"/>
      <c r="J101" s="407"/>
      <c r="K101" s="407"/>
      <c r="L101" s="407"/>
      <c r="M101" s="407"/>
      <c r="N101" s="494"/>
      <c r="O101" s="494"/>
      <c r="P101" s="494"/>
      <c r="Q101" s="494"/>
      <c r="R101" s="494"/>
      <c r="S101" s="494"/>
    </row>
    <row r="102" spans="1:19" x14ac:dyDescent="0.35">
      <c r="A102" s="538"/>
      <c r="B102" s="538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94"/>
      <c r="O102" s="494"/>
      <c r="P102" s="494"/>
      <c r="Q102" s="494"/>
      <c r="R102" s="494"/>
      <c r="S102" s="494"/>
    </row>
    <row r="103" spans="1:19" x14ac:dyDescent="0.35">
      <c r="A103" s="538"/>
      <c r="B103" s="538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94"/>
      <c r="O103" s="494"/>
      <c r="P103" s="494"/>
      <c r="Q103" s="494"/>
      <c r="R103" s="494"/>
      <c r="S103" s="494"/>
    </row>
    <row r="104" spans="1:19" x14ac:dyDescent="0.35">
      <c r="A104" s="538"/>
      <c r="B104" s="538"/>
      <c r="C104" s="407"/>
      <c r="D104" s="407"/>
      <c r="E104" s="407"/>
      <c r="F104" s="407"/>
      <c r="G104" s="407"/>
      <c r="H104" s="407"/>
      <c r="I104" s="407"/>
      <c r="J104" s="407"/>
      <c r="K104" s="407"/>
      <c r="L104" s="407"/>
      <c r="M104" s="407"/>
      <c r="N104" s="494"/>
      <c r="O104" s="494"/>
      <c r="P104" s="494"/>
      <c r="Q104" s="494"/>
      <c r="R104" s="494"/>
      <c r="S104" s="494"/>
    </row>
    <row r="105" spans="1:19" x14ac:dyDescent="0.35">
      <c r="A105" s="538"/>
      <c r="B105" s="538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07"/>
      <c r="N105" s="494"/>
      <c r="O105" s="494"/>
      <c r="P105" s="494"/>
      <c r="Q105" s="494"/>
      <c r="R105" s="494"/>
      <c r="S105" s="494"/>
    </row>
    <row r="106" spans="1:19" x14ac:dyDescent="0.35">
      <c r="A106" s="494"/>
      <c r="B106" s="494"/>
      <c r="C106" s="494"/>
      <c r="D106" s="494"/>
      <c r="E106" s="494"/>
      <c r="F106" s="494"/>
      <c r="G106" s="494"/>
      <c r="H106" s="494"/>
      <c r="I106" s="407"/>
      <c r="J106" s="407"/>
      <c r="K106" s="407"/>
      <c r="L106" s="407"/>
      <c r="M106" s="407"/>
      <c r="N106" s="494"/>
      <c r="O106" s="494"/>
      <c r="P106" s="494"/>
      <c r="Q106" s="494"/>
      <c r="R106" s="494"/>
      <c r="S106" s="494"/>
    </row>
    <row r="107" spans="1:19" x14ac:dyDescent="0.35">
      <c r="A107" s="494"/>
      <c r="B107" s="494"/>
      <c r="C107" s="494"/>
      <c r="D107" s="494"/>
      <c r="E107" s="494"/>
      <c r="F107" s="494"/>
      <c r="G107" s="494"/>
      <c r="H107" s="494"/>
      <c r="I107" s="407"/>
      <c r="J107" s="407"/>
      <c r="K107" s="407"/>
      <c r="L107" s="494"/>
      <c r="M107" s="494"/>
      <c r="N107" s="494"/>
      <c r="O107" s="494"/>
      <c r="P107" s="494"/>
      <c r="Q107" s="494"/>
      <c r="R107" s="494"/>
      <c r="S107" s="494"/>
    </row>
    <row r="108" spans="1:19" x14ac:dyDescent="0.35">
      <c r="A108" s="494"/>
      <c r="B108" s="494"/>
      <c r="C108" s="494"/>
      <c r="D108" s="494"/>
      <c r="E108" s="494"/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494"/>
      <c r="R108" s="494"/>
      <c r="S108" s="494"/>
    </row>
    <row r="109" spans="1:19" x14ac:dyDescent="0.35">
      <c r="A109" s="494"/>
      <c r="B109" s="494"/>
      <c r="C109" s="494"/>
      <c r="D109" s="494"/>
      <c r="E109" s="494"/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494"/>
      <c r="R109" s="494"/>
      <c r="S109" s="494"/>
    </row>
    <row r="110" spans="1:19" x14ac:dyDescent="0.35">
      <c r="A110" s="494"/>
      <c r="B110" s="494"/>
      <c r="C110" s="494"/>
      <c r="D110" s="494"/>
      <c r="E110" s="494"/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494"/>
      <c r="R110" s="494"/>
      <c r="S110" s="494"/>
    </row>
    <row r="111" spans="1:19" x14ac:dyDescent="0.35">
      <c r="A111" s="494"/>
      <c r="B111" s="494"/>
      <c r="C111" s="494"/>
      <c r="D111" s="494"/>
      <c r="E111" s="494"/>
      <c r="F111" s="494"/>
      <c r="G111" s="494"/>
      <c r="H111" s="494"/>
      <c r="I111" s="494"/>
      <c r="J111" s="494"/>
      <c r="K111" s="494"/>
      <c r="L111" s="494"/>
      <c r="M111" s="494"/>
      <c r="N111" s="494"/>
      <c r="O111" s="494"/>
      <c r="P111" s="494"/>
      <c r="Q111" s="494"/>
      <c r="R111" s="494"/>
      <c r="S111" s="494"/>
    </row>
    <row r="112" spans="1:19" x14ac:dyDescent="0.35">
      <c r="A112" s="494"/>
      <c r="B112" s="494"/>
      <c r="C112" s="494"/>
      <c r="D112" s="494"/>
      <c r="E112" s="494"/>
      <c r="F112" s="494"/>
      <c r="G112" s="494"/>
      <c r="H112" s="494"/>
      <c r="I112" s="494"/>
      <c r="J112" s="494"/>
      <c r="K112" s="494"/>
      <c r="L112" s="494"/>
      <c r="M112" s="494"/>
      <c r="N112" s="494"/>
      <c r="O112" s="494"/>
      <c r="P112" s="494"/>
      <c r="Q112" s="494"/>
      <c r="R112" s="494"/>
      <c r="S112" s="494"/>
    </row>
    <row r="113" spans="1:19" x14ac:dyDescent="0.35">
      <c r="A113" s="494"/>
      <c r="B113" s="494"/>
      <c r="C113" s="494"/>
      <c r="D113" s="494"/>
      <c r="E113" s="494"/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494"/>
      <c r="R113" s="494"/>
      <c r="S113" s="494"/>
    </row>
    <row r="114" spans="1:19" x14ac:dyDescent="0.35">
      <c r="A114" s="494"/>
      <c r="B114" s="494"/>
      <c r="C114" s="494"/>
      <c r="D114" s="494"/>
      <c r="E114" s="494"/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494"/>
      <c r="R114" s="494"/>
      <c r="S114" s="494"/>
    </row>
    <row r="115" spans="1:19" x14ac:dyDescent="0.35">
      <c r="A115" s="494"/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</row>
    <row r="116" spans="1:19" x14ac:dyDescent="0.35">
      <c r="A116" s="494"/>
      <c r="B116" s="494"/>
      <c r="C116" s="494"/>
      <c r="D116" s="494"/>
      <c r="E116" s="494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494"/>
      <c r="R116" s="494"/>
      <c r="S116" s="494"/>
    </row>
    <row r="117" spans="1:19" x14ac:dyDescent="0.35">
      <c r="A117" s="494"/>
      <c r="B117" s="494"/>
      <c r="C117" s="494"/>
      <c r="D117" s="494"/>
      <c r="E117" s="494"/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494"/>
      <c r="R117" s="494"/>
      <c r="S117" s="494"/>
    </row>
    <row r="118" spans="1:19" x14ac:dyDescent="0.35">
      <c r="A118" s="494"/>
      <c r="B118" s="494"/>
      <c r="C118" s="494"/>
      <c r="D118" s="494"/>
      <c r="E118" s="494"/>
      <c r="F118" s="494"/>
      <c r="G118" s="494"/>
      <c r="H118" s="494"/>
      <c r="I118" s="494"/>
      <c r="J118" s="494"/>
      <c r="K118" s="494"/>
      <c r="L118" s="494"/>
      <c r="M118" s="494"/>
      <c r="N118" s="494"/>
      <c r="O118" s="494"/>
      <c r="P118" s="494"/>
      <c r="Q118" s="494"/>
      <c r="R118" s="494"/>
      <c r="S118" s="494"/>
    </row>
    <row r="119" spans="1:19" x14ac:dyDescent="0.35">
      <c r="A119" s="494"/>
      <c r="B119" s="494"/>
      <c r="C119" s="494"/>
      <c r="D119" s="494"/>
      <c r="E119" s="494"/>
      <c r="F119" s="494"/>
      <c r="G119" s="494"/>
      <c r="H119" s="494"/>
      <c r="I119" s="494"/>
      <c r="J119" s="494"/>
      <c r="K119" s="494"/>
      <c r="L119" s="494"/>
      <c r="M119" s="494"/>
      <c r="N119" s="494"/>
      <c r="O119" s="494"/>
      <c r="P119" s="494"/>
      <c r="Q119" s="494"/>
      <c r="R119" s="494"/>
      <c r="S119" s="494"/>
    </row>
    <row r="120" spans="1:19" x14ac:dyDescent="0.35">
      <c r="A120" s="494"/>
      <c r="B120" s="494"/>
      <c r="C120" s="494"/>
      <c r="D120" s="494"/>
      <c r="E120" s="494"/>
      <c r="F120" s="494"/>
      <c r="G120" s="494"/>
      <c r="H120" s="494"/>
      <c r="I120" s="494"/>
      <c r="J120" s="494"/>
      <c r="K120" s="494"/>
      <c r="L120" s="494"/>
      <c r="M120" s="494"/>
      <c r="N120" s="494"/>
      <c r="O120" s="494"/>
      <c r="P120" s="494"/>
      <c r="Q120" s="494"/>
      <c r="R120" s="494"/>
      <c r="S120" s="494"/>
    </row>
    <row r="121" spans="1:19" x14ac:dyDescent="0.35">
      <c r="A121" s="494"/>
      <c r="B121" s="494"/>
      <c r="C121" s="494"/>
      <c r="D121" s="494"/>
      <c r="E121" s="494"/>
      <c r="F121" s="494"/>
      <c r="G121" s="494"/>
      <c r="H121" s="494"/>
      <c r="I121" s="494"/>
      <c r="J121" s="494"/>
      <c r="K121" s="494"/>
      <c r="L121" s="494"/>
      <c r="M121" s="494"/>
      <c r="N121" s="494"/>
      <c r="O121" s="494"/>
      <c r="P121" s="494"/>
      <c r="Q121" s="494"/>
      <c r="R121" s="494"/>
      <c r="S121" s="494"/>
    </row>
    <row r="122" spans="1:19" x14ac:dyDescent="0.35">
      <c r="A122" s="494"/>
      <c r="B122" s="494"/>
      <c r="C122" s="494"/>
      <c r="D122" s="494"/>
      <c r="E122" s="494"/>
      <c r="F122" s="494"/>
      <c r="G122" s="494"/>
      <c r="H122" s="494"/>
      <c r="I122" s="494"/>
      <c r="J122" s="494"/>
      <c r="K122" s="494"/>
      <c r="L122" s="494"/>
      <c r="M122" s="494"/>
      <c r="N122" s="494"/>
      <c r="O122" s="494"/>
      <c r="P122" s="494"/>
      <c r="Q122" s="494"/>
      <c r="R122" s="494"/>
      <c r="S122" s="494"/>
    </row>
    <row r="123" spans="1:19" x14ac:dyDescent="0.35">
      <c r="A123" s="494"/>
      <c r="B123" s="494"/>
      <c r="C123" s="494"/>
      <c r="D123" s="494"/>
      <c r="E123" s="494"/>
      <c r="F123" s="494"/>
      <c r="G123" s="494"/>
      <c r="H123" s="494"/>
      <c r="I123" s="494"/>
      <c r="J123" s="494"/>
      <c r="K123" s="494"/>
      <c r="L123" s="494"/>
      <c r="M123" s="494"/>
      <c r="N123" s="494"/>
      <c r="O123" s="494"/>
      <c r="P123" s="494"/>
      <c r="Q123" s="494"/>
      <c r="R123" s="494"/>
      <c r="S123" s="494"/>
    </row>
    <row r="124" spans="1:19" x14ac:dyDescent="0.35">
      <c r="A124" s="494"/>
      <c r="B124" s="494"/>
      <c r="C124" s="494"/>
      <c r="D124" s="494"/>
      <c r="E124" s="494"/>
      <c r="F124" s="494"/>
      <c r="G124" s="494"/>
      <c r="H124" s="494"/>
      <c r="I124" s="494"/>
      <c r="J124" s="494"/>
      <c r="K124" s="494"/>
      <c r="L124" s="494"/>
      <c r="M124" s="494"/>
      <c r="N124" s="494"/>
      <c r="O124" s="494"/>
      <c r="P124" s="494"/>
      <c r="Q124" s="494"/>
      <c r="R124" s="494"/>
      <c r="S124" s="494"/>
    </row>
    <row r="125" spans="1:19" x14ac:dyDescent="0.35">
      <c r="A125" s="494"/>
      <c r="B125" s="494"/>
      <c r="C125" s="494"/>
      <c r="D125" s="494"/>
      <c r="E125" s="494"/>
      <c r="F125" s="494"/>
      <c r="G125" s="494"/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</row>
    <row r="126" spans="1:19" x14ac:dyDescent="0.35">
      <c r="A126" s="494"/>
      <c r="B126" s="494"/>
      <c r="C126" s="494"/>
      <c r="D126" s="494"/>
      <c r="E126" s="494"/>
      <c r="F126" s="494"/>
      <c r="G126" s="494"/>
      <c r="H126" s="494"/>
      <c r="I126" s="494"/>
      <c r="J126" s="494"/>
      <c r="K126" s="494"/>
      <c r="L126" s="494"/>
      <c r="M126" s="494"/>
      <c r="N126" s="494"/>
      <c r="O126" s="494"/>
      <c r="P126" s="494"/>
      <c r="Q126" s="494"/>
      <c r="R126" s="494"/>
      <c r="S126" s="494"/>
    </row>
    <row r="127" spans="1:19" x14ac:dyDescent="0.35">
      <c r="A127" s="494"/>
      <c r="B127" s="494"/>
      <c r="C127" s="494"/>
      <c r="D127" s="494"/>
      <c r="E127" s="494"/>
      <c r="F127" s="494"/>
      <c r="G127" s="494"/>
      <c r="H127" s="494"/>
      <c r="I127" s="494"/>
      <c r="J127" s="494"/>
      <c r="K127" s="494"/>
      <c r="L127" s="494"/>
      <c r="M127" s="494"/>
      <c r="N127" s="494"/>
      <c r="O127" s="494"/>
      <c r="P127" s="494"/>
      <c r="Q127" s="494"/>
      <c r="R127" s="494"/>
      <c r="S127" s="494"/>
    </row>
    <row r="128" spans="1:19" x14ac:dyDescent="0.35">
      <c r="A128" s="494"/>
      <c r="B128" s="494"/>
      <c r="C128" s="494"/>
      <c r="D128" s="494"/>
      <c r="E128" s="494"/>
      <c r="F128" s="494"/>
      <c r="G128" s="494"/>
      <c r="H128" s="494"/>
      <c r="I128" s="494"/>
      <c r="J128" s="494"/>
      <c r="K128" s="494"/>
      <c r="L128" s="494"/>
      <c r="M128" s="494"/>
      <c r="N128" s="494"/>
      <c r="O128" s="494"/>
      <c r="P128" s="494"/>
      <c r="Q128" s="494"/>
      <c r="R128" s="494"/>
      <c r="S128" s="494"/>
    </row>
    <row r="129" spans="1:19" x14ac:dyDescent="0.35">
      <c r="A129" s="494"/>
      <c r="B129" s="494"/>
      <c r="C129" s="494"/>
      <c r="D129" s="494"/>
      <c r="E129" s="494"/>
      <c r="F129" s="494"/>
      <c r="G129" s="494"/>
      <c r="H129" s="494"/>
      <c r="I129" s="494"/>
      <c r="J129" s="494"/>
      <c r="K129" s="494"/>
      <c r="L129" s="494"/>
      <c r="M129" s="494"/>
      <c r="N129" s="494"/>
      <c r="O129" s="494"/>
      <c r="P129" s="494"/>
      <c r="Q129" s="494"/>
      <c r="R129" s="494"/>
      <c r="S129" s="494"/>
    </row>
    <row r="130" spans="1:19" x14ac:dyDescent="0.35">
      <c r="A130" s="494"/>
      <c r="B130" s="494"/>
      <c r="C130" s="494"/>
      <c r="D130" s="494"/>
      <c r="E130" s="494"/>
      <c r="F130" s="494"/>
      <c r="G130" s="494"/>
      <c r="H130" s="494"/>
      <c r="I130" s="494"/>
      <c r="J130" s="494"/>
      <c r="K130" s="494"/>
      <c r="L130" s="494"/>
      <c r="M130" s="494"/>
      <c r="N130" s="494"/>
      <c r="O130" s="494"/>
      <c r="P130" s="494"/>
      <c r="Q130" s="494"/>
      <c r="R130" s="494"/>
      <c r="S130" s="494"/>
    </row>
    <row r="131" spans="1:19" x14ac:dyDescent="0.35">
      <c r="A131" s="494"/>
      <c r="B131" s="494"/>
      <c r="C131" s="494"/>
      <c r="D131" s="494"/>
      <c r="E131" s="494"/>
      <c r="F131" s="494"/>
      <c r="G131" s="494"/>
      <c r="H131" s="494"/>
      <c r="I131" s="494"/>
      <c r="J131" s="494"/>
      <c r="K131" s="494"/>
      <c r="L131" s="494"/>
      <c r="M131" s="494"/>
      <c r="N131" s="494"/>
      <c r="O131" s="494"/>
      <c r="P131" s="494"/>
      <c r="Q131" s="494"/>
      <c r="R131" s="494"/>
      <c r="S131" s="494"/>
    </row>
    <row r="132" spans="1:19" x14ac:dyDescent="0.35">
      <c r="A132" s="494"/>
      <c r="B132" s="494"/>
      <c r="C132" s="494"/>
      <c r="D132" s="494"/>
      <c r="E132" s="494"/>
      <c r="F132" s="494"/>
      <c r="G132" s="494"/>
      <c r="H132" s="494"/>
      <c r="I132" s="494"/>
      <c r="J132" s="494"/>
      <c r="K132" s="494"/>
      <c r="L132" s="494"/>
      <c r="M132" s="494"/>
      <c r="N132" s="494"/>
      <c r="O132" s="494"/>
      <c r="P132" s="494"/>
      <c r="Q132" s="494"/>
      <c r="R132" s="494"/>
      <c r="S132" s="494"/>
    </row>
    <row r="133" spans="1:19" x14ac:dyDescent="0.35">
      <c r="A133" s="494"/>
      <c r="B133" s="494"/>
      <c r="C133" s="494"/>
      <c r="D133" s="494"/>
      <c r="E133" s="494"/>
      <c r="F133" s="494"/>
      <c r="G133" s="494"/>
      <c r="H133" s="494"/>
      <c r="I133" s="494"/>
      <c r="J133" s="494"/>
      <c r="K133" s="494"/>
      <c r="L133" s="494"/>
      <c r="M133" s="494"/>
      <c r="N133" s="494"/>
      <c r="O133" s="494"/>
      <c r="P133" s="494"/>
      <c r="Q133" s="494"/>
      <c r="R133" s="494"/>
      <c r="S133" s="494"/>
    </row>
    <row r="134" spans="1:19" x14ac:dyDescent="0.35">
      <c r="A134" s="494"/>
      <c r="B134" s="494"/>
      <c r="C134" s="494"/>
      <c r="D134" s="494"/>
      <c r="E134" s="494"/>
      <c r="F134" s="494"/>
      <c r="G134" s="494"/>
      <c r="H134" s="494"/>
      <c r="I134" s="494"/>
      <c r="J134" s="494"/>
      <c r="K134" s="494"/>
      <c r="L134" s="494"/>
      <c r="M134" s="494"/>
      <c r="N134" s="494"/>
      <c r="O134" s="494"/>
      <c r="P134" s="494"/>
      <c r="Q134" s="494"/>
      <c r="R134" s="494"/>
      <c r="S134" s="494"/>
    </row>
    <row r="135" spans="1:19" x14ac:dyDescent="0.35">
      <c r="A135" s="494"/>
      <c r="B135" s="494"/>
      <c r="C135" s="494"/>
      <c r="D135" s="494"/>
      <c r="E135" s="494"/>
      <c r="F135" s="494"/>
      <c r="G135" s="494"/>
      <c r="H135" s="494"/>
      <c r="I135" s="494"/>
      <c r="J135" s="494"/>
      <c r="K135" s="494"/>
      <c r="L135" s="494"/>
      <c r="M135" s="494"/>
      <c r="N135" s="494"/>
      <c r="O135" s="494"/>
      <c r="P135" s="494"/>
      <c r="Q135" s="494"/>
      <c r="R135" s="494"/>
      <c r="S135" s="494"/>
    </row>
    <row r="136" spans="1:19" x14ac:dyDescent="0.35">
      <c r="A136" s="494"/>
      <c r="B136" s="494"/>
      <c r="C136" s="494"/>
      <c r="D136" s="494"/>
      <c r="E136" s="494"/>
      <c r="F136" s="494"/>
      <c r="G136" s="494"/>
      <c r="H136" s="494"/>
      <c r="I136" s="494"/>
      <c r="J136" s="494"/>
      <c r="K136" s="494"/>
      <c r="L136" s="494"/>
      <c r="M136" s="494"/>
      <c r="N136" s="494"/>
      <c r="O136" s="494"/>
      <c r="P136" s="494"/>
      <c r="Q136" s="494"/>
      <c r="R136" s="494"/>
      <c r="S136" s="494"/>
    </row>
    <row r="137" spans="1:19" x14ac:dyDescent="0.35">
      <c r="A137" s="494"/>
      <c r="B137" s="494"/>
      <c r="C137" s="494"/>
      <c r="D137" s="494"/>
      <c r="E137" s="494"/>
      <c r="F137" s="494"/>
      <c r="G137" s="494"/>
      <c r="H137" s="494"/>
      <c r="I137" s="494"/>
      <c r="J137" s="494"/>
      <c r="K137" s="494"/>
      <c r="L137" s="494"/>
      <c r="M137" s="494"/>
      <c r="N137" s="494"/>
      <c r="O137" s="494"/>
      <c r="P137" s="494"/>
      <c r="Q137" s="494"/>
      <c r="R137" s="494"/>
      <c r="S137" s="494"/>
    </row>
    <row r="138" spans="1:19" x14ac:dyDescent="0.35">
      <c r="A138" s="494"/>
      <c r="B138" s="494"/>
      <c r="C138" s="494"/>
      <c r="D138" s="494"/>
      <c r="E138" s="494"/>
      <c r="F138" s="494"/>
      <c r="G138" s="494"/>
      <c r="H138" s="494"/>
      <c r="I138" s="494"/>
      <c r="J138" s="494"/>
      <c r="K138" s="494"/>
      <c r="L138" s="494"/>
      <c r="M138" s="494"/>
      <c r="N138" s="494"/>
      <c r="O138" s="494"/>
      <c r="P138" s="494"/>
      <c r="Q138" s="494"/>
      <c r="R138" s="494"/>
      <c r="S138" s="494"/>
    </row>
    <row r="139" spans="1:19" x14ac:dyDescent="0.35">
      <c r="A139" s="494"/>
      <c r="B139" s="494"/>
      <c r="C139" s="494"/>
      <c r="D139" s="494"/>
      <c r="E139" s="494"/>
      <c r="F139" s="494"/>
      <c r="G139" s="494"/>
      <c r="H139" s="494"/>
      <c r="I139" s="494"/>
      <c r="J139" s="494"/>
      <c r="K139" s="494"/>
      <c r="L139" s="494"/>
      <c r="M139" s="494"/>
      <c r="N139" s="494"/>
      <c r="O139" s="494"/>
      <c r="P139" s="494"/>
      <c r="Q139" s="494"/>
      <c r="R139" s="494"/>
      <c r="S139" s="494"/>
    </row>
    <row r="140" spans="1:19" x14ac:dyDescent="0.35">
      <c r="A140" s="494"/>
      <c r="B140" s="494"/>
      <c r="C140" s="494"/>
      <c r="D140" s="494"/>
      <c r="E140" s="494"/>
      <c r="F140" s="494"/>
      <c r="G140" s="494"/>
      <c r="H140" s="494"/>
      <c r="I140" s="494"/>
      <c r="J140" s="494"/>
      <c r="K140" s="494"/>
      <c r="L140" s="494"/>
      <c r="M140" s="494"/>
      <c r="N140" s="494"/>
      <c r="O140" s="494"/>
      <c r="P140" s="494"/>
      <c r="Q140" s="494"/>
      <c r="R140" s="494"/>
      <c r="S140" s="494"/>
    </row>
    <row r="141" spans="1:19" x14ac:dyDescent="0.35">
      <c r="A141" s="494"/>
      <c r="B141" s="494"/>
      <c r="C141" s="494"/>
      <c r="D141" s="494"/>
      <c r="E141" s="494"/>
      <c r="F141" s="494"/>
      <c r="G141" s="494"/>
      <c r="H141" s="494"/>
      <c r="I141" s="494"/>
      <c r="J141" s="494"/>
      <c r="K141" s="494"/>
      <c r="L141" s="494"/>
      <c r="M141" s="494"/>
      <c r="N141" s="494"/>
      <c r="O141" s="494"/>
      <c r="P141" s="494"/>
      <c r="Q141" s="494"/>
      <c r="R141" s="494"/>
      <c r="S141" s="494"/>
    </row>
    <row r="142" spans="1:19" x14ac:dyDescent="0.35">
      <c r="A142" s="494"/>
      <c r="B142" s="494"/>
      <c r="C142" s="494"/>
      <c r="D142" s="494"/>
      <c r="E142" s="494"/>
      <c r="F142" s="494"/>
      <c r="G142" s="494"/>
      <c r="H142" s="494"/>
      <c r="I142" s="494"/>
      <c r="J142" s="494"/>
      <c r="K142" s="494"/>
      <c r="L142" s="494"/>
      <c r="M142" s="494"/>
      <c r="N142" s="494"/>
      <c r="O142" s="494"/>
      <c r="P142" s="494"/>
      <c r="Q142" s="494"/>
      <c r="R142" s="494"/>
      <c r="S142" s="494"/>
    </row>
    <row r="143" spans="1:19" x14ac:dyDescent="0.35">
      <c r="A143" s="494"/>
      <c r="B143" s="494"/>
      <c r="C143" s="494"/>
      <c r="D143" s="494"/>
      <c r="E143" s="494"/>
      <c r="F143" s="494"/>
      <c r="G143" s="494"/>
      <c r="H143" s="494"/>
      <c r="I143" s="494"/>
      <c r="J143" s="494"/>
      <c r="K143" s="494"/>
      <c r="L143" s="494"/>
      <c r="M143" s="494"/>
      <c r="N143" s="494"/>
      <c r="O143" s="494"/>
      <c r="P143" s="494"/>
      <c r="Q143" s="494"/>
      <c r="R143" s="494"/>
      <c r="S143" s="494"/>
    </row>
    <row r="144" spans="1:19" x14ac:dyDescent="0.35">
      <c r="A144" s="494"/>
      <c r="B144" s="494"/>
      <c r="C144" s="494"/>
      <c r="D144" s="494"/>
      <c r="E144" s="494"/>
      <c r="F144" s="494"/>
      <c r="G144" s="494"/>
      <c r="H144" s="494"/>
      <c r="I144" s="494"/>
      <c r="J144" s="494"/>
      <c r="K144" s="494"/>
      <c r="L144" s="494"/>
      <c r="M144" s="494"/>
      <c r="N144" s="494"/>
      <c r="O144" s="494"/>
      <c r="P144" s="494"/>
      <c r="Q144" s="494"/>
      <c r="R144" s="494"/>
      <c r="S144" s="494"/>
    </row>
    <row r="145" spans="1:19" x14ac:dyDescent="0.35">
      <c r="A145" s="494"/>
      <c r="B145" s="494"/>
      <c r="C145" s="494"/>
      <c r="D145" s="494"/>
      <c r="E145" s="494"/>
      <c r="F145" s="494"/>
      <c r="G145" s="494"/>
      <c r="H145" s="494"/>
      <c r="I145" s="494"/>
      <c r="J145" s="494"/>
      <c r="K145" s="494"/>
      <c r="L145" s="494"/>
      <c r="M145" s="494"/>
      <c r="N145" s="494"/>
      <c r="O145" s="494"/>
      <c r="P145" s="494"/>
      <c r="Q145" s="494"/>
      <c r="R145" s="494"/>
      <c r="S145" s="494"/>
    </row>
    <row r="146" spans="1:19" x14ac:dyDescent="0.35">
      <c r="A146" s="494"/>
      <c r="B146" s="494"/>
      <c r="C146" s="494"/>
      <c r="D146" s="494"/>
      <c r="E146" s="494"/>
      <c r="F146" s="494"/>
      <c r="G146" s="494"/>
      <c r="H146" s="494"/>
      <c r="I146" s="494"/>
      <c r="J146" s="494"/>
      <c r="K146" s="494"/>
      <c r="L146" s="494"/>
      <c r="M146" s="494"/>
      <c r="N146" s="494"/>
      <c r="O146" s="494"/>
      <c r="P146" s="494"/>
      <c r="Q146" s="494"/>
      <c r="R146" s="494"/>
      <c r="S146" s="494"/>
    </row>
    <row r="147" spans="1:19" x14ac:dyDescent="0.35">
      <c r="A147" s="494"/>
      <c r="B147" s="494"/>
      <c r="C147" s="494"/>
      <c r="D147" s="494"/>
      <c r="E147" s="494"/>
      <c r="F147" s="494"/>
      <c r="G147" s="494"/>
      <c r="H147" s="494"/>
      <c r="I147" s="494"/>
      <c r="J147" s="494"/>
      <c r="K147" s="494"/>
      <c r="L147" s="494"/>
      <c r="M147" s="494"/>
      <c r="N147" s="494"/>
      <c r="O147" s="494"/>
      <c r="P147" s="494"/>
      <c r="Q147" s="494"/>
      <c r="R147" s="494"/>
      <c r="S147" s="494"/>
    </row>
    <row r="148" spans="1:19" x14ac:dyDescent="0.35">
      <c r="A148" s="494"/>
      <c r="B148" s="494"/>
      <c r="C148" s="494"/>
      <c r="D148" s="494"/>
      <c r="E148" s="494"/>
      <c r="F148" s="494"/>
      <c r="G148" s="494"/>
      <c r="H148" s="494"/>
      <c r="I148" s="494"/>
      <c r="J148" s="494"/>
      <c r="K148" s="494"/>
      <c r="L148" s="494"/>
      <c r="M148" s="494"/>
      <c r="N148" s="494"/>
      <c r="O148" s="494"/>
      <c r="P148" s="494"/>
      <c r="Q148" s="494"/>
      <c r="R148" s="494"/>
      <c r="S148" s="494"/>
    </row>
    <row r="149" spans="1:19" x14ac:dyDescent="0.35">
      <c r="A149" s="494"/>
      <c r="B149" s="494"/>
      <c r="C149" s="494"/>
      <c r="D149" s="494"/>
      <c r="E149" s="494"/>
      <c r="F149" s="494"/>
      <c r="G149" s="494"/>
      <c r="H149" s="494"/>
      <c r="I149" s="494"/>
      <c r="J149" s="494"/>
      <c r="K149" s="494"/>
      <c r="L149" s="494"/>
      <c r="M149" s="494"/>
      <c r="N149" s="494"/>
      <c r="O149" s="494"/>
      <c r="P149" s="494"/>
      <c r="Q149" s="494"/>
      <c r="R149" s="494"/>
      <c r="S149" s="494"/>
    </row>
    <row r="150" spans="1:19" x14ac:dyDescent="0.35">
      <c r="A150" s="494"/>
      <c r="B150" s="494"/>
      <c r="C150" s="494"/>
      <c r="D150" s="494"/>
      <c r="E150" s="494"/>
      <c r="F150" s="494"/>
      <c r="G150" s="494"/>
      <c r="H150" s="494"/>
      <c r="I150" s="494"/>
      <c r="J150" s="494"/>
      <c r="K150" s="494"/>
      <c r="L150" s="494"/>
      <c r="M150" s="494"/>
      <c r="N150" s="494"/>
      <c r="O150" s="494"/>
      <c r="P150" s="494"/>
      <c r="Q150" s="494"/>
      <c r="R150" s="494"/>
      <c r="S150" s="494"/>
    </row>
    <row r="151" spans="1:19" x14ac:dyDescent="0.35">
      <c r="A151" s="494"/>
      <c r="B151" s="494"/>
      <c r="C151" s="494"/>
      <c r="D151" s="494"/>
      <c r="E151" s="494"/>
      <c r="F151" s="494"/>
      <c r="G151" s="494"/>
      <c r="H151" s="494"/>
      <c r="I151" s="494"/>
      <c r="J151" s="494"/>
      <c r="K151" s="494"/>
      <c r="L151" s="494"/>
      <c r="M151" s="494"/>
      <c r="N151" s="494"/>
      <c r="O151" s="494"/>
      <c r="P151" s="494"/>
      <c r="Q151" s="494"/>
      <c r="R151" s="494"/>
      <c r="S151" s="494"/>
    </row>
    <row r="152" spans="1:19" x14ac:dyDescent="0.35">
      <c r="A152" s="494"/>
      <c r="B152" s="494"/>
      <c r="C152" s="494"/>
      <c r="D152" s="494"/>
      <c r="E152" s="494"/>
      <c r="F152" s="494"/>
      <c r="G152" s="494"/>
      <c r="H152" s="494"/>
      <c r="I152" s="494"/>
      <c r="J152" s="494"/>
      <c r="K152" s="494"/>
      <c r="L152" s="494"/>
      <c r="M152" s="494"/>
      <c r="N152" s="494"/>
      <c r="O152" s="494"/>
      <c r="P152" s="494"/>
      <c r="Q152" s="494"/>
      <c r="R152" s="494"/>
      <c r="S152" s="494"/>
    </row>
    <row r="153" spans="1:19" x14ac:dyDescent="0.35">
      <c r="A153" s="494"/>
      <c r="B153" s="494"/>
      <c r="C153" s="494"/>
      <c r="D153" s="494"/>
      <c r="E153" s="494"/>
      <c r="F153" s="494"/>
      <c r="G153" s="494"/>
      <c r="H153" s="494"/>
      <c r="I153" s="494"/>
      <c r="J153" s="494"/>
      <c r="K153" s="494"/>
      <c r="L153" s="494"/>
      <c r="M153" s="494"/>
      <c r="N153" s="494"/>
      <c r="O153" s="494"/>
      <c r="P153" s="494"/>
      <c r="Q153" s="494"/>
      <c r="R153" s="494"/>
      <c r="S153" s="494"/>
    </row>
    <row r="154" spans="1:19" x14ac:dyDescent="0.35">
      <c r="A154" s="494"/>
      <c r="B154" s="494"/>
      <c r="C154" s="494"/>
      <c r="D154" s="494"/>
      <c r="E154" s="494"/>
      <c r="F154" s="494"/>
      <c r="G154" s="494"/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4"/>
    </row>
    <row r="155" spans="1:19" x14ac:dyDescent="0.35">
      <c r="A155" s="494"/>
      <c r="B155" s="494"/>
      <c r="C155" s="494"/>
      <c r="D155" s="494"/>
      <c r="E155" s="494"/>
      <c r="F155" s="494"/>
      <c r="G155" s="494"/>
      <c r="H155" s="494"/>
      <c r="I155" s="494"/>
      <c r="J155" s="494"/>
      <c r="K155" s="494"/>
      <c r="L155" s="494"/>
      <c r="M155" s="494"/>
      <c r="N155" s="494"/>
      <c r="O155" s="494"/>
      <c r="P155" s="494"/>
      <c r="Q155" s="494"/>
      <c r="R155" s="494"/>
      <c r="S155" s="494"/>
    </row>
    <row r="156" spans="1:19" x14ac:dyDescent="0.35">
      <c r="A156" s="494"/>
      <c r="B156" s="494"/>
      <c r="C156" s="494"/>
      <c r="D156" s="494"/>
      <c r="E156" s="494"/>
      <c r="F156" s="494"/>
      <c r="G156" s="494"/>
      <c r="H156" s="494"/>
      <c r="I156" s="494"/>
      <c r="J156" s="494"/>
      <c r="K156" s="494"/>
      <c r="L156" s="494"/>
      <c r="M156" s="494"/>
      <c r="N156" s="494"/>
      <c r="O156" s="494"/>
      <c r="P156" s="494"/>
      <c r="Q156" s="494"/>
      <c r="R156" s="494"/>
      <c r="S156" s="494"/>
    </row>
    <row r="157" spans="1:19" x14ac:dyDescent="0.35">
      <c r="A157" s="494"/>
      <c r="B157" s="494"/>
      <c r="C157" s="494"/>
      <c r="D157" s="494"/>
      <c r="E157" s="494"/>
      <c r="F157" s="494"/>
      <c r="G157" s="494"/>
      <c r="H157" s="494"/>
      <c r="I157" s="494"/>
      <c r="J157" s="494"/>
      <c r="K157" s="494"/>
      <c r="L157" s="494"/>
      <c r="M157" s="494"/>
      <c r="N157" s="494"/>
      <c r="O157" s="494"/>
      <c r="P157" s="494"/>
      <c r="Q157" s="494"/>
      <c r="R157" s="494"/>
      <c r="S157" s="494"/>
    </row>
    <row r="158" spans="1:19" x14ac:dyDescent="0.35">
      <c r="A158" s="494"/>
      <c r="B158" s="494"/>
      <c r="C158" s="494"/>
      <c r="D158" s="494"/>
      <c r="E158" s="494"/>
      <c r="F158" s="494"/>
      <c r="G158" s="494"/>
      <c r="H158" s="494"/>
      <c r="I158" s="494"/>
      <c r="J158" s="494"/>
      <c r="K158" s="494"/>
      <c r="L158" s="494"/>
      <c r="M158" s="494"/>
      <c r="N158" s="494"/>
      <c r="O158" s="494"/>
      <c r="P158" s="494"/>
      <c r="Q158" s="494"/>
      <c r="R158" s="494"/>
      <c r="S158" s="494"/>
    </row>
    <row r="159" spans="1:19" x14ac:dyDescent="0.35">
      <c r="A159" s="494"/>
      <c r="B159" s="494"/>
      <c r="C159" s="494"/>
      <c r="D159" s="494"/>
      <c r="E159" s="494"/>
      <c r="F159" s="494"/>
      <c r="G159" s="494"/>
      <c r="H159" s="494"/>
      <c r="I159" s="494"/>
      <c r="J159" s="494"/>
      <c r="K159" s="494"/>
      <c r="L159" s="494"/>
      <c r="M159" s="494"/>
      <c r="N159" s="494"/>
      <c r="O159" s="494"/>
      <c r="P159" s="494"/>
      <c r="Q159" s="494"/>
      <c r="R159" s="494"/>
      <c r="S159" s="494"/>
    </row>
    <row r="160" spans="1:19" x14ac:dyDescent="0.35">
      <c r="A160" s="494"/>
      <c r="B160" s="494"/>
      <c r="C160" s="494"/>
      <c r="D160" s="494"/>
      <c r="E160" s="494"/>
      <c r="F160" s="494"/>
      <c r="G160" s="494"/>
      <c r="H160" s="494"/>
      <c r="I160" s="494"/>
      <c r="J160" s="494"/>
      <c r="K160" s="494"/>
      <c r="L160" s="494"/>
      <c r="M160" s="494"/>
      <c r="N160" s="494"/>
      <c r="O160" s="494"/>
      <c r="P160" s="494"/>
      <c r="Q160" s="494"/>
      <c r="R160" s="494"/>
      <c r="S160" s="494"/>
    </row>
    <row r="161" spans="1:19" x14ac:dyDescent="0.35">
      <c r="A161" s="494"/>
      <c r="B161" s="494"/>
      <c r="C161" s="494"/>
      <c r="D161" s="494"/>
      <c r="E161" s="494"/>
      <c r="F161" s="494"/>
      <c r="G161" s="494"/>
      <c r="H161" s="494"/>
      <c r="I161" s="494"/>
      <c r="J161" s="494"/>
      <c r="K161" s="494"/>
      <c r="L161" s="494"/>
      <c r="M161" s="494"/>
      <c r="N161" s="494"/>
      <c r="O161" s="494"/>
      <c r="P161" s="494"/>
      <c r="Q161" s="494"/>
      <c r="R161" s="494"/>
      <c r="S161" s="494"/>
    </row>
    <row r="162" spans="1:19" x14ac:dyDescent="0.35">
      <c r="A162" s="494"/>
      <c r="B162" s="494"/>
      <c r="C162" s="494"/>
      <c r="D162" s="494"/>
      <c r="E162" s="494"/>
      <c r="F162" s="494"/>
      <c r="G162" s="494"/>
      <c r="H162" s="494"/>
      <c r="I162" s="494"/>
      <c r="J162" s="494"/>
      <c r="K162" s="494"/>
      <c r="L162" s="494"/>
      <c r="M162" s="494"/>
      <c r="N162" s="494"/>
      <c r="O162" s="494"/>
      <c r="P162" s="494"/>
      <c r="Q162" s="494"/>
      <c r="R162" s="494"/>
      <c r="S162" s="494"/>
    </row>
    <row r="163" spans="1:19" x14ac:dyDescent="0.35">
      <c r="A163" s="494"/>
      <c r="B163" s="494"/>
      <c r="C163" s="494"/>
      <c r="D163" s="494"/>
      <c r="E163" s="494"/>
      <c r="F163" s="494"/>
      <c r="G163" s="494"/>
      <c r="H163" s="494"/>
      <c r="I163" s="494"/>
      <c r="J163" s="494"/>
      <c r="K163" s="494"/>
      <c r="L163" s="494"/>
      <c r="M163" s="494"/>
      <c r="N163" s="494"/>
      <c r="O163" s="494"/>
      <c r="P163" s="494"/>
      <c r="Q163" s="494"/>
      <c r="R163" s="494"/>
      <c r="S163" s="494"/>
    </row>
    <row r="164" spans="1:19" x14ac:dyDescent="0.35">
      <c r="A164" s="494"/>
      <c r="B164" s="494"/>
      <c r="C164" s="494"/>
      <c r="D164" s="494"/>
      <c r="E164" s="494"/>
      <c r="F164" s="494"/>
      <c r="G164" s="494"/>
      <c r="H164" s="494"/>
      <c r="I164" s="494"/>
      <c r="J164" s="494"/>
      <c r="K164" s="494"/>
      <c r="L164" s="494"/>
      <c r="M164" s="494"/>
      <c r="N164" s="494"/>
      <c r="O164" s="494"/>
      <c r="P164" s="494"/>
      <c r="Q164" s="494"/>
      <c r="R164" s="494"/>
      <c r="S164" s="494"/>
    </row>
    <row r="165" spans="1:19" x14ac:dyDescent="0.35">
      <c r="A165" s="494"/>
      <c r="B165" s="494"/>
      <c r="C165" s="494"/>
      <c r="D165" s="494"/>
      <c r="E165" s="494"/>
      <c r="F165" s="494"/>
      <c r="G165" s="494"/>
      <c r="H165" s="494"/>
      <c r="I165" s="494"/>
      <c r="J165" s="494"/>
      <c r="K165" s="494"/>
      <c r="L165" s="494"/>
      <c r="M165" s="494"/>
      <c r="N165" s="494"/>
      <c r="O165" s="494"/>
      <c r="P165" s="494"/>
      <c r="Q165" s="494"/>
      <c r="R165" s="494"/>
      <c r="S165" s="494"/>
    </row>
    <row r="166" spans="1:19" x14ac:dyDescent="0.35">
      <c r="A166" s="494"/>
      <c r="B166" s="494"/>
      <c r="C166" s="494"/>
      <c r="D166" s="494"/>
      <c r="E166" s="494"/>
      <c r="F166" s="494"/>
      <c r="G166" s="494"/>
      <c r="H166" s="494"/>
      <c r="I166" s="494"/>
      <c r="J166" s="494"/>
      <c r="K166" s="494"/>
      <c r="L166" s="494"/>
      <c r="M166" s="494"/>
      <c r="N166" s="494"/>
      <c r="O166" s="494"/>
      <c r="P166" s="494"/>
      <c r="Q166" s="494"/>
      <c r="R166" s="494"/>
      <c r="S166" s="494"/>
    </row>
    <row r="167" spans="1:19" x14ac:dyDescent="0.35">
      <c r="A167" s="494"/>
      <c r="B167" s="494"/>
      <c r="C167" s="494"/>
      <c r="D167" s="494"/>
      <c r="E167" s="494"/>
      <c r="F167" s="494"/>
      <c r="G167" s="494"/>
      <c r="H167" s="494"/>
      <c r="I167" s="494"/>
      <c r="J167" s="494"/>
      <c r="K167" s="494"/>
      <c r="L167" s="494"/>
      <c r="M167" s="494"/>
      <c r="N167" s="494"/>
      <c r="O167" s="494"/>
      <c r="P167" s="494"/>
      <c r="Q167" s="494"/>
      <c r="R167" s="494"/>
      <c r="S167" s="494"/>
    </row>
    <row r="168" spans="1:19" x14ac:dyDescent="0.35">
      <c r="A168" s="494"/>
      <c r="B168" s="494"/>
      <c r="C168" s="494"/>
      <c r="D168" s="494"/>
      <c r="E168" s="494"/>
      <c r="F168" s="494"/>
      <c r="G168" s="494"/>
      <c r="H168" s="494"/>
      <c r="I168" s="494"/>
      <c r="J168" s="494"/>
      <c r="K168" s="494"/>
      <c r="L168" s="494"/>
      <c r="M168" s="494"/>
      <c r="N168" s="494"/>
      <c r="O168" s="494"/>
      <c r="P168" s="494"/>
      <c r="Q168" s="494"/>
      <c r="R168" s="494"/>
      <c r="S168" s="494"/>
    </row>
    <row r="169" spans="1:19" x14ac:dyDescent="0.35">
      <c r="A169" s="494"/>
      <c r="B169" s="494"/>
      <c r="C169" s="494"/>
      <c r="D169" s="494"/>
      <c r="E169" s="494"/>
      <c r="F169" s="494"/>
      <c r="G169" s="494"/>
      <c r="H169" s="494"/>
      <c r="I169" s="494"/>
      <c r="J169" s="494"/>
      <c r="K169" s="494"/>
      <c r="L169" s="494"/>
      <c r="M169" s="494"/>
      <c r="N169" s="494"/>
      <c r="O169" s="494"/>
      <c r="P169" s="494"/>
      <c r="Q169" s="494"/>
      <c r="R169" s="494"/>
      <c r="S169" s="494"/>
    </row>
    <row r="170" spans="1:19" x14ac:dyDescent="0.35">
      <c r="A170" s="494"/>
      <c r="B170" s="494"/>
      <c r="C170" s="494"/>
      <c r="D170" s="494"/>
      <c r="E170" s="494"/>
      <c r="F170" s="494"/>
      <c r="G170" s="494"/>
      <c r="H170" s="494"/>
      <c r="I170" s="494"/>
      <c r="J170" s="494"/>
      <c r="K170" s="494"/>
      <c r="L170" s="494"/>
      <c r="M170" s="494"/>
      <c r="N170" s="494"/>
      <c r="O170" s="494"/>
      <c r="P170" s="494"/>
      <c r="Q170" s="494"/>
      <c r="R170" s="494"/>
      <c r="S170" s="494"/>
    </row>
    <row r="171" spans="1:19" x14ac:dyDescent="0.35">
      <c r="A171" s="494"/>
      <c r="B171" s="494"/>
      <c r="C171" s="494"/>
      <c r="D171" s="494"/>
      <c r="E171" s="494"/>
      <c r="F171" s="494"/>
      <c r="G171" s="494"/>
      <c r="H171" s="494"/>
      <c r="I171" s="494"/>
      <c r="J171" s="494"/>
      <c r="K171" s="494"/>
      <c r="L171" s="494"/>
      <c r="M171" s="494"/>
      <c r="N171" s="494"/>
      <c r="O171" s="494"/>
      <c r="P171" s="494"/>
      <c r="Q171" s="494"/>
      <c r="R171" s="494"/>
      <c r="S171" s="494"/>
    </row>
    <row r="172" spans="1:19" x14ac:dyDescent="0.35">
      <c r="A172" s="494"/>
      <c r="B172" s="494"/>
      <c r="C172" s="494"/>
      <c r="D172" s="494"/>
      <c r="E172" s="494"/>
      <c r="F172" s="494"/>
      <c r="G172" s="494"/>
      <c r="H172" s="494"/>
      <c r="I172" s="494"/>
      <c r="J172" s="494"/>
      <c r="K172" s="494"/>
      <c r="L172" s="494"/>
      <c r="M172" s="494"/>
      <c r="N172" s="494"/>
      <c r="O172" s="494"/>
      <c r="P172" s="494"/>
      <c r="Q172" s="494"/>
      <c r="R172" s="494"/>
      <c r="S172" s="494"/>
    </row>
    <row r="173" spans="1:19" x14ac:dyDescent="0.35">
      <c r="A173" s="494"/>
      <c r="B173" s="494"/>
      <c r="C173" s="494"/>
      <c r="D173" s="494"/>
      <c r="E173" s="494"/>
      <c r="F173" s="494"/>
      <c r="G173" s="494"/>
      <c r="H173" s="494"/>
      <c r="I173" s="494"/>
      <c r="J173" s="494"/>
      <c r="K173" s="494"/>
      <c r="L173" s="494"/>
      <c r="M173" s="494"/>
      <c r="N173" s="494"/>
      <c r="O173" s="494"/>
      <c r="P173" s="494"/>
      <c r="Q173" s="494"/>
      <c r="R173" s="494"/>
      <c r="S173" s="494"/>
    </row>
    <row r="174" spans="1:19" x14ac:dyDescent="0.35">
      <c r="A174" s="494"/>
      <c r="B174" s="494"/>
      <c r="C174" s="494"/>
      <c r="D174" s="494"/>
      <c r="E174" s="494"/>
      <c r="F174" s="494"/>
      <c r="G174" s="494"/>
      <c r="H174" s="494"/>
      <c r="I174" s="494"/>
      <c r="J174" s="494"/>
      <c r="K174" s="494"/>
      <c r="L174" s="494"/>
      <c r="M174" s="494"/>
      <c r="N174" s="494"/>
      <c r="O174" s="494"/>
      <c r="P174" s="494"/>
      <c r="Q174" s="494"/>
      <c r="R174" s="494"/>
      <c r="S174" s="494"/>
    </row>
    <row r="175" spans="1:19" x14ac:dyDescent="0.35">
      <c r="A175" s="494"/>
      <c r="B175" s="494"/>
      <c r="C175" s="494"/>
      <c r="D175" s="494"/>
      <c r="E175" s="494"/>
      <c r="F175" s="494"/>
      <c r="G175" s="494"/>
      <c r="H175" s="494"/>
      <c r="I175" s="494"/>
      <c r="J175" s="494"/>
      <c r="K175" s="494"/>
      <c r="L175" s="494"/>
      <c r="M175" s="494"/>
      <c r="N175" s="494"/>
      <c r="O175" s="494"/>
      <c r="P175" s="494"/>
      <c r="Q175" s="494"/>
      <c r="R175" s="494"/>
      <c r="S175" s="494"/>
    </row>
    <row r="176" spans="1:19" x14ac:dyDescent="0.35">
      <c r="A176" s="494"/>
      <c r="B176" s="494"/>
      <c r="C176" s="494"/>
      <c r="D176" s="494"/>
      <c r="E176" s="494"/>
      <c r="F176" s="494"/>
      <c r="G176" s="494"/>
      <c r="H176" s="494"/>
      <c r="I176" s="494"/>
      <c r="J176" s="494"/>
      <c r="K176" s="494"/>
      <c r="L176" s="494"/>
      <c r="M176" s="494"/>
      <c r="N176" s="494"/>
      <c r="O176" s="494"/>
      <c r="P176" s="494"/>
      <c r="Q176" s="494"/>
      <c r="R176" s="494"/>
      <c r="S176" s="494"/>
    </row>
    <row r="177" spans="1:19" x14ac:dyDescent="0.35">
      <c r="A177" s="494"/>
      <c r="B177" s="494"/>
      <c r="C177" s="494"/>
      <c r="D177" s="494"/>
      <c r="E177" s="494"/>
      <c r="F177" s="494"/>
      <c r="G177" s="494"/>
      <c r="H177" s="494"/>
      <c r="I177" s="494"/>
      <c r="J177" s="494"/>
      <c r="K177" s="494"/>
      <c r="L177" s="494"/>
      <c r="M177" s="494"/>
      <c r="N177" s="494"/>
      <c r="O177" s="494"/>
      <c r="P177" s="494"/>
      <c r="Q177" s="494"/>
      <c r="R177" s="494"/>
      <c r="S177" s="494"/>
    </row>
    <row r="178" spans="1:19" x14ac:dyDescent="0.35">
      <c r="A178" s="494"/>
      <c r="B178" s="494"/>
      <c r="C178" s="494"/>
      <c r="D178" s="494"/>
      <c r="E178" s="494"/>
      <c r="F178" s="494"/>
      <c r="G178" s="494"/>
      <c r="H178" s="494"/>
      <c r="I178" s="494"/>
      <c r="J178" s="494"/>
      <c r="K178" s="494"/>
      <c r="L178" s="494"/>
      <c r="M178" s="494"/>
      <c r="N178" s="494"/>
      <c r="O178" s="494"/>
      <c r="P178" s="494"/>
      <c r="Q178" s="494"/>
      <c r="R178" s="494"/>
      <c r="S178" s="494"/>
    </row>
    <row r="179" spans="1:19" x14ac:dyDescent="0.35">
      <c r="A179" s="494"/>
      <c r="B179" s="494"/>
      <c r="C179" s="494"/>
      <c r="D179" s="494"/>
      <c r="E179" s="494"/>
      <c r="F179" s="494"/>
      <c r="G179" s="494"/>
      <c r="H179" s="494"/>
      <c r="I179" s="494"/>
      <c r="J179" s="494"/>
      <c r="K179" s="494"/>
      <c r="L179" s="494"/>
      <c r="M179" s="494"/>
      <c r="N179" s="494"/>
      <c r="O179" s="494"/>
      <c r="P179" s="494"/>
      <c r="Q179" s="494"/>
      <c r="R179" s="494"/>
      <c r="S179" s="494"/>
    </row>
    <row r="180" spans="1:19" x14ac:dyDescent="0.35">
      <c r="A180" s="494"/>
      <c r="B180" s="494"/>
      <c r="C180" s="494"/>
      <c r="D180" s="494"/>
      <c r="E180" s="494"/>
      <c r="F180" s="494"/>
      <c r="G180" s="494"/>
      <c r="H180" s="494"/>
      <c r="I180" s="494"/>
      <c r="J180" s="494"/>
      <c r="K180" s="494"/>
      <c r="L180" s="494"/>
      <c r="M180" s="494"/>
      <c r="N180" s="494"/>
      <c r="O180" s="494"/>
      <c r="P180" s="494"/>
      <c r="Q180" s="494"/>
      <c r="R180" s="494"/>
      <c r="S180" s="494"/>
    </row>
    <row r="181" spans="1:19" x14ac:dyDescent="0.35">
      <c r="A181" s="494"/>
      <c r="B181" s="494"/>
      <c r="C181" s="494"/>
      <c r="D181" s="494"/>
      <c r="E181" s="494"/>
      <c r="F181" s="494"/>
      <c r="G181" s="494"/>
      <c r="H181" s="494"/>
      <c r="I181" s="494"/>
      <c r="J181" s="494"/>
      <c r="K181" s="494"/>
      <c r="L181" s="494"/>
      <c r="M181" s="494"/>
      <c r="N181" s="494"/>
      <c r="O181" s="494"/>
      <c r="P181" s="494"/>
      <c r="Q181" s="494"/>
      <c r="R181" s="494"/>
      <c r="S181" s="494"/>
    </row>
    <row r="182" spans="1:19" x14ac:dyDescent="0.35">
      <c r="A182" s="494"/>
      <c r="B182" s="494"/>
      <c r="C182" s="494"/>
      <c r="D182" s="494"/>
      <c r="E182" s="494"/>
      <c r="F182" s="494"/>
      <c r="G182" s="494"/>
      <c r="H182" s="494"/>
      <c r="I182" s="494"/>
      <c r="J182" s="494"/>
      <c r="K182" s="494"/>
      <c r="L182" s="494"/>
      <c r="M182" s="494"/>
      <c r="N182" s="494"/>
      <c r="O182" s="494"/>
      <c r="P182" s="494"/>
      <c r="Q182" s="494"/>
      <c r="R182" s="494"/>
      <c r="S182" s="494"/>
    </row>
    <row r="183" spans="1:19" x14ac:dyDescent="0.35">
      <c r="A183" s="494"/>
      <c r="B183" s="494"/>
      <c r="C183" s="494"/>
      <c r="D183" s="494"/>
      <c r="E183" s="494"/>
      <c r="F183" s="494"/>
      <c r="G183" s="494"/>
      <c r="H183" s="494"/>
      <c r="I183" s="494"/>
      <c r="J183" s="494"/>
      <c r="K183" s="494"/>
      <c r="L183" s="494"/>
      <c r="M183" s="494"/>
      <c r="N183" s="494"/>
      <c r="O183" s="494"/>
      <c r="P183" s="494"/>
      <c r="Q183" s="494"/>
      <c r="R183" s="494"/>
      <c r="S183" s="494"/>
    </row>
    <row r="184" spans="1:19" x14ac:dyDescent="0.35">
      <c r="A184" s="494"/>
      <c r="B184" s="494"/>
      <c r="C184" s="494"/>
      <c r="D184" s="494"/>
      <c r="E184" s="494"/>
      <c r="F184" s="494"/>
      <c r="G184" s="494"/>
      <c r="H184" s="494"/>
      <c r="I184" s="494"/>
      <c r="J184" s="494"/>
      <c r="K184" s="494"/>
      <c r="L184" s="494"/>
      <c r="M184" s="494"/>
      <c r="N184" s="494"/>
      <c r="O184" s="494"/>
      <c r="P184" s="494"/>
      <c r="Q184" s="494"/>
      <c r="R184" s="494"/>
      <c r="S184" s="494"/>
    </row>
    <row r="185" spans="1:19" x14ac:dyDescent="0.35">
      <c r="A185" s="494"/>
      <c r="B185" s="494"/>
      <c r="C185" s="494"/>
      <c r="D185" s="494"/>
      <c r="E185" s="494"/>
      <c r="F185" s="494"/>
      <c r="G185" s="494"/>
      <c r="H185" s="494"/>
      <c r="I185" s="494"/>
      <c r="J185" s="494"/>
      <c r="K185" s="494"/>
      <c r="L185" s="494"/>
      <c r="M185" s="494"/>
      <c r="N185" s="494"/>
      <c r="O185" s="494"/>
      <c r="P185" s="494"/>
      <c r="Q185" s="494"/>
      <c r="R185" s="494"/>
      <c r="S185" s="494"/>
    </row>
    <row r="186" spans="1:19" x14ac:dyDescent="0.35">
      <c r="A186" s="494"/>
      <c r="B186" s="494"/>
      <c r="C186" s="494"/>
      <c r="D186" s="494"/>
      <c r="E186" s="494"/>
      <c r="F186" s="494"/>
      <c r="G186" s="494"/>
      <c r="H186" s="494"/>
      <c r="I186" s="494"/>
      <c r="J186" s="494"/>
      <c r="K186" s="494"/>
      <c r="L186" s="494"/>
      <c r="M186" s="494"/>
      <c r="N186" s="494"/>
      <c r="O186" s="494"/>
      <c r="P186" s="494"/>
      <c r="Q186" s="494"/>
      <c r="R186" s="494"/>
      <c r="S186" s="494"/>
    </row>
    <row r="187" spans="1:19" x14ac:dyDescent="0.35">
      <c r="A187" s="494"/>
      <c r="B187" s="494"/>
      <c r="C187" s="494"/>
      <c r="D187" s="494"/>
      <c r="E187" s="494"/>
      <c r="F187" s="494"/>
      <c r="G187" s="494"/>
      <c r="H187" s="494"/>
      <c r="I187" s="494"/>
      <c r="J187" s="494"/>
      <c r="K187" s="494"/>
      <c r="L187" s="494"/>
      <c r="M187" s="494"/>
      <c r="N187" s="494"/>
      <c r="O187" s="494"/>
      <c r="P187" s="494"/>
      <c r="Q187" s="494"/>
      <c r="R187" s="494"/>
      <c r="S187" s="494"/>
    </row>
    <row r="188" spans="1:19" x14ac:dyDescent="0.35">
      <c r="A188" s="494"/>
      <c r="B188" s="494"/>
      <c r="C188" s="494"/>
      <c r="D188" s="494"/>
      <c r="E188" s="494"/>
      <c r="F188" s="494"/>
      <c r="G188" s="494"/>
      <c r="H188" s="494"/>
      <c r="I188" s="494"/>
      <c r="J188" s="494"/>
      <c r="K188" s="494"/>
      <c r="L188" s="494"/>
      <c r="M188" s="494"/>
      <c r="N188" s="494"/>
      <c r="O188" s="494"/>
      <c r="P188" s="494"/>
      <c r="Q188" s="494"/>
      <c r="R188" s="494"/>
      <c r="S188" s="494"/>
    </row>
    <row r="189" spans="1:19" x14ac:dyDescent="0.35">
      <c r="A189" s="494"/>
      <c r="B189" s="494"/>
      <c r="C189" s="494"/>
      <c r="D189" s="494"/>
      <c r="E189" s="494"/>
      <c r="F189" s="494"/>
      <c r="G189" s="494"/>
      <c r="H189" s="494"/>
      <c r="I189" s="494"/>
      <c r="J189" s="494"/>
      <c r="K189" s="494"/>
      <c r="L189" s="494"/>
      <c r="M189" s="494"/>
      <c r="N189" s="494"/>
      <c r="O189" s="494"/>
      <c r="P189" s="494"/>
      <c r="Q189" s="494"/>
      <c r="R189" s="494"/>
      <c r="S189" s="494"/>
    </row>
    <row r="190" spans="1:19" x14ac:dyDescent="0.35">
      <c r="A190" s="494"/>
      <c r="B190" s="494"/>
      <c r="C190" s="494"/>
      <c r="D190" s="494"/>
      <c r="E190" s="494"/>
      <c r="F190" s="494"/>
      <c r="G190" s="494"/>
      <c r="H190" s="494"/>
      <c r="I190" s="494"/>
      <c r="J190" s="494"/>
      <c r="K190" s="494"/>
      <c r="L190" s="494"/>
      <c r="M190" s="494"/>
      <c r="N190" s="494"/>
      <c r="O190" s="494"/>
      <c r="P190" s="494"/>
      <c r="Q190" s="494"/>
      <c r="R190" s="494"/>
      <c r="S190" s="494"/>
    </row>
    <row r="191" spans="1:19" x14ac:dyDescent="0.35">
      <c r="A191" s="494"/>
      <c r="B191" s="494"/>
      <c r="C191" s="494"/>
      <c r="D191" s="494"/>
      <c r="E191" s="494"/>
      <c r="F191" s="494"/>
      <c r="G191" s="494"/>
      <c r="H191" s="494"/>
      <c r="I191" s="494"/>
      <c r="J191" s="494"/>
      <c r="K191" s="494"/>
      <c r="L191" s="494"/>
      <c r="M191" s="494"/>
      <c r="N191" s="494"/>
      <c r="O191" s="494"/>
      <c r="P191" s="494"/>
      <c r="Q191" s="494"/>
      <c r="R191" s="494"/>
      <c r="S191" s="494"/>
    </row>
    <row r="192" spans="1:19" x14ac:dyDescent="0.35">
      <c r="A192" s="494"/>
      <c r="B192" s="494"/>
      <c r="C192" s="494"/>
      <c r="D192" s="494"/>
      <c r="E192" s="494"/>
      <c r="F192" s="494"/>
      <c r="G192" s="494"/>
      <c r="H192" s="494"/>
      <c r="I192" s="494"/>
      <c r="J192" s="494"/>
      <c r="K192" s="494"/>
      <c r="L192" s="494"/>
      <c r="M192" s="494"/>
      <c r="N192" s="494"/>
      <c r="O192" s="494"/>
      <c r="P192" s="494"/>
      <c r="Q192" s="494"/>
      <c r="R192" s="494"/>
      <c r="S192" s="494"/>
    </row>
    <row r="193" spans="1:19" x14ac:dyDescent="0.35">
      <c r="A193" s="494"/>
      <c r="B193" s="494"/>
      <c r="C193" s="494"/>
      <c r="D193" s="494"/>
      <c r="E193" s="494"/>
      <c r="F193" s="494"/>
      <c r="G193" s="494"/>
      <c r="H193" s="494"/>
      <c r="I193" s="494"/>
      <c r="J193" s="494"/>
      <c r="K193" s="494"/>
      <c r="L193" s="494"/>
      <c r="M193" s="494"/>
      <c r="N193" s="494"/>
      <c r="O193" s="494"/>
      <c r="P193" s="494"/>
      <c r="Q193" s="494"/>
      <c r="R193" s="494"/>
      <c r="S193" s="494"/>
    </row>
    <row r="194" spans="1:19" x14ac:dyDescent="0.35">
      <c r="A194" s="494"/>
      <c r="B194" s="494"/>
      <c r="C194" s="494"/>
      <c r="D194" s="494"/>
      <c r="E194" s="494"/>
      <c r="F194" s="494"/>
      <c r="G194" s="494"/>
      <c r="H194" s="494"/>
      <c r="I194" s="494"/>
      <c r="J194" s="494"/>
      <c r="K194" s="494"/>
      <c r="L194" s="494"/>
      <c r="M194" s="494"/>
      <c r="N194" s="494"/>
      <c r="O194" s="494"/>
      <c r="P194" s="494"/>
      <c r="Q194" s="494"/>
      <c r="R194" s="494"/>
      <c r="S194" s="494"/>
    </row>
    <row r="195" spans="1:19" x14ac:dyDescent="0.35">
      <c r="A195" s="494"/>
      <c r="B195" s="494"/>
      <c r="C195" s="494"/>
      <c r="D195" s="494"/>
      <c r="E195" s="494"/>
      <c r="F195" s="494"/>
      <c r="G195" s="494"/>
      <c r="H195" s="494"/>
      <c r="I195" s="494"/>
      <c r="J195" s="494"/>
      <c r="K195" s="494"/>
      <c r="L195" s="494"/>
      <c r="M195" s="494"/>
      <c r="N195" s="494"/>
      <c r="O195" s="494"/>
      <c r="P195" s="494"/>
      <c r="Q195" s="494"/>
      <c r="R195" s="494"/>
      <c r="S195" s="494"/>
    </row>
    <row r="196" spans="1:19" x14ac:dyDescent="0.35">
      <c r="A196" s="494"/>
      <c r="B196" s="494"/>
      <c r="C196" s="494"/>
      <c r="D196" s="494"/>
      <c r="E196" s="494"/>
      <c r="F196" s="494"/>
      <c r="G196" s="494"/>
      <c r="H196" s="494"/>
      <c r="I196" s="494"/>
      <c r="J196" s="494"/>
      <c r="K196" s="494"/>
      <c r="L196" s="494"/>
      <c r="M196" s="494"/>
      <c r="N196" s="494"/>
      <c r="O196" s="494"/>
      <c r="P196" s="494"/>
      <c r="Q196" s="494"/>
      <c r="R196" s="494"/>
      <c r="S196" s="494"/>
    </row>
    <row r="197" spans="1:19" x14ac:dyDescent="0.35">
      <c r="A197" s="494"/>
      <c r="B197" s="494"/>
      <c r="C197" s="494"/>
      <c r="D197" s="494"/>
      <c r="E197" s="494"/>
      <c r="F197" s="494"/>
      <c r="G197" s="494"/>
      <c r="H197" s="494"/>
      <c r="I197" s="494"/>
      <c r="J197" s="494"/>
      <c r="K197" s="494"/>
      <c r="L197" s="494"/>
      <c r="M197" s="494"/>
      <c r="N197" s="494"/>
      <c r="O197" s="494"/>
      <c r="P197" s="494"/>
      <c r="Q197" s="494"/>
      <c r="R197" s="494"/>
      <c r="S197" s="494"/>
    </row>
    <row r="198" spans="1:19" x14ac:dyDescent="0.35">
      <c r="A198" s="494"/>
      <c r="B198" s="494"/>
      <c r="C198" s="494"/>
      <c r="D198" s="494"/>
      <c r="E198" s="494"/>
      <c r="F198" s="494"/>
      <c r="G198" s="494"/>
      <c r="H198" s="494"/>
      <c r="I198" s="494"/>
      <c r="J198" s="494"/>
      <c r="K198" s="494"/>
      <c r="L198" s="494"/>
      <c r="M198" s="494"/>
      <c r="N198" s="494"/>
      <c r="O198" s="494"/>
      <c r="P198" s="494"/>
      <c r="Q198" s="494"/>
      <c r="R198" s="494"/>
      <c r="S198" s="494"/>
    </row>
    <row r="199" spans="1:19" x14ac:dyDescent="0.35">
      <c r="A199" s="494"/>
      <c r="B199" s="494"/>
      <c r="C199" s="494"/>
      <c r="D199" s="494"/>
      <c r="E199" s="494"/>
      <c r="F199" s="494"/>
      <c r="G199" s="494"/>
      <c r="H199" s="494"/>
      <c r="I199" s="494"/>
      <c r="J199" s="494"/>
      <c r="K199" s="494"/>
      <c r="L199" s="494"/>
      <c r="M199" s="494"/>
      <c r="N199" s="494"/>
      <c r="O199" s="494"/>
      <c r="P199" s="494"/>
      <c r="Q199" s="494"/>
      <c r="R199" s="494"/>
      <c r="S199" s="494"/>
    </row>
    <row r="200" spans="1:19" x14ac:dyDescent="0.35">
      <c r="A200" s="494"/>
      <c r="B200" s="494"/>
      <c r="C200" s="494"/>
      <c r="D200" s="494"/>
      <c r="E200" s="494"/>
      <c r="F200" s="494"/>
      <c r="G200" s="494"/>
      <c r="H200" s="494"/>
      <c r="I200" s="494"/>
      <c r="J200" s="494"/>
      <c r="K200" s="494"/>
      <c r="L200" s="494"/>
      <c r="M200" s="494"/>
      <c r="N200" s="494"/>
      <c r="O200" s="494"/>
      <c r="P200" s="494"/>
      <c r="Q200" s="494"/>
      <c r="R200" s="494"/>
      <c r="S200" s="494"/>
    </row>
    <row r="201" spans="1:19" x14ac:dyDescent="0.35">
      <c r="A201" s="494"/>
      <c r="B201" s="494"/>
      <c r="C201" s="494"/>
      <c r="D201" s="494"/>
      <c r="E201" s="494"/>
      <c r="F201" s="494"/>
      <c r="G201" s="494"/>
      <c r="H201" s="494"/>
      <c r="I201" s="494"/>
      <c r="J201" s="494"/>
      <c r="K201" s="494"/>
      <c r="L201" s="494"/>
      <c r="M201" s="494"/>
      <c r="N201" s="494"/>
      <c r="O201" s="494"/>
      <c r="P201" s="494"/>
      <c r="Q201" s="494"/>
      <c r="R201" s="494"/>
      <c r="S201" s="494"/>
    </row>
    <row r="202" spans="1:19" x14ac:dyDescent="0.35">
      <c r="A202" s="494"/>
      <c r="B202" s="494"/>
      <c r="C202" s="494"/>
      <c r="D202" s="494"/>
      <c r="E202" s="494"/>
      <c r="F202" s="494"/>
      <c r="G202" s="494"/>
      <c r="H202" s="494"/>
      <c r="I202" s="494"/>
      <c r="J202" s="494"/>
      <c r="K202" s="494"/>
      <c r="L202" s="494"/>
      <c r="M202" s="494"/>
      <c r="N202" s="494"/>
      <c r="O202" s="494"/>
      <c r="P202" s="494"/>
      <c r="Q202" s="494"/>
      <c r="R202" s="494"/>
      <c r="S202" s="494"/>
    </row>
    <row r="203" spans="1:19" x14ac:dyDescent="0.35">
      <c r="A203" s="494"/>
      <c r="B203" s="494"/>
      <c r="C203" s="494"/>
      <c r="D203" s="494"/>
      <c r="E203" s="494"/>
      <c r="F203" s="494"/>
      <c r="G203" s="494"/>
      <c r="H203" s="494"/>
      <c r="I203" s="494"/>
      <c r="J203" s="494"/>
      <c r="K203" s="494"/>
      <c r="L203" s="494"/>
      <c r="M203" s="494"/>
      <c r="N203" s="494"/>
      <c r="O203" s="494"/>
      <c r="P203" s="494"/>
      <c r="Q203" s="494"/>
      <c r="R203" s="494"/>
      <c r="S203" s="494"/>
    </row>
    <row r="204" spans="1:19" x14ac:dyDescent="0.35">
      <c r="A204" s="494"/>
      <c r="B204" s="494"/>
      <c r="C204" s="494"/>
      <c r="D204" s="494"/>
      <c r="E204" s="494"/>
      <c r="F204" s="494"/>
      <c r="G204" s="494"/>
      <c r="H204" s="494"/>
      <c r="I204" s="494"/>
      <c r="J204" s="494"/>
      <c r="K204" s="494"/>
      <c r="L204" s="494"/>
      <c r="M204" s="494"/>
      <c r="N204" s="494"/>
      <c r="O204" s="494"/>
      <c r="P204" s="494"/>
      <c r="Q204" s="494"/>
      <c r="R204" s="494"/>
      <c r="S204" s="494"/>
    </row>
    <row r="205" spans="1:19" x14ac:dyDescent="0.35">
      <c r="A205" s="494"/>
      <c r="B205" s="494"/>
      <c r="C205" s="494"/>
      <c r="D205" s="494"/>
      <c r="E205" s="494"/>
      <c r="F205" s="494"/>
      <c r="G205" s="494"/>
      <c r="H205" s="494"/>
      <c r="I205" s="494"/>
      <c r="J205" s="494"/>
      <c r="K205" s="494"/>
      <c r="L205" s="494"/>
      <c r="M205" s="494"/>
      <c r="N205" s="494"/>
      <c r="O205" s="494"/>
      <c r="P205" s="494"/>
      <c r="Q205" s="494"/>
      <c r="R205" s="494"/>
      <c r="S205" s="494"/>
    </row>
    <row r="206" spans="1:19" x14ac:dyDescent="0.35">
      <c r="A206" s="494"/>
      <c r="B206" s="494"/>
      <c r="C206" s="494"/>
      <c r="D206" s="494"/>
      <c r="E206" s="494"/>
      <c r="F206" s="494"/>
      <c r="G206" s="494"/>
      <c r="H206" s="494"/>
      <c r="I206" s="494"/>
      <c r="J206" s="494"/>
      <c r="K206" s="494"/>
      <c r="L206" s="494"/>
      <c r="M206" s="494"/>
      <c r="N206" s="494"/>
      <c r="O206" s="494"/>
      <c r="P206" s="494"/>
      <c r="Q206" s="494"/>
      <c r="R206" s="494"/>
      <c r="S206" s="494"/>
    </row>
    <row r="207" spans="1:19" x14ac:dyDescent="0.35">
      <c r="A207" s="494"/>
      <c r="B207" s="494"/>
      <c r="C207" s="494"/>
      <c r="D207" s="494"/>
      <c r="E207" s="494"/>
      <c r="F207" s="494"/>
      <c r="G207" s="494"/>
      <c r="H207" s="494"/>
      <c r="I207" s="494"/>
      <c r="J207" s="494"/>
      <c r="K207" s="494"/>
      <c r="L207" s="494"/>
      <c r="M207" s="494"/>
      <c r="N207" s="494"/>
      <c r="O207" s="494"/>
      <c r="P207" s="494"/>
      <c r="Q207" s="494"/>
      <c r="R207" s="494"/>
      <c r="S207" s="494"/>
    </row>
    <row r="208" spans="1:19" x14ac:dyDescent="0.35">
      <c r="A208" s="494"/>
      <c r="B208" s="494"/>
      <c r="C208" s="494"/>
      <c r="D208" s="494"/>
      <c r="E208" s="494"/>
      <c r="F208" s="494"/>
      <c r="G208" s="494"/>
      <c r="H208" s="494"/>
      <c r="I208" s="494"/>
      <c r="J208" s="494"/>
      <c r="K208" s="494"/>
      <c r="L208" s="494"/>
      <c r="M208" s="494"/>
      <c r="N208" s="494"/>
      <c r="O208" s="494"/>
      <c r="P208" s="494"/>
      <c r="Q208" s="494"/>
      <c r="R208" s="494"/>
      <c r="S208" s="494"/>
    </row>
    <row r="209" spans="1:19" x14ac:dyDescent="0.35">
      <c r="A209" s="494"/>
      <c r="B209" s="494"/>
      <c r="C209" s="494"/>
      <c r="D209" s="494"/>
      <c r="E209" s="494"/>
      <c r="F209" s="494"/>
      <c r="G209" s="494"/>
      <c r="H209" s="494"/>
      <c r="I209" s="494"/>
      <c r="J209" s="494"/>
      <c r="K209" s="494"/>
      <c r="L209" s="494"/>
      <c r="M209" s="494"/>
      <c r="N209" s="494"/>
      <c r="O209" s="494"/>
      <c r="P209" s="494"/>
      <c r="Q209" s="494"/>
      <c r="R209" s="494"/>
      <c r="S209" s="494"/>
    </row>
    <row r="210" spans="1:19" x14ac:dyDescent="0.35">
      <c r="A210" s="494"/>
      <c r="B210" s="494"/>
      <c r="C210" s="494"/>
      <c r="D210" s="494"/>
      <c r="E210" s="494"/>
      <c r="F210" s="494"/>
      <c r="G210" s="494"/>
      <c r="H210" s="494"/>
      <c r="I210" s="494"/>
      <c r="J210" s="494"/>
      <c r="K210" s="494"/>
      <c r="L210" s="494"/>
      <c r="M210" s="494"/>
      <c r="N210" s="494"/>
      <c r="O210" s="494"/>
      <c r="P210" s="494"/>
      <c r="Q210" s="494"/>
      <c r="R210" s="494"/>
      <c r="S210" s="494"/>
    </row>
    <row r="211" spans="1:19" x14ac:dyDescent="0.35">
      <c r="A211" s="494"/>
      <c r="B211" s="494"/>
      <c r="C211" s="494"/>
      <c r="D211" s="494"/>
      <c r="E211" s="494"/>
      <c r="F211" s="494"/>
      <c r="G211" s="494"/>
      <c r="H211" s="494"/>
      <c r="I211" s="494"/>
      <c r="J211" s="494"/>
      <c r="K211" s="494"/>
      <c r="L211" s="494"/>
      <c r="M211" s="494"/>
      <c r="N211" s="494"/>
      <c r="O211" s="494"/>
      <c r="P211" s="494"/>
      <c r="Q211" s="494"/>
      <c r="R211" s="494"/>
      <c r="S211" s="494"/>
    </row>
    <row r="212" spans="1:19" x14ac:dyDescent="0.35">
      <c r="A212" s="494"/>
      <c r="B212" s="494"/>
      <c r="C212" s="494"/>
      <c r="D212" s="494"/>
      <c r="E212" s="494"/>
      <c r="F212" s="494"/>
      <c r="G212" s="494"/>
      <c r="H212" s="494"/>
      <c r="I212" s="494"/>
      <c r="J212" s="494"/>
      <c r="K212" s="494"/>
      <c r="L212" s="494"/>
      <c r="M212" s="494"/>
      <c r="N212" s="494"/>
      <c r="O212" s="494"/>
      <c r="P212" s="494"/>
      <c r="Q212" s="494"/>
      <c r="R212" s="494"/>
      <c r="S212" s="494"/>
    </row>
    <row r="213" spans="1:19" x14ac:dyDescent="0.35">
      <c r="A213" s="494"/>
      <c r="B213" s="494"/>
      <c r="C213" s="494"/>
      <c r="D213" s="494"/>
      <c r="E213" s="494"/>
      <c r="F213" s="494"/>
      <c r="G213" s="494"/>
      <c r="H213" s="494"/>
      <c r="I213" s="494"/>
      <c r="J213" s="494"/>
      <c r="K213" s="494"/>
      <c r="L213" s="494"/>
      <c r="M213" s="494"/>
      <c r="N213" s="494"/>
      <c r="O213" s="494"/>
      <c r="P213" s="494"/>
      <c r="Q213" s="494"/>
      <c r="R213" s="494"/>
      <c r="S213" s="494"/>
    </row>
    <row r="214" spans="1:19" x14ac:dyDescent="0.35">
      <c r="A214" s="494"/>
      <c r="B214" s="494"/>
      <c r="C214" s="494"/>
      <c r="D214" s="494"/>
      <c r="E214" s="494"/>
      <c r="F214" s="494"/>
      <c r="G214" s="494"/>
      <c r="H214" s="494"/>
      <c r="I214" s="494"/>
      <c r="J214" s="494"/>
      <c r="K214" s="494"/>
      <c r="L214" s="494"/>
      <c r="M214" s="494"/>
      <c r="N214" s="494"/>
      <c r="O214" s="494"/>
      <c r="P214" s="494"/>
      <c r="Q214" s="494"/>
      <c r="R214" s="494"/>
      <c r="S214" s="494"/>
    </row>
    <row r="215" spans="1:19" x14ac:dyDescent="0.35">
      <c r="A215" s="494"/>
      <c r="B215" s="494"/>
      <c r="C215" s="494"/>
      <c r="D215" s="494"/>
      <c r="E215" s="494"/>
      <c r="F215" s="494"/>
      <c r="G215" s="494"/>
      <c r="H215" s="494"/>
      <c r="I215" s="494"/>
      <c r="J215" s="494"/>
      <c r="K215" s="494"/>
      <c r="L215" s="494"/>
      <c r="M215" s="494"/>
      <c r="N215" s="494"/>
      <c r="O215" s="494"/>
      <c r="P215" s="494"/>
      <c r="Q215" s="494"/>
      <c r="R215" s="494"/>
      <c r="S215" s="494"/>
    </row>
    <row r="216" spans="1:19" x14ac:dyDescent="0.35">
      <c r="A216" s="494"/>
      <c r="B216" s="494"/>
      <c r="C216" s="494"/>
      <c r="D216" s="494"/>
      <c r="E216" s="494"/>
      <c r="F216" s="494"/>
      <c r="G216" s="494"/>
      <c r="H216" s="494"/>
      <c r="I216" s="494"/>
      <c r="J216" s="494"/>
      <c r="K216" s="494"/>
      <c r="L216" s="494"/>
      <c r="M216" s="494"/>
      <c r="N216" s="494"/>
      <c r="O216" s="494"/>
      <c r="P216" s="494"/>
      <c r="Q216" s="494"/>
      <c r="R216" s="494"/>
      <c r="S216" s="494"/>
    </row>
    <row r="217" spans="1:19" x14ac:dyDescent="0.35">
      <c r="A217" s="494"/>
      <c r="B217" s="494"/>
      <c r="C217" s="494"/>
      <c r="D217" s="494"/>
      <c r="E217" s="494"/>
      <c r="F217" s="494"/>
      <c r="G217" s="494"/>
      <c r="H217" s="494"/>
      <c r="I217" s="494"/>
      <c r="J217" s="494"/>
      <c r="K217" s="494"/>
      <c r="L217" s="494"/>
      <c r="M217" s="494"/>
      <c r="N217" s="494"/>
      <c r="O217" s="494"/>
      <c r="P217" s="494"/>
      <c r="Q217" s="494"/>
      <c r="R217" s="494"/>
      <c r="S217" s="494"/>
    </row>
    <row r="218" spans="1:19" x14ac:dyDescent="0.35">
      <c r="A218" s="494"/>
      <c r="B218" s="494"/>
      <c r="C218" s="494"/>
      <c r="D218" s="494"/>
      <c r="E218" s="494"/>
      <c r="F218" s="494"/>
      <c r="G218" s="494"/>
      <c r="H218" s="494"/>
      <c r="I218" s="494"/>
      <c r="J218" s="494"/>
      <c r="K218" s="494"/>
      <c r="L218" s="494"/>
      <c r="M218" s="494"/>
      <c r="N218" s="494"/>
      <c r="O218" s="494"/>
      <c r="P218" s="494"/>
      <c r="Q218" s="494"/>
      <c r="R218" s="494"/>
      <c r="S218" s="494"/>
    </row>
    <row r="219" spans="1:19" x14ac:dyDescent="0.35">
      <c r="A219" s="494"/>
      <c r="B219" s="494"/>
      <c r="C219" s="494"/>
      <c r="D219" s="494"/>
      <c r="E219" s="494"/>
      <c r="F219" s="494"/>
      <c r="G219" s="494"/>
      <c r="H219" s="494"/>
      <c r="I219" s="494"/>
      <c r="J219" s="494"/>
      <c r="K219" s="494"/>
      <c r="L219" s="494"/>
      <c r="M219" s="494"/>
      <c r="N219" s="494"/>
      <c r="O219" s="494"/>
      <c r="P219" s="494"/>
      <c r="Q219" s="494"/>
      <c r="R219" s="494"/>
      <c r="S219" s="494"/>
    </row>
    <row r="220" spans="1:19" x14ac:dyDescent="0.35">
      <c r="A220" s="494"/>
      <c r="B220" s="494"/>
      <c r="C220" s="494"/>
      <c r="D220" s="494"/>
      <c r="E220" s="494"/>
      <c r="F220" s="494"/>
      <c r="G220" s="494"/>
      <c r="H220" s="494"/>
      <c r="I220" s="494"/>
      <c r="J220" s="494"/>
      <c r="K220" s="494"/>
      <c r="L220" s="494"/>
      <c r="M220" s="494"/>
      <c r="N220" s="494"/>
      <c r="O220" s="494"/>
      <c r="P220" s="494"/>
      <c r="Q220" s="494"/>
      <c r="R220" s="494"/>
      <c r="S220" s="494"/>
    </row>
    <row r="221" spans="1:19" x14ac:dyDescent="0.35">
      <c r="A221" s="494"/>
      <c r="B221" s="494"/>
      <c r="C221" s="494"/>
      <c r="D221" s="494"/>
      <c r="E221" s="494"/>
      <c r="F221" s="494"/>
      <c r="G221" s="494"/>
      <c r="H221" s="494"/>
      <c r="I221" s="494"/>
      <c r="J221" s="494"/>
      <c r="K221" s="494"/>
      <c r="L221" s="494"/>
      <c r="M221" s="494"/>
      <c r="N221" s="494"/>
      <c r="O221" s="494"/>
      <c r="P221" s="494"/>
      <c r="Q221" s="494"/>
      <c r="R221" s="494"/>
      <c r="S221" s="494"/>
    </row>
    <row r="222" spans="1:19" x14ac:dyDescent="0.35">
      <c r="A222" s="494"/>
      <c r="B222" s="494"/>
      <c r="C222" s="494"/>
      <c r="D222" s="494"/>
      <c r="E222" s="494"/>
      <c r="F222" s="494"/>
      <c r="G222" s="494"/>
      <c r="H222" s="494"/>
      <c r="I222" s="494"/>
      <c r="J222" s="494"/>
      <c r="K222" s="494"/>
      <c r="L222" s="494"/>
      <c r="M222" s="494"/>
      <c r="N222" s="494"/>
      <c r="O222" s="494"/>
      <c r="P222" s="494"/>
      <c r="Q222" s="494"/>
      <c r="R222" s="494"/>
      <c r="S222" s="494"/>
    </row>
    <row r="223" spans="1:19" x14ac:dyDescent="0.35">
      <c r="A223" s="494"/>
      <c r="B223" s="494"/>
      <c r="C223" s="494"/>
      <c r="D223" s="494"/>
      <c r="E223" s="494"/>
      <c r="F223" s="494"/>
      <c r="G223" s="494"/>
      <c r="H223" s="494"/>
      <c r="I223" s="494"/>
      <c r="J223" s="494"/>
      <c r="K223" s="494"/>
      <c r="L223" s="494"/>
      <c r="M223" s="494"/>
      <c r="N223" s="494"/>
      <c r="O223" s="494"/>
      <c r="P223" s="494"/>
      <c r="Q223" s="494"/>
      <c r="R223" s="494"/>
      <c r="S223" s="494"/>
    </row>
    <row r="224" spans="1:19" x14ac:dyDescent="0.35">
      <c r="A224" s="494"/>
      <c r="B224" s="494"/>
      <c r="C224" s="494"/>
      <c r="D224" s="494"/>
      <c r="E224" s="494"/>
      <c r="F224" s="494"/>
      <c r="G224" s="494"/>
      <c r="H224" s="494"/>
      <c r="I224" s="494"/>
      <c r="J224" s="494"/>
      <c r="K224" s="494"/>
      <c r="L224" s="494"/>
      <c r="M224" s="494"/>
      <c r="N224" s="494"/>
      <c r="O224" s="494"/>
      <c r="P224" s="494"/>
      <c r="Q224" s="494"/>
      <c r="R224" s="494"/>
      <c r="S224" s="494"/>
    </row>
    <row r="225" spans="1:19" x14ac:dyDescent="0.35">
      <c r="A225" s="494"/>
      <c r="B225" s="494"/>
      <c r="C225" s="494"/>
      <c r="D225" s="494"/>
      <c r="E225" s="494"/>
      <c r="F225" s="494"/>
      <c r="G225" s="494"/>
      <c r="H225" s="494"/>
      <c r="I225" s="494"/>
      <c r="J225" s="494"/>
      <c r="K225" s="494"/>
      <c r="L225" s="494"/>
      <c r="M225" s="494"/>
      <c r="N225" s="494"/>
      <c r="O225" s="494"/>
      <c r="P225" s="494"/>
      <c r="Q225" s="494"/>
      <c r="R225" s="494"/>
      <c r="S225" s="494"/>
    </row>
    <row r="226" spans="1:19" x14ac:dyDescent="0.35">
      <c r="A226" s="494"/>
      <c r="B226" s="494"/>
      <c r="C226" s="494"/>
      <c r="D226" s="494"/>
      <c r="E226" s="494"/>
      <c r="F226" s="494"/>
      <c r="G226" s="494"/>
      <c r="H226" s="494"/>
      <c r="I226" s="494"/>
      <c r="J226" s="494"/>
      <c r="K226" s="494"/>
      <c r="L226" s="494"/>
      <c r="M226" s="494"/>
      <c r="N226" s="494"/>
      <c r="O226" s="494"/>
      <c r="P226" s="494"/>
      <c r="Q226" s="494"/>
      <c r="R226" s="494"/>
      <c r="S226" s="494"/>
    </row>
    <row r="227" spans="1:19" x14ac:dyDescent="0.35">
      <c r="A227" s="494"/>
      <c r="B227" s="494"/>
      <c r="C227" s="494"/>
      <c r="D227" s="494"/>
      <c r="E227" s="494"/>
      <c r="F227" s="494"/>
      <c r="G227" s="494"/>
      <c r="H227" s="494"/>
      <c r="I227" s="494"/>
      <c r="J227" s="494"/>
      <c r="K227" s="494"/>
      <c r="L227" s="494"/>
      <c r="M227" s="494"/>
      <c r="N227" s="494"/>
      <c r="O227" s="494"/>
      <c r="P227" s="494"/>
      <c r="Q227" s="494"/>
      <c r="R227" s="494"/>
      <c r="S227" s="494"/>
    </row>
    <row r="228" spans="1:19" x14ac:dyDescent="0.35">
      <c r="A228" s="494"/>
      <c r="B228" s="494"/>
      <c r="C228" s="494"/>
      <c r="D228" s="494"/>
      <c r="E228" s="494"/>
      <c r="F228" s="494"/>
      <c r="G228" s="494"/>
      <c r="H228" s="494"/>
      <c r="I228" s="494"/>
      <c r="J228" s="494"/>
      <c r="K228" s="494"/>
      <c r="L228" s="494"/>
      <c r="M228" s="494"/>
      <c r="N228" s="494"/>
      <c r="O228" s="494"/>
      <c r="P228" s="494"/>
      <c r="Q228" s="494"/>
      <c r="R228" s="494"/>
      <c r="S228" s="494"/>
    </row>
    <row r="229" spans="1:19" x14ac:dyDescent="0.35">
      <c r="A229" s="494"/>
      <c r="B229" s="494"/>
      <c r="C229" s="494"/>
      <c r="D229" s="494"/>
      <c r="E229" s="494"/>
      <c r="F229" s="494"/>
      <c r="G229" s="494"/>
      <c r="H229" s="494"/>
      <c r="I229" s="494"/>
      <c r="J229" s="494"/>
      <c r="K229" s="494"/>
      <c r="L229" s="494"/>
      <c r="M229" s="494"/>
      <c r="N229" s="494"/>
      <c r="O229" s="494"/>
      <c r="P229" s="494"/>
      <c r="Q229" s="494"/>
      <c r="R229" s="494"/>
      <c r="S229" s="494"/>
    </row>
    <row r="230" spans="1:19" x14ac:dyDescent="0.35">
      <c r="A230" s="494"/>
      <c r="B230" s="494"/>
      <c r="C230" s="494"/>
      <c r="D230" s="494"/>
      <c r="E230" s="494"/>
      <c r="F230" s="494"/>
      <c r="G230" s="494"/>
      <c r="H230" s="494"/>
      <c r="I230" s="494"/>
      <c r="J230" s="494"/>
      <c r="K230" s="494"/>
      <c r="L230" s="494"/>
      <c r="M230" s="494"/>
      <c r="N230" s="494"/>
      <c r="O230" s="494"/>
      <c r="P230" s="494"/>
      <c r="Q230" s="494"/>
      <c r="R230" s="494"/>
      <c r="S230" s="494"/>
    </row>
    <row r="231" spans="1:19" x14ac:dyDescent="0.35">
      <c r="A231" s="494"/>
      <c r="B231" s="494"/>
      <c r="C231" s="494"/>
      <c r="D231" s="494"/>
      <c r="E231" s="494"/>
      <c r="F231" s="494"/>
      <c r="G231" s="494"/>
      <c r="H231" s="494"/>
      <c r="I231" s="494"/>
      <c r="J231" s="494"/>
      <c r="K231" s="494"/>
      <c r="L231" s="494"/>
      <c r="M231" s="494"/>
      <c r="N231" s="494"/>
      <c r="O231" s="494"/>
      <c r="P231" s="494"/>
      <c r="Q231" s="494"/>
      <c r="R231" s="494"/>
      <c r="S231" s="494"/>
    </row>
    <row r="232" spans="1:19" x14ac:dyDescent="0.35">
      <c r="A232" s="494"/>
      <c r="B232" s="494"/>
      <c r="C232" s="494"/>
      <c r="D232" s="494"/>
      <c r="E232" s="494"/>
      <c r="F232" s="494"/>
      <c r="G232" s="494"/>
      <c r="H232" s="494"/>
      <c r="I232" s="494"/>
      <c r="J232" s="494"/>
      <c r="K232" s="494"/>
      <c r="L232" s="494"/>
      <c r="M232" s="494"/>
      <c r="N232" s="494"/>
      <c r="O232" s="494"/>
      <c r="P232" s="494"/>
      <c r="Q232" s="494"/>
      <c r="R232" s="494"/>
      <c r="S232" s="494"/>
    </row>
    <row r="233" spans="1:19" x14ac:dyDescent="0.35">
      <c r="A233" s="494"/>
      <c r="B233" s="494"/>
      <c r="C233" s="494"/>
      <c r="D233" s="494"/>
      <c r="E233" s="494"/>
      <c r="F233" s="494"/>
      <c r="G233" s="494"/>
      <c r="H233" s="494"/>
      <c r="I233" s="494"/>
      <c r="J233" s="494"/>
      <c r="K233" s="494"/>
      <c r="L233" s="494"/>
      <c r="M233" s="494"/>
      <c r="N233" s="494"/>
      <c r="O233" s="494"/>
      <c r="P233" s="494"/>
      <c r="Q233" s="494"/>
      <c r="R233" s="494"/>
      <c r="S233" s="494"/>
    </row>
    <row r="234" spans="1:19" x14ac:dyDescent="0.35">
      <c r="A234" s="494"/>
      <c r="B234" s="494"/>
      <c r="C234" s="494"/>
      <c r="D234" s="494"/>
      <c r="E234" s="494"/>
      <c r="F234" s="494"/>
      <c r="G234" s="494"/>
      <c r="H234" s="494"/>
      <c r="I234" s="494"/>
      <c r="J234" s="494"/>
      <c r="K234" s="494"/>
      <c r="L234" s="494"/>
      <c r="M234" s="494"/>
      <c r="N234" s="494"/>
      <c r="O234" s="494"/>
      <c r="P234" s="494"/>
      <c r="Q234" s="494"/>
      <c r="R234" s="494"/>
      <c r="S234" s="494"/>
    </row>
    <row r="235" spans="1:19" x14ac:dyDescent="0.35">
      <c r="A235" s="494"/>
      <c r="B235" s="494"/>
      <c r="C235" s="494"/>
      <c r="D235" s="494"/>
      <c r="E235" s="494"/>
      <c r="F235" s="494"/>
      <c r="G235" s="494"/>
      <c r="H235" s="494"/>
      <c r="I235" s="494"/>
      <c r="J235" s="494"/>
      <c r="K235" s="494"/>
      <c r="L235" s="494"/>
      <c r="M235" s="494"/>
      <c r="N235" s="494"/>
      <c r="O235" s="494"/>
      <c r="P235" s="494"/>
      <c r="Q235" s="494"/>
      <c r="R235" s="494"/>
      <c r="S235" s="494"/>
    </row>
    <row r="236" spans="1:19" x14ac:dyDescent="0.35">
      <c r="A236" s="494"/>
      <c r="B236" s="494"/>
      <c r="C236" s="494"/>
      <c r="D236" s="494"/>
      <c r="E236" s="494"/>
      <c r="F236" s="494"/>
      <c r="G236" s="494"/>
      <c r="H236" s="494"/>
      <c r="I236" s="494"/>
      <c r="J236" s="494"/>
      <c r="K236" s="494"/>
      <c r="L236" s="494"/>
      <c r="M236" s="494"/>
      <c r="N236" s="494"/>
      <c r="O236" s="494"/>
      <c r="P236" s="494"/>
      <c r="Q236" s="494"/>
      <c r="R236" s="494"/>
      <c r="S236" s="494"/>
    </row>
    <row r="237" spans="1:19" x14ac:dyDescent="0.35">
      <c r="A237" s="494"/>
      <c r="B237" s="494"/>
      <c r="C237" s="494"/>
      <c r="D237" s="494"/>
      <c r="E237" s="494"/>
      <c r="F237" s="494"/>
      <c r="G237" s="494"/>
      <c r="H237" s="494"/>
      <c r="I237" s="494"/>
      <c r="J237" s="494"/>
      <c r="K237" s="494"/>
      <c r="L237" s="494"/>
      <c r="M237" s="494"/>
      <c r="N237" s="494"/>
      <c r="O237" s="494"/>
      <c r="P237" s="494"/>
      <c r="Q237" s="494"/>
      <c r="R237" s="494"/>
      <c r="S237" s="494"/>
    </row>
    <row r="238" spans="1:19" x14ac:dyDescent="0.35">
      <c r="A238" s="494"/>
      <c r="B238" s="494"/>
      <c r="C238" s="494"/>
      <c r="D238" s="494"/>
      <c r="E238" s="494"/>
      <c r="F238" s="494"/>
      <c r="G238" s="494"/>
      <c r="H238" s="494"/>
      <c r="I238" s="494"/>
      <c r="J238" s="494"/>
      <c r="K238" s="494"/>
      <c r="L238" s="494"/>
      <c r="M238" s="494"/>
      <c r="N238" s="494"/>
      <c r="O238" s="494"/>
      <c r="P238" s="494"/>
      <c r="Q238" s="494"/>
      <c r="R238" s="494"/>
      <c r="S238" s="494"/>
    </row>
    <row r="239" spans="1:19" x14ac:dyDescent="0.35">
      <c r="A239" s="494"/>
      <c r="B239" s="494"/>
      <c r="C239" s="494"/>
      <c r="D239" s="494"/>
      <c r="E239" s="494"/>
      <c r="F239" s="494"/>
      <c r="G239" s="494"/>
      <c r="H239" s="494"/>
      <c r="I239" s="494"/>
      <c r="J239" s="494"/>
      <c r="K239" s="494"/>
      <c r="L239" s="494"/>
      <c r="M239" s="494"/>
      <c r="N239" s="494"/>
      <c r="O239" s="494"/>
      <c r="P239" s="494"/>
      <c r="Q239" s="494"/>
      <c r="R239" s="494"/>
      <c r="S239" s="494"/>
    </row>
    <row r="240" spans="1:19" x14ac:dyDescent="0.35">
      <c r="A240" s="494"/>
      <c r="B240" s="494"/>
      <c r="C240" s="494"/>
      <c r="D240" s="494"/>
      <c r="E240" s="494"/>
      <c r="F240" s="494"/>
      <c r="G240" s="494"/>
      <c r="H240" s="494"/>
      <c r="I240" s="494"/>
      <c r="J240" s="494"/>
      <c r="K240" s="494"/>
      <c r="L240" s="494"/>
      <c r="M240" s="494"/>
      <c r="N240" s="494"/>
      <c r="O240" s="494"/>
      <c r="P240" s="494"/>
      <c r="Q240" s="494"/>
      <c r="R240" s="494"/>
      <c r="S240" s="494"/>
    </row>
    <row r="241" spans="1:19" x14ac:dyDescent="0.35">
      <c r="A241" s="494"/>
      <c r="B241" s="494"/>
      <c r="C241" s="494"/>
      <c r="D241" s="494"/>
      <c r="E241" s="494"/>
      <c r="F241" s="494"/>
      <c r="G241" s="494"/>
      <c r="H241" s="494"/>
      <c r="I241" s="494"/>
      <c r="J241" s="494"/>
      <c r="K241" s="494"/>
      <c r="L241" s="494"/>
      <c r="M241" s="494"/>
      <c r="N241" s="494"/>
      <c r="O241" s="494"/>
      <c r="P241" s="494"/>
      <c r="Q241" s="494"/>
      <c r="R241" s="494"/>
      <c r="S241" s="494"/>
    </row>
    <row r="242" spans="1:19" x14ac:dyDescent="0.35">
      <c r="A242" s="494"/>
      <c r="B242" s="494"/>
      <c r="C242" s="494"/>
      <c r="D242" s="494"/>
      <c r="E242" s="494"/>
      <c r="F242" s="494"/>
      <c r="G242" s="494"/>
      <c r="H242" s="494"/>
      <c r="I242" s="494"/>
      <c r="J242" s="494"/>
      <c r="K242" s="494"/>
      <c r="L242" s="494"/>
      <c r="M242" s="494"/>
      <c r="N242" s="494"/>
      <c r="O242" s="494"/>
      <c r="P242" s="494"/>
      <c r="Q242" s="494"/>
      <c r="R242" s="494"/>
      <c r="S242" s="494"/>
    </row>
    <row r="243" spans="1:19" x14ac:dyDescent="0.35">
      <c r="A243" s="494"/>
      <c r="B243" s="494"/>
      <c r="C243" s="494"/>
      <c r="D243" s="494"/>
      <c r="E243" s="494"/>
      <c r="F243" s="494"/>
      <c r="G243" s="494"/>
      <c r="H243" s="494"/>
      <c r="I243" s="494"/>
      <c r="J243" s="494"/>
      <c r="K243" s="494"/>
      <c r="L243" s="494"/>
      <c r="M243" s="494"/>
      <c r="N243" s="494"/>
      <c r="O243" s="494"/>
      <c r="P243" s="494"/>
      <c r="Q243" s="494"/>
      <c r="R243" s="494"/>
      <c r="S243" s="494"/>
    </row>
    <row r="244" spans="1:19" x14ac:dyDescent="0.35">
      <c r="A244" s="494"/>
      <c r="B244" s="494"/>
      <c r="C244" s="494"/>
      <c r="D244" s="494"/>
      <c r="E244" s="494"/>
      <c r="F244" s="494"/>
      <c r="G244" s="494"/>
      <c r="H244" s="494"/>
      <c r="I244" s="494"/>
      <c r="J244" s="494"/>
      <c r="K244" s="494"/>
      <c r="L244" s="494"/>
      <c r="M244" s="494"/>
      <c r="N244" s="494"/>
      <c r="O244" s="494"/>
      <c r="P244" s="494"/>
      <c r="Q244" s="494"/>
      <c r="R244" s="494"/>
      <c r="S244" s="494"/>
    </row>
    <row r="245" spans="1:19" x14ac:dyDescent="0.35">
      <c r="A245" s="494"/>
      <c r="B245" s="494"/>
      <c r="C245" s="494"/>
      <c r="D245" s="494"/>
      <c r="E245" s="494"/>
      <c r="F245" s="494"/>
      <c r="G245" s="494"/>
      <c r="H245" s="494"/>
      <c r="I245" s="494"/>
      <c r="J245" s="494"/>
      <c r="K245" s="494"/>
      <c r="L245" s="494"/>
      <c r="M245" s="494"/>
      <c r="N245" s="494"/>
      <c r="O245" s="494"/>
      <c r="P245" s="494"/>
      <c r="Q245" s="494"/>
      <c r="R245" s="494"/>
      <c r="S245" s="494"/>
    </row>
    <row r="246" spans="1:19" x14ac:dyDescent="0.35">
      <c r="A246" s="494"/>
      <c r="B246" s="494"/>
      <c r="C246" s="494"/>
      <c r="D246" s="494"/>
      <c r="E246" s="494"/>
      <c r="F246" s="494"/>
      <c r="G246" s="494"/>
      <c r="H246" s="494"/>
      <c r="I246" s="494"/>
      <c r="J246" s="494"/>
      <c r="K246" s="494"/>
      <c r="L246" s="494"/>
      <c r="M246" s="494"/>
      <c r="N246" s="494"/>
      <c r="O246" s="494"/>
      <c r="P246" s="494"/>
      <c r="Q246" s="494"/>
      <c r="R246" s="494"/>
      <c r="S246" s="494"/>
    </row>
    <row r="247" spans="1:19" x14ac:dyDescent="0.35">
      <c r="A247" s="494"/>
      <c r="B247" s="494"/>
      <c r="C247" s="494"/>
      <c r="D247" s="494"/>
      <c r="E247" s="494"/>
      <c r="F247" s="494"/>
      <c r="G247" s="494"/>
      <c r="H247" s="494"/>
      <c r="I247" s="494"/>
      <c r="J247" s="494"/>
      <c r="K247" s="494"/>
      <c r="L247" s="494"/>
      <c r="M247" s="494"/>
      <c r="N247" s="494"/>
      <c r="O247" s="494"/>
      <c r="P247" s="494"/>
      <c r="Q247" s="494"/>
      <c r="R247" s="494"/>
      <c r="S247" s="494"/>
    </row>
    <row r="248" spans="1:19" x14ac:dyDescent="0.35">
      <c r="A248" s="494"/>
      <c r="B248" s="494"/>
      <c r="C248" s="494"/>
      <c r="D248" s="494"/>
      <c r="E248" s="494"/>
      <c r="F248" s="494"/>
      <c r="G248" s="494"/>
      <c r="H248" s="494"/>
      <c r="I248" s="494"/>
      <c r="J248" s="494"/>
      <c r="K248" s="494"/>
      <c r="L248" s="494"/>
      <c r="M248" s="494"/>
      <c r="N248" s="494"/>
      <c r="O248" s="494"/>
      <c r="P248" s="494"/>
      <c r="Q248" s="494"/>
      <c r="R248" s="494"/>
      <c r="S248" s="494"/>
    </row>
    <row r="249" spans="1:19" x14ac:dyDescent="0.35">
      <c r="A249" s="494"/>
      <c r="B249" s="494"/>
      <c r="C249" s="494"/>
      <c r="D249" s="494"/>
      <c r="E249" s="494"/>
      <c r="F249" s="494"/>
      <c r="G249" s="494"/>
      <c r="H249" s="494"/>
      <c r="I249" s="494"/>
      <c r="J249" s="494"/>
      <c r="K249" s="494"/>
      <c r="L249" s="494"/>
      <c r="M249" s="494"/>
      <c r="N249" s="494"/>
      <c r="O249" s="494"/>
      <c r="P249" s="494"/>
      <c r="Q249" s="494"/>
      <c r="R249" s="494"/>
      <c r="S249" s="494"/>
    </row>
    <row r="250" spans="1:19" x14ac:dyDescent="0.35">
      <c r="A250" s="494"/>
      <c r="B250" s="494"/>
      <c r="C250" s="494"/>
      <c r="D250" s="494"/>
      <c r="E250" s="494"/>
      <c r="F250" s="494"/>
      <c r="G250" s="494"/>
      <c r="H250" s="494"/>
      <c r="I250" s="494"/>
      <c r="J250" s="494"/>
      <c r="K250" s="494"/>
      <c r="L250" s="494"/>
      <c r="M250" s="494"/>
      <c r="N250" s="494"/>
      <c r="O250" s="494"/>
      <c r="P250" s="494"/>
      <c r="Q250" s="494"/>
      <c r="R250" s="494"/>
      <c r="S250" s="494"/>
    </row>
    <row r="251" spans="1:19" x14ac:dyDescent="0.35">
      <c r="A251" s="494"/>
      <c r="B251" s="494"/>
      <c r="C251" s="494"/>
      <c r="D251" s="494"/>
      <c r="E251" s="494"/>
      <c r="F251" s="494"/>
      <c r="G251" s="494"/>
      <c r="H251" s="494"/>
      <c r="I251" s="494"/>
      <c r="J251" s="494"/>
      <c r="K251" s="494"/>
      <c r="L251" s="494"/>
      <c r="M251" s="494"/>
      <c r="N251" s="494"/>
      <c r="O251" s="494"/>
      <c r="P251" s="494"/>
      <c r="Q251" s="494"/>
      <c r="R251" s="494"/>
      <c r="S251" s="494"/>
    </row>
    <row r="252" spans="1:19" x14ac:dyDescent="0.35">
      <c r="A252" s="494"/>
      <c r="B252" s="494"/>
      <c r="C252" s="494"/>
      <c r="D252" s="494"/>
      <c r="E252" s="494"/>
      <c r="F252" s="494"/>
      <c r="G252" s="494"/>
      <c r="H252" s="494"/>
      <c r="I252" s="494"/>
      <c r="J252" s="494"/>
      <c r="K252" s="494"/>
      <c r="L252" s="494"/>
      <c r="M252" s="494"/>
      <c r="N252" s="494"/>
      <c r="O252" s="494"/>
      <c r="P252" s="494"/>
      <c r="Q252" s="494"/>
      <c r="R252" s="494"/>
      <c r="S252" s="494"/>
    </row>
    <row r="253" spans="1:19" x14ac:dyDescent="0.35">
      <c r="A253" s="494"/>
      <c r="B253" s="494"/>
      <c r="C253" s="494"/>
      <c r="D253" s="494"/>
      <c r="E253" s="494"/>
      <c r="F253" s="494"/>
      <c r="G253" s="494"/>
      <c r="H253" s="494"/>
      <c r="I253" s="494"/>
      <c r="J253" s="494"/>
      <c r="K253" s="494"/>
      <c r="L253" s="494"/>
      <c r="M253" s="494"/>
      <c r="N253" s="494"/>
      <c r="O253" s="494"/>
      <c r="P253" s="494"/>
      <c r="Q253" s="494"/>
      <c r="R253" s="494"/>
      <c r="S253" s="494"/>
    </row>
    <row r="254" spans="1:19" x14ac:dyDescent="0.35">
      <c r="A254" s="494"/>
      <c r="B254" s="494"/>
      <c r="C254" s="494"/>
      <c r="D254" s="494"/>
      <c r="E254" s="494"/>
      <c r="F254" s="494"/>
      <c r="G254" s="494"/>
      <c r="H254" s="494"/>
      <c r="I254" s="494"/>
      <c r="J254" s="494"/>
      <c r="K254" s="494"/>
      <c r="L254" s="494"/>
      <c r="M254" s="494"/>
      <c r="N254" s="494"/>
      <c r="O254" s="494"/>
      <c r="P254" s="494"/>
      <c r="Q254" s="494"/>
      <c r="R254" s="494"/>
      <c r="S254" s="494"/>
    </row>
    <row r="255" spans="1:19" x14ac:dyDescent="0.35">
      <c r="A255" s="494"/>
      <c r="B255" s="494"/>
      <c r="C255" s="494"/>
      <c r="D255" s="494"/>
      <c r="E255" s="494"/>
      <c r="F255" s="494"/>
      <c r="G255" s="494"/>
      <c r="H255" s="494"/>
      <c r="I255" s="494"/>
      <c r="J255" s="494"/>
      <c r="K255" s="494"/>
      <c r="L255" s="494"/>
      <c r="M255" s="494"/>
      <c r="N255" s="494"/>
      <c r="O255" s="494"/>
      <c r="P255" s="494"/>
      <c r="Q255" s="494"/>
      <c r="R255" s="494"/>
      <c r="S255" s="494"/>
    </row>
    <row r="256" spans="1:19" x14ac:dyDescent="0.35">
      <c r="A256" s="494"/>
      <c r="B256" s="494"/>
      <c r="C256" s="494"/>
      <c r="D256" s="494"/>
      <c r="E256" s="494"/>
      <c r="F256" s="494"/>
      <c r="G256" s="494"/>
      <c r="H256" s="494"/>
      <c r="I256" s="494"/>
      <c r="J256" s="494"/>
      <c r="K256" s="494"/>
      <c r="L256" s="494"/>
      <c r="M256" s="494"/>
      <c r="N256" s="494"/>
      <c r="O256" s="494"/>
      <c r="P256" s="494"/>
      <c r="Q256" s="494"/>
      <c r="R256" s="494"/>
      <c r="S256" s="494"/>
    </row>
    <row r="257" spans="1:19" x14ac:dyDescent="0.35">
      <c r="A257" s="494"/>
      <c r="B257" s="494"/>
      <c r="C257" s="494"/>
      <c r="D257" s="494"/>
      <c r="E257" s="494"/>
      <c r="F257" s="494"/>
      <c r="G257" s="494"/>
      <c r="H257" s="494"/>
      <c r="I257" s="494"/>
      <c r="J257" s="494"/>
      <c r="K257" s="494"/>
      <c r="L257" s="494"/>
      <c r="M257" s="494"/>
      <c r="N257" s="494"/>
      <c r="O257" s="494"/>
      <c r="P257" s="494"/>
      <c r="Q257" s="494"/>
      <c r="R257" s="494"/>
      <c r="S257" s="494"/>
    </row>
    <row r="258" spans="1:19" x14ac:dyDescent="0.35">
      <c r="A258" s="494"/>
      <c r="B258" s="494"/>
      <c r="C258" s="494"/>
      <c r="D258" s="494"/>
      <c r="E258" s="494"/>
      <c r="F258" s="494"/>
      <c r="G258" s="494"/>
      <c r="H258" s="494"/>
      <c r="I258" s="494"/>
      <c r="J258" s="494"/>
      <c r="K258" s="494"/>
      <c r="L258" s="494"/>
      <c r="M258" s="494"/>
      <c r="N258" s="494"/>
      <c r="O258" s="494"/>
      <c r="P258" s="494"/>
      <c r="Q258" s="494"/>
      <c r="R258" s="494"/>
      <c r="S258" s="494"/>
    </row>
    <row r="259" spans="1:19" x14ac:dyDescent="0.35">
      <c r="A259" s="494"/>
      <c r="B259" s="494"/>
      <c r="C259" s="494"/>
      <c r="D259" s="494"/>
      <c r="E259" s="494"/>
      <c r="F259" s="494"/>
      <c r="G259" s="494"/>
      <c r="H259" s="494"/>
      <c r="I259" s="494"/>
      <c r="J259" s="494"/>
      <c r="K259" s="494"/>
      <c r="L259" s="494"/>
      <c r="M259" s="494"/>
      <c r="N259" s="494"/>
      <c r="O259" s="494"/>
      <c r="P259" s="494"/>
      <c r="Q259" s="494"/>
      <c r="R259" s="494"/>
      <c r="S259" s="494"/>
    </row>
    <row r="260" spans="1:19" x14ac:dyDescent="0.35">
      <c r="A260" s="494"/>
      <c r="B260" s="494"/>
      <c r="C260" s="494"/>
      <c r="D260" s="494"/>
      <c r="E260" s="494"/>
      <c r="F260" s="494"/>
      <c r="G260" s="494"/>
      <c r="H260" s="494"/>
      <c r="I260" s="494"/>
      <c r="J260" s="494"/>
      <c r="K260" s="494"/>
      <c r="L260" s="494"/>
      <c r="M260" s="494"/>
      <c r="N260" s="494"/>
      <c r="O260" s="494"/>
      <c r="P260" s="494"/>
      <c r="Q260" s="494"/>
      <c r="R260" s="494"/>
      <c r="S260" s="494"/>
    </row>
    <row r="261" spans="1:19" x14ac:dyDescent="0.35">
      <c r="A261" s="494"/>
      <c r="B261" s="494"/>
      <c r="C261" s="494"/>
      <c r="D261" s="494"/>
      <c r="E261" s="494"/>
      <c r="F261" s="494"/>
      <c r="G261" s="494"/>
      <c r="H261" s="494"/>
      <c r="I261" s="494"/>
      <c r="J261" s="494"/>
      <c r="K261" s="494"/>
      <c r="L261" s="494"/>
      <c r="M261" s="494"/>
      <c r="N261" s="494"/>
      <c r="O261" s="494"/>
      <c r="P261" s="494"/>
      <c r="Q261" s="494"/>
      <c r="R261" s="494"/>
      <c r="S261" s="494"/>
    </row>
    <row r="262" spans="1:19" x14ac:dyDescent="0.35">
      <c r="A262" s="494"/>
      <c r="B262" s="494"/>
      <c r="C262" s="494"/>
      <c r="D262" s="494"/>
      <c r="E262" s="494"/>
      <c r="F262" s="494"/>
      <c r="G262" s="494"/>
      <c r="H262" s="494"/>
      <c r="I262" s="494"/>
      <c r="J262" s="494"/>
      <c r="K262" s="494"/>
      <c r="L262" s="494"/>
      <c r="M262" s="494"/>
      <c r="N262" s="494"/>
      <c r="O262" s="494"/>
      <c r="P262" s="494"/>
      <c r="Q262" s="494"/>
      <c r="R262" s="494"/>
      <c r="S262" s="494"/>
    </row>
    <row r="263" spans="1:19" x14ac:dyDescent="0.35">
      <c r="A263" s="494"/>
      <c r="B263" s="494"/>
      <c r="C263" s="494"/>
      <c r="D263" s="494"/>
      <c r="E263" s="494"/>
      <c r="F263" s="494"/>
      <c r="G263" s="494"/>
      <c r="H263" s="494"/>
      <c r="I263" s="494"/>
      <c r="J263" s="494"/>
      <c r="K263" s="494"/>
      <c r="L263" s="494"/>
      <c r="M263" s="494"/>
      <c r="N263" s="494"/>
      <c r="O263" s="494"/>
      <c r="P263" s="494"/>
      <c r="Q263" s="494"/>
      <c r="R263" s="494"/>
      <c r="S263" s="494"/>
    </row>
    <row r="264" spans="1:19" x14ac:dyDescent="0.35">
      <c r="A264" s="494"/>
      <c r="B264" s="494"/>
      <c r="C264" s="494"/>
      <c r="D264" s="494"/>
      <c r="E264" s="494"/>
      <c r="F264" s="494"/>
      <c r="G264" s="494"/>
      <c r="H264" s="494"/>
      <c r="I264" s="494"/>
      <c r="J264" s="494"/>
      <c r="K264" s="494"/>
      <c r="L264" s="494"/>
      <c r="M264" s="494"/>
      <c r="N264" s="494"/>
      <c r="O264" s="494"/>
      <c r="P264" s="494"/>
      <c r="Q264" s="494"/>
      <c r="R264" s="494"/>
      <c r="S264" s="494"/>
    </row>
    <row r="265" spans="1:19" x14ac:dyDescent="0.35">
      <c r="A265" s="494"/>
      <c r="B265" s="494"/>
      <c r="C265" s="494"/>
      <c r="D265" s="494"/>
      <c r="E265" s="494"/>
      <c r="F265" s="494"/>
      <c r="G265" s="494"/>
      <c r="H265" s="494"/>
      <c r="I265" s="494"/>
      <c r="J265" s="494"/>
      <c r="K265" s="494"/>
      <c r="L265" s="494"/>
      <c r="M265" s="494"/>
      <c r="N265" s="494"/>
      <c r="O265" s="494"/>
      <c r="P265" s="494"/>
      <c r="Q265" s="494"/>
      <c r="R265" s="494"/>
      <c r="S265" s="494"/>
    </row>
    <row r="266" spans="1:19" x14ac:dyDescent="0.35">
      <c r="A266" s="494"/>
      <c r="B266" s="494"/>
      <c r="C266" s="494"/>
      <c r="D266" s="494"/>
      <c r="E266" s="494"/>
      <c r="F266" s="494"/>
      <c r="G266" s="494"/>
      <c r="H266" s="494"/>
      <c r="I266" s="494"/>
      <c r="J266" s="494"/>
      <c r="K266" s="494"/>
      <c r="L266" s="494"/>
      <c r="M266" s="494"/>
      <c r="N266" s="494"/>
      <c r="O266" s="494"/>
      <c r="P266" s="494"/>
      <c r="Q266" s="494"/>
      <c r="R266" s="494"/>
      <c r="S266" s="494"/>
    </row>
    <row r="267" spans="1:19" x14ac:dyDescent="0.35">
      <c r="A267" s="494"/>
      <c r="B267" s="494"/>
      <c r="C267" s="494"/>
      <c r="D267" s="494"/>
      <c r="E267" s="494"/>
      <c r="F267" s="494"/>
      <c r="G267" s="494"/>
      <c r="H267" s="494"/>
      <c r="I267" s="494"/>
      <c r="J267" s="494"/>
      <c r="K267" s="494"/>
      <c r="L267" s="494"/>
      <c r="M267" s="494"/>
      <c r="N267" s="494"/>
      <c r="O267" s="494"/>
      <c r="P267" s="494"/>
      <c r="Q267" s="494"/>
      <c r="R267" s="494"/>
      <c r="S267" s="494"/>
    </row>
    <row r="268" spans="1:19" x14ac:dyDescent="0.35">
      <c r="A268" s="494"/>
      <c r="B268" s="494"/>
      <c r="C268" s="494"/>
      <c r="D268" s="494"/>
      <c r="E268" s="494"/>
      <c r="F268" s="494"/>
      <c r="G268" s="494"/>
      <c r="H268" s="494"/>
      <c r="I268" s="494"/>
      <c r="J268" s="494"/>
      <c r="K268" s="494"/>
      <c r="L268" s="494"/>
      <c r="M268" s="494"/>
      <c r="N268" s="494"/>
      <c r="O268" s="494"/>
      <c r="P268" s="494"/>
      <c r="Q268" s="494"/>
      <c r="R268" s="494"/>
      <c r="S268" s="494"/>
    </row>
    <row r="269" spans="1:19" x14ac:dyDescent="0.35">
      <c r="A269" s="494"/>
      <c r="B269" s="494"/>
      <c r="C269" s="494"/>
      <c r="D269" s="494"/>
      <c r="E269" s="494"/>
      <c r="F269" s="494"/>
      <c r="G269" s="494"/>
      <c r="H269" s="494"/>
      <c r="I269" s="494"/>
      <c r="J269" s="494"/>
      <c r="K269" s="494"/>
      <c r="L269" s="494"/>
      <c r="M269" s="494"/>
      <c r="N269" s="494"/>
      <c r="O269" s="494"/>
      <c r="P269" s="494"/>
      <c r="Q269" s="494"/>
      <c r="R269" s="494"/>
      <c r="S269" s="494"/>
    </row>
    <row r="270" spans="1:19" x14ac:dyDescent="0.35">
      <c r="A270" s="494"/>
      <c r="B270" s="494"/>
      <c r="C270" s="494"/>
      <c r="D270" s="494"/>
      <c r="E270" s="494"/>
      <c r="F270" s="494"/>
      <c r="G270" s="494"/>
      <c r="H270" s="494"/>
      <c r="I270" s="494"/>
      <c r="J270" s="494"/>
      <c r="K270" s="494"/>
      <c r="L270" s="494"/>
      <c r="M270" s="494"/>
      <c r="N270" s="494"/>
      <c r="O270" s="494"/>
      <c r="P270" s="494"/>
      <c r="Q270" s="494"/>
      <c r="R270" s="494"/>
      <c r="S270" s="494"/>
    </row>
    <row r="271" spans="1:19" x14ac:dyDescent="0.35">
      <c r="A271" s="494"/>
      <c r="B271" s="494"/>
      <c r="C271" s="494"/>
      <c r="D271" s="494"/>
      <c r="E271" s="494"/>
      <c r="F271" s="494"/>
      <c r="G271" s="494"/>
      <c r="H271" s="494"/>
      <c r="I271" s="494"/>
      <c r="J271" s="494"/>
      <c r="K271" s="494"/>
      <c r="L271" s="494"/>
      <c r="M271" s="494"/>
      <c r="N271" s="494"/>
      <c r="O271" s="494"/>
      <c r="P271" s="494"/>
      <c r="Q271" s="494"/>
      <c r="R271" s="494"/>
      <c r="S271" s="494"/>
    </row>
    <row r="272" spans="1:19" x14ac:dyDescent="0.35">
      <c r="A272" s="494"/>
      <c r="B272" s="494"/>
      <c r="C272" s="494"/>
      <c r="D272" s="494"/>
      <c r="E272" s="494"/>
      <c r="F272" s="494"/>
      <c r="G272" s="494"/>
      <c r="H272" s="494"/>
      <c r="I272" s="494"/>
      <c r="J272" s="494"/>
      <c r="K272" s="494"/>
      <c r="L272" s="494"/>
      <c r="M272" s="494"/>
      <c r="N272" s="494"/>
      <c r="O272" s="494"/>
      <c r="P272" s="494"/>
      <c r="Q272" s="494"/>
      <c r="R272" s="494"/>
      <c r="S272" s="494"/>
    </row>
    <row r="273" spans="1:19" x14ac:dyDescent="0.35">
      <c r="A273" s="494"/>
      <c r="B273" s="494"/>
      <c r="C273" s="494"/>
      <c r="D273" s="494"/>
      <c r="E273" s="494"/>
      <c r="F273" s="494"/>
      <c r="G273" s="494"/>
      <c r="H273" s="494"/>
      <c r="I273" s="494"/>
      <c r="J273" s="494"/>
      <c r="K273" s="494"/>
      <c r="L273" s="494"/>
      <c r="M273" s="494"/>
      <c r="N273" s="494"/>
      <c r="O273" s="494"/>
      <c r="P273" s="494"/>
      <c r="Q273" s="494"/>
      <c r="R273" s="494"/>
      <c r="S273" s="494"/>
    </row>
    <row r="274" spans="1:19" x14ac:dyDescent="0.35">
      <c r="A274" s="494"/>
      <c r="B274" s="494"/>
      <c r="C274" s="494"/>
      <c r="D274" s="494"/>
      <c r="E274" s="494"/>
      <c r="F274" s="494"/>
      <c r="G274" s="494"/>
      <c r="H274" s="494"/>
      <c r="I274" s="494"/>
      <c r="J274" s="494"/>
      <c r="K274" s="494"/>
      <c r="L274" s="494"/>
      <c r="M274" s="494"/>
      <c r="N274" s="494"/>
      <c r="O274" s="494"/>
      <c r="P274" s="494"/>
      <c r="Q274" s="494"/>
      <c r="R274" s="494"/>
      <c r="S274" s="494"/>
    </row>
    <row r="275" spans="1:19" x14ac:dyDescent="0.35">
      <c r="A275" s="494"/>
      <c r="B275" s="494"/>
      <c r="C275" s="494"/>
      <c r="D275" s="494"/>
      <c r="E275" s="494"/>
      <c r="F275" s="494"/>
      <c r="G275" s="494"/>
      <c r="H275" s="494"/>
      <c r="I275" s="494"/>
      <c r="J275" s="494"/>
      <c r="K275" s="494"/>
      <c r="L275" s="494"/>
      <c r="M275" s="494"/>
      <c r="N275" s="494"/>
      <c r="O275" s="494"/>
      <c r="P275" s="494"/>
      <c r="Q275" s="494"/>
      <c r="R275" s="494"/>
      <c r="S275" s="494"/>
    </row>
    <row r="276" spans="1:19" x14ac:dyDescent="0.35">
      <c r="A276" s="494"/>
      <c r="B276" s="494"/>
      <c r="C276" s="494"/>
      <c r="D276" s="494"/>
      <c r="E276" s="494"/>
      <c r="F276" s="494"/>
      <c r="G276" s="494"/>
      <c r="H276" s="494"/>
      <c r="I276" s="494"/>
      <c r="J276" s="494"/>
      <c r="K276" s="494"/>
      <c r="L276" s="494"/>
      <c r="M276" s="494"/>
      <c r="N276" s="494"/>
      <c r="O276" s="494"/>
      <c r="P276" s="494"/>
      <c r="Q276" s="494"/>
      <c r="R276" s="494"/>
      <c r="S276" s="494"/>
    </row>
    <row r="277" spans="1:19" x14ac:dyDescent="0.35">
      <c r="A277" s="494"/>
      <c r="B277" s="494"/>
      <c r="C277" s="494"/>
      <c r="D277" s="494"/>
      <c r="E277" s="494"/>
      <c r="F277" s="494"/>
      <c r="G277" s="494"/>
      <c r="H277" s="494"/>
      <c r="I277" s="494"/>
      <c r="J277" s="494"/>
      <c r="K277" s="494"/>
      <c r="L277" s="494"/>
      <c r="M277" s="494"/>
      <c r="N277" s="494"/>
      <c r="O277" s="494"/>
      <c r="P277" s="494"/>
      <c r="Q277" s="494"/>
      <c r="R277" s="494"/>
      <c r="S277" s="494"/>
    </row>
    <row r="278" spans="1:19" x14ac:dyDescent="0.35">
      <c r="A278" s="494"/>
      <c r="B278" s="494"/>
      <c r="C278" s="494"/>
      <c r="D278" s="494"/>
      <c r="E278" s="494"/>
      <c r="F278" s="494"/>
      <c r="G278" s="494"/>
      <c r="H278" s="494"/>
      <c r="I278" s="494"/>
      <c r="J278" s="494"/>
      <c r="K278" s="494"/>
      <c r="L278" s="494"/>
      <c r="M278" s="494"/>
      <c r="N278" s="494"/>
      <c r="O278" s="494"/>
      <c r="P278" s="494"/>
      <c r="Q278" s="494"/>
      <c r="R278" s="494"/>
      <c r="S278" s="494"/>
    </row>
    <row r="279" spans="1:19" x14ac:dyDescent="0.35">
      <c r="A279" s="494"/>
      <c r="B279" s="494"/>
      <c r="C279" s="494"/>
      <c r="D279" s="494"/>
      <c r="E279" s="494"/>
      <c r="F279" s="494"/>
      <c r="G279" s="494"/>
      <c r="H279" s="494"/>
      <c r="I279" s="494"/>
      <c r="J279" s="494"/>
      <c r="K279" s="494"/>
      <c r="L279" s="494"/>
      <c r="M279" s="494"/>
      <c r="N279" s="494"/>
      <c r="O279" s="494"/>
      <c r="P279" s="494"/>
      <c r="Q279" s="494"/>
      <c r="R279" s="494"/>
      <c r="S279" s="494"/>
    </row>
    <row r="280" spans="1:19" x14ac:dyDescent="0.35">
      <c r="A280" s="494"/>
      <c r="B280" s="494"/>
      <c r="C280" s="494"/>
      <c r="D280" s="494"/>
      <c r="E280" s="494"/>
      <c r="F280" s="494"/>
      <c r="G280" s="494"/>
      <c r="H280" s="494"/>
      <c r="I280" s="494"/>
      <c r="J280" s="494"/>
      <c r="K280" s="494"/>
      <c r="L280" s="494"/>
      <c r="M280" s="494"/>
      <c r="N280" s="494"/>
      <c r="O280" s="494"/>
      <c r="P280" s="494"/>
      <c r="Q280" s="494"/>
      <c r="R280" s="494"/>
      <c r="S280" s="494"/>
    </row>
    <row r="281" spans="1:19" x14ac:dyDescent="0.35">
      <c r="A281" s="494"/>
      <c r="B281" s="494"/>
      <c r="C281" s="494"/>
      <c r="D281" s="494"/>
      <c r="E281" s="494"/>
      <c r="F281" s="494"/>
      <c r="G281" s="494"/>
      <c r="H281" s="494"/>
      <c r="I281" s="494"/>
      <c r="J281" s="494"/>
      <c r="K281" s="494"/>
      <c r="L281" s="494"/>
      <c r="M281" s="494"/>
      <c r="N281" s="494"/>
      <c r="O281" s="494"/>
      <c r="P281" s="494"/>
      <c r="Q281" s="494"/>
      <c r="R281" s="494"/>
      <c r="S281" s="494"/>
    </row>
    <row r="282" spans="1:19" x14ac:dyDescent="0.35">
      <c r="A282" s="494"/>
      <c r="B282" s="494"/>
      <c r="C282" s="494"/>
      <c r="D282" s="494"/>
      <c r="E282" s="494"/>
      <c r="F282" s="494"/>
      <c r="G282" s="494"/>
      <c r="H282" s="494"/>
      <c r="I282" s="494"/>
      <c r="J282" s="494"/>
      <c r="K282" s="494"/>
      <c r="L282" s="494"/>
      <c r="M282" s="494"/>
      <c r="N282" s="494"/>
      <c r="O282" s="494"/>
      <c r="P282" s="494"/>
      <c r="Q282" s="494"/>
      <c r="R282" s="494"/>
      <c r="S282" s="494"/>
    </row>
    <row r="283" spans="1:19" x14ac:dyDescent="0.35">
      <c r="A283" s="494"/>
      <c r="B283" s="494"/>
      <c r="C283" s="494"/>
      <c r="D283" s="494"/>
      <c r="E283" s="494"/>
      <c r="F283" s="494"/>
      <c r="G283" s="494"/>
      <c r="H283" s="494"/>
      <c r="I283" s="494"/>
      <c r="J283" s="494"/>
      <c r="K283" s="494"/>
      <c r="L283" s="494"/>
      <c r="M283" s="494"/>
      <c r="N283" s="494"/>
      <c r="O283" s="494"/>
      <c r="P283" s="494"/>
      <c r="Q283" s="494"/>
      <c r="R283" s="494"/>
      <c r="S283" s="494"/>
    </row>
    <row r="284" spans="1:19" x14ac:dyDescent="0.35">
      <c r="A284" s="494"/>
      <c r="B284" s="494"/>
      <c r="C284" s="494"/>
      <c r="D284" s="494"/>
      <c r="E284" s="494"/>
      <c r="F284" s="494"/>
      <c r="G284" s="494"/>
      <c r="H284" s="494"/>
      <c r="I284" s="494"/>
      <c r="J284" s="494"/>
      <c r="K284" s="494"/>
      <c r="L284" s="494"/>
      <c r="M284" s="494"/>
      <c r="N284" s="494"/>
      <c r="O284" s="494"/>
      <c r="P284" s="494"/>
      <c r="Q284" s="494"/>
      <c r="R284" s="494"/>
      <c r="S284" s="494"/>
    </row>
    <row r="285" spans="1:19" x14ac:dyDescent="0.35">
      <c r="A285" s="494"/>
      <c r="B285" s="494"/>
      <c r="C285" s="494"/>
      <c r="D285" s="494"/>
      <c r="E285" s="494"/>
      <c r="F285" s="494"/>
      <c r="G285" s="494"/>
      <c r="H285" s="494"/>
      <c r="I285" s="494"/>
      <c r="J285" s="494"/>
      <c r="K285" s="494"/>
      <c r="L285" s="494"/>
      <c r="M285" s="494"/>
      <c r="N285" s="494"/>
      <c r="O285" s="494"/>
      <c r="P285" s="494"/>
      <c r="Q285" s="494"/>
      <c r="R285" s="494"/>
      <c r="S285" s="494"/>
    </row>
    <row r="286" spans="1:19" x14ac:dyDescent="0.35">
      <c r="A286" s="494"/>
      <c r="B286" s="494"/>
      <c r="C286" s="494"/>
      <c r="D286" s="494"/>
      <c r="E286" s="494"/>
      <c r="F286" s="494"/>
      <c r="G286" s="494"/>
      <c r="H286" s="494"/>
      <c r="I286" s="494"/>
      <c r="J286" s="494"/>
      <c r="K286" s="494"/>
      <c r="L286" s="494"/>
      <c r="M286" s="494"/>
      <c r="N286" s="494"/>
      <c r="O286" s="494"/>
      <c r="P286" s="494"/>
      <c r="Q286" s="494"/>
      <c r="R286" s="494"/>
      <c r="S286" s="494"/>
    </row>
    <row r="287" spans="1:19" x14ac:dyDescent="0.35">
      <c r="A287" s="494"/>
      <c r="B287" s="494"/>
      <c r="C287" s="494"/>
      <c r="D287" s="494"/>
      <c r="E287" s="494"/>
      <c r="F287" s="494"/>
      <c r="G287" s="494"/>
      <c r="H287" s="494"/>
      <c r="I287" s="494"/>
      <c r="J287" s="494"/>
      <c r="K287" s="494"/>
      <c r="L287" s="494"/>
      <c r="M287" s="494"/>
      <c r="N287" s="494"/>
      <c r="O287" s="494"/>
      <c r="P287" s="494"/>
      <c r="Q287" s="494"/>
      <c r="R287" s="494"/>
      <c r="S287" s="494"/>
    </row>
    <row r="288" spans="1:19" x14ac:dyDescent="0.35">
      <c r="A288" s="494"/>
      <c r="B288" s="494"/>
      <c r="C288" s="494"/>
      <c r="D288" s="494"/>
      <c r="E288" s="494"/>
      <c r="F288" s="494"/>
      <c r="G288" s="494"/>
      <c r="H288" s="494"/>
      <c r="I288" s="494"/>
      <c r="J288" s="494"/>
      <c r="K288" s="494"/>
      <c r="L288" s="494"/>
      <c r="M288" s="494"/>
      <c r="N288" s="494"/>
      <c r="O288" s="494"/>
      <c r="P288" s="494"/>
      <c r="Q288" s="494"/>
      <c r="R288" s="494"/>
      <c r="S288" s="494"/>
    </row>
    <row r="289" spans="1:19" x14ac:dyDescent="0.35">
      <c r="A289" s="494"/>
      <c r="B289" s="494"/>
      <c r="C289" s="494"/>
      <c r="D289" s="494"/>
      <c r="E289" s="494"/>
      <c r="F289" s="494"/>
      <c r="G289" s="494"/>
      <c r="H289" s="494"/>
      <c r="I289" s="494"/>
      <c r="J289" s="494"/>
      <c r="K289" s="494"/>
      <c r="L289" s="494"/>
      <c r="M289" s="494"/>
      <c r="N289" s="494"/>
      <c r="O289" s="494"/>
      <c r="P289" s="494"/>
      <c r="Q289" s="494"/>
      <c r="R289" s="494"/>
      <c r="S289" s="494"/>
    </row>
    <row r="290" spans="1:19" x14ac:dyDescent="0.35">
      <c r="A290" s="494"/>
      <c r="B290" s="494"/>
      <c r="C290" s="494"/>
      <c r="D290" s="494"/>
      <c r="E290" s="494"/>
      <c r="F290" s="494"/>
      <c r="G290" s="494"/>
      <c r="H290" s="494"/>
      <c r="I290" s="494"/>
      <c r="J290" s="494"/>
      <c r="K290" s="494"/>
      <c r="L290" s="494"/>
      <c r="M290" s="494"/>
      <c r="N290" s="494"/>
      <c r="O290" s="494"/>
      <c r="P290" s="494"/>
      <c r="Q290" s="494"/>
      <c r="R290" s="494"/>
      <c r="S290" s="494"/>
    </row>
    <row r="291" spans="1:19" x14ac:dyDescent="0.35">
      <c r="I291" s="494"/>
      <c r="J291" s="494"/>
      <c r="K291" s="494"/>
      <c r="L291" s="494"/>
      <c r="M291" s="494"/>
      <c r="N291" s="494"/>
      <c r="O291" s="494"/>
      <c r="P291" s="494"/>
      <c r="Q291" s="494"/>
      <c r="R291" s="494"/>
      <c r="S291" s="494"/>
    </row>
    <row r="292" spans="1:19" x14ac:dyDescent="0.35">
      <c r="I292" s="494"/>
      <c r="J292" s="494"/>
      <c r="K292" s="494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514" bestFit="1" customWidth="1"/>
    <col min="2" max="2" width="32.265625" style="514" bestFit="1" customWidth="1"/>
    <col min="3" max="14" width="8.265625" style="514" customWidth="1"/>
    <col min="15" max="15" width="6.73046875" style="514" customWidth="1"/>
    <col min="16" max="16384" width="9.1328125" style="514"/>
  </cols>
  <sheetData>
    <row r="1" spans="1:18" x14ac:dyDescent="0.45">
      <c r="B1" s="540"/>
      <c r="C1" s="541" t="s">
        <v>1118</v>
      </c>
      <c r="D1" s="542"/>
      <c r="E1" s="542"/>
      <c r="F1" s="542"/>
      <c r="G1" s="542"/>
      <c r="H1" s="542"/>
      <c r="I1" s="542"/>
      <c r="J1" s="543"/>
    </row>
    <row r="2" spans="1:18" x14ac:dyDescent="0.45">
      <c r="C2" s="544" t="s">
        <v>61</v>
      </c>
      <c r="D2" s="545" t="s">
        <v>166</v>
      </c>
      <c r="E2" s="545" t="s">
        <v>166</v>
      </c>
      <c r="F2" s="545" t="s">
        <v>166</v>
      </c>
      <c r="G2" s="546" t="s">
        <v>166</v>
      </c>
      <c r="H2" s="546" t="s">
        <v>166</v>
      </c>
      <c r="I2" s="546" t="s">
        <v>1119</v>
      </c>
      <c r="J2" s="547" t="s">
        <v>1120</v>
      </c>
    </row>
    <row r="3" spans="1:18" x14ac:dyDescent="0.45">
      <c r="C3" s="548" t="s">
        <v>246</v>
      </c>
      <c r="D3" s="549" t="s">
        <v>247</v>
      </c>
      <c r="E3" s="549" t="s">
        <v>248</v>
      </c>
      <c r="F3" s="549" t="s">
        <v>255</v>
      </c>
      <c r="G3" s="549" t="s">
        <v>249</v>
      </c>
      <c r="H3" s="549" t="s">
        <v>981</v>
      </c>
      <c r="I3" s="549" t="s">
        <v>982</v>
      </c>
      <c r="J3" s="550" t="s">
        <v>635</v>
      </c>
    </row>
    <row r="4" spans="1:18" ht="14.7" thickBot="1" x14ac:dyDescent="0.5">
      <c r="C4" s="551">
        <v>4.3478000000000003E-2</v>
      </c>
      <c r="D4" s="552">
        <v>2.5641000000000001E-2</v>
      </c>
      <c r="E4" s="552">
        <v>2.4899999999999999E-2</v>
      </c>
      <c r="F4" s="552">
        <v>3.2288999999999998E-2</v>
      </c>
      <c r="G4" s="552">
        <v>4.1140999999999997E-2</v>
      </c>
      <c r="H4" s="553">
        <v>1.7899999999999999E-2</v>
      </c>
      <c r="I4" s="554">
        <v>40</v>
      </c>
      <c r="J4" s="555">
        <v>2.8205999999999998E-2</v>
      </c>
    </row>
    <row r="7" spans="1:18" x14ac:dyDescent="0.45">
      <c r="A7" s="604" t="s">
        <v>1062</v>
      </c>
      <c r="B7" s="515" t="s">
        <v>526</v>
      </c>
    </row>
    <row r="8" spans="1:18" x14ac:dyDescent="0.45">
      <c r="C8" s="515"/>
      <c r="D8" s="505" t="s">
        <v>31</v>
      </c>
      <c r="E8" s="505" t="s">
        <v>31</v>
      </c>
      <c r="F8" s="505" t="s">
        <v>31</v>
      </c>
      <c r="G8" s="505" t="s">
        <v>176</v>
      </c>
      <c r="H8" s="505" t="s">
        <v>176</v>
      </c>
      <c r="I8" s="505" t="s">
        <v>176</v>
      </c>
      <c r="J8" s="505" t="s">
        <v>176</v>
      </c>
      <c r="K8" s="505" t="s">
        <v>176</v>
      </c>
      <c r="L8" s="505" t="s">
        <v>176</v>
      </c>
      <c r="M8" s="505" t="s">
        <v>983</v>
      </c>
      <c r="N8" s="505" t="s">
        <v>176</v>
      </c>
      <c r="O8" s="505"/>
    </row>
    <row r="9" spans="1:18" x14ac:dyDescent="0.45">
      <c r="A9" s="499" t="s">
        <v>1063</v>
      </c>
      <c r="B9" s="505"/>
      <c r="C9" s="505" t="s">
        <v>253</v>
      </c>
      <c r="D9" s="505" t="s">
        <v>244</v>
      </c>
      <c r="E9" s="505" t="s">
        <v>582</v>
      </c>
      <c r="F9" s="505" t="s">
        <v>583</v>
      </c>
      <c r="G9" s="505" t="s">
        <v>246</v>
      </c>
      <c r="H9" s="505" t="s">
        <v>247</v>
      </c>
      <c r="I9" s="505" t="s">
        <v>248</v>
      </c>
      <c r="J9" s="505" t="s">
        <v>581</v>
      </c>
      <c r="K9" s="505" t="s">
        <v>249</v>
      </c>
      <c r="L9" s="505" t="s">
        <v>981</v>
      </c>
      <c r="M9" s="505" t="s">
        <v>982</v>
      </c>
      <c r="N9" s="505" t="s">
        <v>635</v>
      </c>
      <c r="O9" s="505"/>
    </row>
    <row r="10" spans="1:18" x14ac:dyDescent="0.45">
      <c r="A10" s="505" t="s">
        <v>1064</v>
      </c>
      <c r="B10" s="505"/>
      <c r="C10" s="505" t="s">
        <v>253</v>
      </c>
      <c r="D10" s="505" t="s">
        <v>212</v>
      </c>
      <c r="E10" s="505" t="s">
        <v>254</v>
      </c>
      <c r="F10" s="505" t="s">
        <v>213</v>
      </c>
      <c r="G10" s="505" t="s">
        <v>246</v>
      </c>
      <c r="H10" s="505" t="s">
        <v>247</v>
      </c>
      <c r="I10" s="505" t="s">
        <v>248</v>
      </c>
      <c r="J10" s="505" t="s">
        <v>255</v>
      </c>
      <c r="K10" s="505" t="s">
        <v>249</v>
      </c>
      <c r="L10" s="505" t="s">
        <v>981</v>
      </c>
      <c r="M10" s="505" t="s">
        <v>982</v>
      </c>
      <c r="N10" s="505" t="s">
        <v>635</v>
      </c>
      <c r="O10" s="505"/>
    </row>
    <row r="11" spans="1:18" x14ac:dyDescent="0.45">
      <c r="A11" s="505"/>
      <c r="B11" s="505"/>
      <c r="C11" s="505">
        <v>2</v>
      </c>
      <c r="D11" s="505">
        <v>3</v>
      </c>
      <c r="E11" s="505">
        <v>4</v>
      </c>
      <c r="F11" s="505">
        <v>5</v>
      </c>
      <c r="G11" s="505">
        <v>6</v>
      </c>
      <c r="H11" s="505">
        <v>7</v>
      </c>
      <c r="I11" s="505">
        <v>8</v>
      </c>
      <c r="J11" s="505">
        <v>9</v>
      </c>
      <c r="K11" s="505">
        <v>10</v>
      </c>
      <c r="L11" s="505">
        <v>11</v>
      </c>
      <c r="M11" s="505">
        <v>12</v>
      </c>
      <c r="N11" s="505">
        <v>13</v>
      </c>
      <c r="O11" s="505"/>
    </row>
    <row r="12" spans="1:18" x14ac:dyDescent="0.45">
      <c r="A12" s="505"/>
      <c r="B12" s="505" t="s">
        <v>179</v>
      </c>
      <c r="C12" s="505">
        <v>68</v>
      </c>
      <c r="D12" s="505">
        <v>1</v>
      </c>
      <c r="E12" s="501">
        <v>7.0000000000000009</v>
      </c>
      <c r="F12" s="501">
        <v>4</v>
      </c>
      <c r="G12" s="505">
        <v>20</v>
      </c>
      <c r="H12" s="505">
        <v>50.000000000000007</v>
      </c>
      <c r="I12" s="505">
        <v>30</v>
      </c>
      <c r="J12" s="505">
        <v>15</v>
      </c>
      <c r="K12" s="505">
        <v>3.0000000000000004</v>
      </c>
      <c r="L12" s="501">
        <v>0.1</v>
      </c>
      <c r="M12" s="505">
        <v>0</v>
      </c>
      <c r="N12" s="506">
        <v>43</v>
      </c>
      <c r="O12" s="516"/>
    </row>
    <row r="13" spans="1:18" x14ac:dyDescent="0.45">
      <c r="A13" s="505"/>
      <c r="B13" s="505" t="s">
        <v>986</v>
      </c>
      <c r="C13" s="505">
        <v>80</v>
      </c>
      <c r="D13" s="505">
        <v>2.6</v>
      </c>
      <c r="E13" s="501">
        <v>8.4</v>
      </c>
      <c r="F13" s="501">
        <v>3.9</v>
      </c>
      <c r="G13" s="505">
        <v>70</v>
      </c>
      <c r="H13" s="505">
        <v>80</v>
      </c>
      <c r="I13" s="505">
        <v>100</v>
      </c>
      <c r="J13" s="505">
        <v>56</v>
      </c>
      <c r="K13" s="505">
        <v>8</v>
      </c>
      <c r="L13" s="498">
        <v>1.6</v>
      </c>
      <c r="M13" s="506">
        <v>3</v>
      </c>
      <c r="N13" s="506">
        <v>85</v>
      </c>
      <c r="O13" s="516"/>
      <c r="R13" s="505"/>
    </row>
    <row r="14" spans="1:18" x14ac:dyDescent="0.45">
      <c r="A14" s="505"/>
      <c r="B14" s="505" t="s">
        <v>987</v>
      </c>
      <c r="C14" s="505">
        <v>75</v>
      </c>
      <c r="D14" s="505">
        <v>2</v>
      </c>
      <c r="E14" s="501">
        <v>7.5</v>
      </c>
      <c r="F14" s="501">
        <v>4</v>
      </c>
      <c r="G14" s="505">
        <v>28</v>
      </c>
      <c r="H14" s="505">
        <v>77</v>
      </c>
      <c r="I14" s="505">
        <v>87</v>
      </c>
      <c r="J14" s="505">
        <v>47</v>
      </c>
      <c r="K14" s="505">
        <v>7</v>
      </c>
      <c r="L14" s="498">
        <v>1.2</v>
      </c>
      <c r="M14" s="506">
        <v>1.7</v>
      </c>
      <c r="N14" s="506">
        <v>55</v>
      </c>
      <c r="O14" s="516"/>
      <c r="R14" s="506"/>
    </row>
    <row r="15" spans="1:18" x14ac:dyDescent="0.45">
      <c r="A15" s="505"/>
      <c r="B15" s="505" t="s">
        <v>988</v>
      </c>
      <c r="C15" s="518">
        <v>66</v>
      </c>
      <c r="D15" s="518">
        <v>1.5</v>
      </c>
      <c r="E15" s="519">
        <v>7.2</v>
      </c>
      <c r="F15" s="519">
        <v>3.4</v>
      </c>
      <c r="G15" s="518">
        <v>25</v>
      </c>
      <c r="H15" s="518">
        <v>73</v>
      </c>
      <c r="I15" s="518">
        <v>46</v>
      </c>
      <c r="J15" s="518">
        <v>26</v>
      </c>
      <c r="K15" s="518">
        <v>5.0999999999999996</v>
      </c>
      <c r="L15" s="502">
        <v>0.53</v>
      </c>
      <c r="M15" s="518">
        <v>1.2</v>
      </c>
      <c r="N15" s="506">
        <v>41</v>
      </c>
      <c r="O15" s="520"/>
      <c r="R15" s="506"/>
    </row>
    <row r="16" spans="1:18" x14ac:dyDescent="0.45">
      <c r="A16" s="505"/>
      <c r="B16" s="505" t="s">
        <v>640</v>
      </c>
      <c r="C16" s="505">
        <v>66</v>
      </c>
      <c r="D16" s="505">
        <v>1.3</v>
      </c>
      <c r="E16" s="501">
        <v>7.3</v>
      </c>
      <c r="F16" s="501">
        <v>3.4</v>
      </c>
      <c r="G16" s="505">
        <v>17</v>
      </c>
      <c r="H16" s="505">
        <v>68</v>
      </c>
      <c r="I16" s="505">
        <v>57</v>
      </c>
      <c r="J16" s="505">
        <v>32</v>
      </c>
      <c r="K16" s="505">
        <v>5.0999999999999996</v>
      </c>
      <c r="L16" s="501">
        <v>3.9</v>
      </c>
      <c r="M16" s="505">
        <v>8.6999999999999993</v>
      </c>
      <c r="N16" s="506">
        <v>42</v>
      </c>
      <c r="O16" s="516"/>
      <c r="R16" s="506"/>
    </row>
    <row r="17" spans="1:18" x14ac:dyDescent="0.45">
      <c r="A17" s="499"/>
      <c r="B17" s="505" t="s">
        <v>1051</v>
      </c>
      <c r="C17" s="505">
        <v>68</v>
      </c>
      <c r="D17" s="505">
        <v>1.4</v>
      </c>
      <c r="E17" s="501">
        <v>8.6</v>
      </c>
      <c r="F17" s="501">
        <v>3</v>
      </c>
      <c r="G17" s="505">
        <v>23</v>
      </c>
      <c r="H17" s="505">
        <v>74</v>
      </c>
      <c r="I17" s="505">
        <v>65</v>
      </c>
      <c r="J17" s="505">
        <v>36</v>
      </c>
      <c r="K17" s="505">
        <v>4.8</v>
      </c>
      <c r="L17" s="501">
        <v>7</v>
      </c>
      <c r="M17" s="505">
        <v>1.4</v>
      </c>
      <c r="N17" s="506">
        <v>47</v>
      </c>
      <c r="O17" s="516"/>
      <c r="R17" s="506"/>
    </row>
    <row r="18" spans="1:18" x14ac:dyDescent="0.45">
      <c r="A18" s="505"/>
      <c r="B18" s="505" t="s">
        <v>17</v>
      </c>
      <c r="C18" s="505">
        <v>100</v>
      </c>
      <c r="D18" s="505">
        <v>2.6</v>
      </c>
      <c r="E18" s="501">
        <v>10.3</v>
      </c>
      <c r="F18" s="501">
        <v>5.4</v>
      </c>
      <c r="G18" s="505">
        <v>37</v>
      </c>
      <c r="H18" s="505">
        <v>95</v>
      </c>
      <c r="I18" s="505">
        <v>100</v>
      </c>
      <c r="J18" s="505">
        <v>50</v>
      </c>
      <c r="K18" s="505">
        <v>9</v>
      </c>
      <c r="L18" s="501">
        <v>1.2</v>
      </c>
      <c r="M18" s="505">
        <v>1.9</v>
      </c>
      <c r="N18" s="506">
        <v>62</v>
      </c>
      <c r="O18" s="516"/>
      <c r="R18" s="506"/>
    </row>
    <row r="19" spans="1:18" x14ac:dyDescent="0.45">
      <c r="A19" s="505"/>
      <c r="B19" s="505" t="s">
        <v>1077</v>
      </c>
      <c r="C19" s="505">
        <v>100</v>
      </c>
      <c r="D19" s="505">
        <v>2.6</v>
      </c>
      <c r="E19" s="501">
        <v>10.3</v>
      </c>
      <c r="F19" s="501">
        <v>5.4</v>
      </c>
      <c r="G19" s="505">
        <v>32</v>
      </c>
      <c r="H19" s="505">
        <v>108</v>
      </c>
      <c r="I19" s="505">
        <v>80</v>
      </c>
      <c r="J19" s="505">
        <v>40</v>
      </c>
      <c r="K19" s="505">
        <v>8</v>
      </c>
      <c r="L19" s="501">
        <v>1</v>
      </c>
      <c r="M19" s="505">
        <v>1.7</v>
      </c>
      <c r="N19" s="506">
        <v>64</v>
      </c>
      <c r="O19" s="516"/>
      <c r="R19" s="506"/>
    </row>
    <row r="20" spans="1:18" x14ac:dyDescent="0.45">
      <c r="A20" s="505"/>
      <c r="B20" s="505" t="s">
        <v>1068</v>
      </c>
      <c r="C20" s="505">
        <v>67</v>
      </c>
      <c r="D20" s="505">
        <v>1.6</v>
      </c>
      <c r="E20" s="501">
        <v>7</v>
      </c>
      <c r="F20" s="501">
        <v>3.5</v>
      </c>
      <c r="G20" s="505">
        <v>20</v>
      </c>
      <c r="H20" s="505">
        <v>81</v>
      </c>
      <c r="I20" s="505">
        <v>47</v>
      </c>
      <c r="J20" s="505">
        <v>26</v>
      </c>
      <c r="K20" s="505">
        <v>5.3</v>
      </c>
      <c r="L20" s="502">
        <v>0.53</v>
      </c>
      <c r="M20" s="505">
        <v>1.3</v>
      </c>
      <c r="N20" s="506">
        <v>40</v>
      </c>
      <c r="O20" s="516"/>
      <c r="R20" s="505"/>
    </row>
    <row r="21" spans="1:18" x14ac:dyDescent="0.45">
      <c r="A21" s="505"/>
      <c r="B21" s="505" t="s">
        <v>528</v>
      </c>
      <c r="C21" s="505">
        <v>101</v>
      </c>
      <c r="D21" s="505">
        <v>2.7</v>
      </c>
      <c r="E21" s="501">
        <v>12.3</v>
      </c>
      <c r="F21" s="501">
        <v>4.4000000000000004</v>
      </c>
      <c r="G21" s="505">
        <v>60</v>
      </c>
      <c r="H21" s="505">
        <v>110</v>
      </c>
      <c r="I21" s="505">
        <v>60</v>
      </c>
      <c r="J21" s="505">
        <v>50</v>
      </c>
      <c r="K21" s="505">
        <v>11</v>
      </c>
      <c r="L21" s="521">
        <v>1</v>
      </c>
      <c r="M21" s="505">
        <v>1</v>
      </c>
      <c r="N21" s="506">
        <v>95</v>
      </c>
      <c r="O21" s="516"/>
      <c r="R21" s="505"/>
    </row>
    <row r="22" spans="1:18" x14ac:dyDescent="0.45">
      <c r="A22" s="505"/>
      <c r="B22" s="505" t="s">
        <v>529</v>
      </c>
      <c r="C22" s="505">
        <v>151</v>
      </c>
      <c r="D22" s="505">
        <v>4</v>
      </c>
      <c r="E22" s="501">
        <v>18.5</v>
      </c>
      <c r="F22" s="501">
        <v>6.7</v>
      </c>
      <c r="G22" s="505">
        <v>90</v>
      </c>
      <c r="H22" s="505">
        <v>165</v>
      </c>
      <c r="I22" s="505">
        <v>90</v>
      </c>
      <c r="J22" s="505">
        <v>75</v>
      </c>
      <c r="K22" s="505">
        <v>17</v>
      </c>
      <c r="L22" s="501">
        <v>1.5</v>
      </c>
      <c r="M22" s="505">
        <v>1.5</v>
      </c>
      <c r="N22" s="506">
        <v>143</v>
      </c>
      <c r="O22" s="516"/>
    </row>
    <row r="23" spans="1:18" x14ac:dyDescent="0.45">
      <c r="A23" s="505"/>
      <c r="B23" s="505" t="s">
        <v>1078</v>
      </c>
      <c r="C23" s="505">
        <v>100</v>
      </c>
      <c r="D23" s="505">
        <v>2.8</v>
      </c>
      <c r="E23" s="501">
        <v>13.7</v>
      </c>
      <c r="F23" s="501">
        <v>3.9</v>
      </c>
      <c r="G23" s="505">
        <v>60</v>
      </c>
      <c r="H23" s="505">
        <v>110</v>
      </c>
      <c r="I23" s="505">
        <v>60</v>
      </c>
      <c r="J23" s="505">
        <v>50</v>
      </c>
      <c r="K23" s="505">
        <v>11</v>
      </c>
      <c r="L23" s="521">
        <v>1</v>
      </c>
      <c r="M23" s="521">
        <v>1</v>
      </c>
      <c r="N23" s="506">
        <v>95</v>
      </c>
      <c r="O23" s="522"/>
    </row>
    <row r="24" spans="1:18" x14ac:dyDescent="0.45">
      <c r="A24" s="505"/>
      <c r="B24" s="505" t="s">
        <v>1115</v>
      </c>
      <c r="C24" s="505">
        <v>68</v>
      </c>
      <c r="D24" s="505">
        <v>1.6</v>
      </c>
      <c r="E24" s="501">
        <v>8.1</v>
      </c>
      <c r="F24" s="501">
        <v>3.1</v>
      </c>
      <c r="G24" s="505">
        <v>25</v>
      </c>
      <c r="H24" s="505">
        <v>78</v>
      </c>
      <c r="I24" s="505">
        <v>63</v>
      </c>
      <c r="J24" s="505">
        <v>37</v>
      </c>
      <c r="K24" s="505">
        <v>5.5</v>
      </c>
      <c r="L24" s="501">
        <v>1</v>
      </c>
      <c r="M24" s="505">
        <v>1.4</v>
      </c>
      <c r="N24" s="506">
        <v>42</v>
      </c>
      <c r="O24" s="516"/>
    </row>
    <row r="25" spans="1:18" x14ac:dyDescent="0.45">
      <c r="A25" s="505"/>
      <c r="B25" s="505" t="s">
        <v>531</v>
      </c>
      <c r="C25" s="505">
        <v>102</v>
      </c>
      <c r="D25" s="505">
        <v>3.3</v>
      </c>
      <c r="E25" s="501">
        <v>12.3</v>
      </c>
      <c r="F25" s="501">
        <v>4.2</v>
      </c>
      <c r="G25" s="505">
        <v>80</v>
      </c>
      <c r="H25" s="505">
        <v>138</v>
      </c>
      <c r="I25" s="505">
        <v>70</v>
      </c>
      <c r="J25" s="505">
        <v>60</v>
      </c>
      <c r="K25" s="505">
        <v>17</v>
      </c>
      <c r="L25" s="501">
        <v>1.3</v>
      </c>
      <c r="M25" s="505">
        <v>0.7</v>
      </c>
      <c r="N25" s="506">
        <v>125</v>
      </c>
      <c r="O25" s="516"/>
    </row>
    <row r="26" spans="1:18" x14ac:dyDescent="0.45">
      <c r="A26" s="505"/>
      <c r="B26" s="505" t="s">
        <v>532</v>
      </c>
      <c r="C26" s="505">
        <v>152</v>
      </c>
      <c r="D26" s="505">
        <v>4.8</v>
      </c>
      <c r="E26" s="501">
        <v>18.5</v>
      </c>
      <c r="F26" s="501">
        <v>6.3</v>
      </c>
      <c r="G26" s="505">
        <v>107</v>
      </c>
      <c r="H26" s="505">
        <v>186</v>
      </c>
      <c r="I26" s="505">
        <v>95</v>
      </c>
      <c r="J26" s="505">
        <v>90</v>
      </c>
      <c r="K26" s="505">
        <v>26</v>
      </c>
      <c r="L26" s="501">
        <v>2</v>
      </c>
      <c r="M26" s="505">
        <v>1.1000000000000001</v>
      </c>
      <c r="N26" s="506">
        <v>147</v>
      </c>
      <c r="O26" s="516"/>
    </row>
    <row r="27" spans="1:18" x14ac:dyDescent="0.45">
      <c r="A27" s="505"/>
      <c r="B27" s="505" t="s">
        <v>534</v>
      </c>
      <c r="C27" s="505">
        <v>103</v>
      </c>
      <c r="D27" s="505">
        <v>4</v>
      </c>
      <c r="E27" s="501">
        <v>12.3</v>
      </c>
      <c r="F27" s="501">
        <v>3.9</v>
      </c>
      <c r="G27" s="505">
        <v>100</v>
      </c>
      <c r="H27" s="505">
        <v>150</v>
      </c>
      <c r="I27" s="505">
        <v>80</v>
      </c>
      <c r="J27" s="505">
        <v>72</v>
      </c>
      <c r="K27" s="505">
        <v>23</v>
      </c>
      <c r="L27" s="519">
        <v>1.6</v>
      </c>
      <c r="M27" s="518">
        <v>1</v>
      </c>
      <c r="N27" s="506">
        <v>125</v>
      </c>
      <c r="O27" s="520"/>
    </row>
    <row r="28" spans="1:18" x14ac:dyDescent="0.45">
      <c r="A28" s="505"/>
      <c r="B28" s="505" t="s">
        <v>535</v>
      </c>
      <c r="C28" s="505">
        <v>153</v>
      </c>
      <c r="D28" s="505">
        <v>6</v>
      </c>
      <c r="E28" s="501">
        <v>18.399999999999999</v>
      </c>
      <c r="F28" s="501">
        <v>5.8</v>
      </c>
      <c r="G28" s="505">
        <v>134</v>
      </c>
      <c r="H28" s="505">
        <v>201</v>
      </c>
      <c r="I28" s="505">
        <v>84</v>
      </c>
      <c r="J28" s="505">
        <v>84</v>
      </c>
      <c r="K28" s="505">
        <v>30</v>
      </c>
      <c r="L28" s="519">
        <v>2.4</v>
      </c>
      <c r="M28" s="518">
        <v>1.5</v>
      </c>
      <c r="N28" s="506">
        <v>100</v>
      </c>
      <c r="O28" s="520"/>
    </row>
    <row r="29" spans="1:18" x14ac:dyDescent="0.45">
      <c r="A29" s="505"/>
      <c r="B29" s="505" t="s">
        <v>1079</v>
      </c>
      <c r="C29" s="505">
        <v>100</v>
      </c>
      <c r="D29" s="505">
        <v>4</v>
      </c>
      <c r="E29" s="501">
        <v>17.600000000000001</v>
      </c>
      <c r="F29" s="501">
        <v>1.7</v>
      </c>
      <c r="G29" s="505">
        <v>100</v>
      </c>
      <c r="H29" s="505">
        <v>150</v>
      </c>
      <c r="I29" s="505">
        <v>80</v>
      </c>
      <c r="J29" s="505">
        <v>72</v>
      </c>
      <c r="K29" s="505">
        <v>23</v>
      </c>
      <c r="L29" s="519">
        <v>1.6</v>
      </c>
      <c r="M29" s="518">
        <v>0.7</v>
      </c>
      <c r="N29" s="506">
        <v>125</v>
      </c>
      <c r="O29" s="520"/>
      <c r="R29" s="517"/>
    </row>
    <row r="30" spans="1:18" x14ac:dyDescent="0.45">
      <c r="A30" s="505"/>
      <c r="B30" s="505" t="s">
        <v>989</v>
      </c>
      <c r="C30" s="505">
        <v>67</v>
      </c>
      <c r="D30" s="505">
        <v>1.8</v>
      </c>
      <c r="E30" s="501">
        <v>7.2</v>
      </c>
      <c r="F30" s="501">
        <v>3.4</v>
      </c>
      <c r="G30" s="505">
        <v>26.1</v>
      </c>
      <c r="H30" s="505">
        <v>72.5</v>
      </c>
      <c r="I30" s="505">
        <v>65.599999999999994</v>
      </c>
      <c r="J30" s="505">
        <v>47.1</v>
      </c>
      <c r="K30" s="505">
        <v>7</v>
      </c>
      <c r="L30" s="519">
        <v>1</v>
      </c>
      <c r="M30" s="518">
        <v>1.2</v>
      </c>
      <c r="N30" s="506">
        <v>53.3</v>
      </c>
      <c r="O30" s="520"/>
      <c r="R30" s="505"/>
    </row>
    <row r="31" spans="1:18" x14ac:dyDescent="0.45">
      <c r="A31" s="505"/>
      <c r="B31" s="505" t="s">
        <v>990</v>
      </c>
      <c r="C31" s="505">
        <v>66</v>
      </c>
      <c r="D31" s="505">
        <v>1.8</v>
      </c>
      <c r="E31" s="501">
        <v>6.8</v>
      </c>
      <c r="F31" s="501">
        <v>3.5</v>
      </c>
      <c r="G31" s="505">
        <v>18</v>
      </c>
      <c r="H31" s="505">
        <v>65</v>
      </c>
      <c r="I31" s="505">
        <v>50</v>
      </c>
      <c r="J31" s="505">
        <v>28</v>
      </c>
      <c r="K31" s="505">
        <v>5.0999999999999996</v>
      </c>
      <c r="L31" s="519">
        <v>0.77</v>
      </c>
      <c r="M31" s="518">
        <v>1.3</v>
      </c>
      <c r="N31" s="506">
        <v>40</v>
      </c>
      <c r="O31" s="520"/>
      <c r="R31" s="505"/>
    </row>
    <row r="32" spans="1:18" x14ac:dyDescent="0.45">
      <c r="B32" s="514" t="s">
        <v>1052</v>
      </c>
      <c r="C32" s="505">
        <v>68</v>
      </c>
      <c r="D32" s="505">
        <v>1</v>
      </c>
      <c r="E32" s="501">
        <v>7.0000000000000009</v>
      </c>
      <c r="F32" s="501">
        <v>4</v>
      </c>
      <c r="G32" s="505">
        <v>20</v>
      </c>
      <c r="H32" s="505">
        <v>50.000000000000007</v>
      </c>
      <c r="I32" s="505">
        <v>30</v>
      </c>
      <c r="J32" s="505">
        <v>15</v>
      </c>
      <c r="K32" s="505">
        <v>3.0000000000000004</v>
      </c>
      <c r="L32" s="501">
        <v>0.1</v>
      </c>
      <c r="M32" s="505">
        <v>0</v>
      </c>
      <c r="N32" s="506">
        <v>43</v>
      </c>
      <c r="O32" s="516"/>
      <c r="R32" s="505"/>
    </row>
    <row r="33" spans="1:18" x14ac:dyDescent="0.45">
      <c r="B33" s="514" t="s">
        <v>1053</v>
      </c>
      <c r="C33" s="505">
        <v>68</v>
      </c>
      <c r="D33" s="505">
        <v>1</v>
      </c>
      <c r="E33" s="501">
        <v>7.0000000000000009</v>
      </c>
      <c r="F33" s="501">
        <v>4</v>
      </c>
      <c r="G33" s="505">
        <v>20</v>
      </c>
      <c r="H33" s="505">
        <v>50.000000000000007</v>
      </c>
      <c r="I33" s="505">
        <v>30</v>
      </c>
      <c r="J33" s="505">
        <v>15</v>
      </c>
      <c r="K33" s="505">
        <v>3.0000000000000004</v>
      </c>
      <c r="L33" s="501">
        <v>0.1</v>
      </c>
      <c r="M33" s="505">
        <v>0</v>
      </c>
      <c r="N33" s="506">
        <v>43</v>
      </c>
      <c r="O33" s="516"/>
      <c r="R33" s="505"/>
    </row>
    <row r="34" spans="1:18" x14ac:dyDescent="0.45">
      <c r="B34" s="514" t="s">
        <v>1054</v>
      </c>
      <c r="C34" s="505">
        <v>68</v>
      </c>
      <c r="D34" s="505">
        <v>1</v>
      </c>
      <c r="E34" s="501">
        <v>7.0000000000000009</v>
      </c>
      <c r="F34" s="501">
        <v>4</v>
      </c>
      <c r="G34" s="505">
        <v>20</v>
      </c>
      <c r="H34" s="505">
        <v>50.000000000000007</v>
      </c>
      <c r="I34" s="505">
        <v>30</v>
      </c>
      <c r="J34" s="505">
        <v>15</v>
      </c>
      <c r="K34" s="505">
        <v>3.0000000000000004</v>
      </c>
      <c r="L34" s="501">
        <v>0.1</v>
      </c>
      <c r="M34" s="505">
        <v>0</v>
      </c>
      <c r="N34" s="506">
        <v>43</v>
      </c>
      <c r="O34" s="516"/>
      <c r="R34" s="505"/>
    </row>
    <row r="35" spans="1:18" x14ac:dyDescent="0.45">
      <c r="B35" s="514" t="s">
        <v>1055</v>
      </c>
      <c r="C35" s="505">
        <v>68</v>
      </c>
      <c r="D35" s="505">
        <v>1</v>
      </c>
      <c r="E35" s="501">
        <v>7.0000000000000009</v>
      </c>
      <c r="F35" s="501">
        <v>4</v>
      </c>
      <c r="G35" s="505">
        <v>20</v>
      </c>
      <c r="H35" s="505">
        <v>50.000000000000007</v>
      </c>
      <c r="I35" s="505">
        <v>30</v>
      </c>
      <c r="J35" s="505">
        <v>15</v>
      </c>
      <c r="K35" s="505">
        <v>3.0000000000000004</v>
      </c>
      <c r="L35" s="501">
        <v>0.1</v>
      </c>
      <c r="M35" s="505">
        <v>0</v>
      </c>
      <c r="N35" s="506">
        <v>43</v>
      </c>
      <c r="O35" s="516"/>
      <c r="R35" s="505"/>
    </row>
    <row r="36" spans="1:18" x14ac:dyDescent="0.45">
      <c r="B36" s="514" t="s">
        <v>1056</v>
      </c>
      <c r="C36" s="505">
        <v>68</v>
      </c>
      <c r="D36" s="505">
        <v>1</v>
      </c>
      <c r="E36" s="501">
        <v>7.0000000000000009</v>
      </c>
      <c r="F36" s="501">
        <v>4</v>
      </c>
      <c r="G36" s="505">
        <v>20</v>
      </c>
      <c r="H36" s="505">
        <v>50.000000000000007</v>
      </c>
      <c r="I36" s="505">
        <v>30</v>
      </c>
      <c r="J36" s="505">
        <v>15</v>
      </c>
      <c r="K36" s="505">
        <v>3.0000000000000004</v>
      </c>
      <c r="L36" s="501">
        <v>0.1</v>
      </c>
      <c r="M36" s="505">
        <v>0</v>
      </c>
      <c r="N36" s="506">
        <v>43</v>
      </c>
      <c r="O36" s="516"/>
      <c r="R36" s="505"/>
    </row>
    <row r="37" spans="1:18" x14ac:dyDescent="0.45">
      <c r="B37" s="514" t="s">
        <v>1057</v>
      </c>
      <c r="C37" s="505">
        <v>68</v>
      </c>
      <c r="D37" s="505">
        <v>1</v>
      </c>
      <c r="E37" s="501">
        <v>7.0000000000000009</v>
      </c>
      <c r="F37" s="501">
        <v>4</v>
      </c>
      <c r="G37" s="505">
        <v>20</v>
      </c>
      <c r="H37" s="505">
        <v>50.000000000000007</v>
      </c>
      <c r="I37" s="505">
        <v>30</v>
      </c>
      <c r="J37" s="505">
        <v>15</v>
      </c>
      <c r="K37" s="505">
        <v>3.0000000000000004</v>
      </c>
      <c r="L37" s="501">
        <v>0.1</v>
      </c>
      <c r="M37" s="505">
        <v>0</v>
      </c>
      <c r="N37" s="506">
        <v>43</v>
      </c>
      <c r="O37" s="516"/>
      <c r="R37" s="505"/>
    </row>
    <row r="38" spans="1:18" x14ac:dyDescent="0.45">
      <c r="B38" s="514" t="s">
        <v>1065</v>
      </c>
      <c r="C38" s="524">
        <v>66.3</v>
      </c>
      <c r="D38" s="524">
        <v>1.5</v>
      </c>
      <c r="E38" s="524">
        <v>7</v>
      </c>
      <c r="F38" s="524">
        <v>3.6</v>
      </c>
      <c r="G38" s="524">
        <v>20.3</v>
      </c>
      <c r="H38" s="524">
        <v>67</v>
      </c>
      <c r="I38" s="524">
        <v>53.3</v>
      </c>
      <c r="J38" s="524">
        <v>29.2</v>
      </c>
      <c r="K38" s="524">
        <v>0.08</v>
      </c>
      <c r="L38" s="524">
        <v>0.51</v>
      </c>
      <c r="M38" s="524">
        <v>1.9</v>
      </c>
      <c r="N38" s="506">
        <v>40</v>
      </c>
      <c r="O38" s="525"/>
      <c r="R38" s="505"/>
    </row>
    <row r="39" spans="1:18" x14ac:dyDescent="0.45">
      <c r="B39" s="506" t="s">
        <v>991</v>
      </c>
      <c r="C39" s="524">
        <v>66</v>
      </c>
      <c r="D39" s="524">
        <v>1.4</v>
      </c>
      <c r="E39" s="524">
        <v>7.2</v>
      </c>
      <c r="F39" s="524">
        <v>3.5</v>
      </c>
      <c r="G39" s="524">
        <v>20</v>
      </c>
      <c r="H39" s="524">
        <v>65</v>
      </c>
      <c r="I39" s="524">
        <v>50</v>
      </c>
      <c r="J39" s="524">
        <v>30</v>
      </c>
      <c r="K39" s="524">
        <v>6</v>
      </c>
      <c r="L39" s="524">
        <v>0.78</v>
      </c>
      <c r="M39" s="524">
        <v>1.2</v>
      </c>
      <c r="N39" s="524">
        <v>42</v>
      </c>
      <c r="O39" s="524"/>
      <c r="R39" s="505"/>
    </row>
    <row r="40" spans="1:18" x14ac:dyDescent="0.45">
      <c r="B40" s="506" t="s">
        <v>992</v>
      </c>
      <c r="C40" s="524">
        <v>70</v>
      </c>
      <c r="D40" s="524">
        <v>1.6</v>
      </c>
      <c r="E40" s="524">
        <v>9.1999999999999993</v>
      </c>
      <c r="F40" s="524">
        <v>2.9</v>
      </c>
      <c r="G40" s="524">
        <v>24</v>
      </c>
      <c r="H40" s="524">
        <v>83</v>
      </c>
      <c r="I40" s="524">
        <v>72</v>
      </c>
      <c r="J40" s="524">
        <v>53</v>
      </c>
      <c r="K40" s="524">
        <v>7.8</v>
      </c>
      <c r="L40" s="524">
        <v>1.1000000000000001</v>
      </c>
      <c r="M40" s="524">
        <v>1.3</v>
      </c>
      <c r="N40" s="524">
        <v>45</v>
      </c>
      <c r="O40" s="524"/>
      <c r="R40" s="505"/>
    </row>
    <row r="41" spans="1:18" x14ac:dyDescent="0.45">
      <c r="B41" s="506" t="s">
        <v>993</v>
      </c>
      <c r="C41" s="524">
        <v>65</v>
      </c>
      <c r="D41" s="524">
        <v>1.4</v>
      </c>
      <c r="E41" s="524">
        <v>6.8</v>
      </c>
      <c r="F41" s="524">
        <v>3.5</v>
      </c>
      <c r="G41" s="524">
        <v>16</v>
      </c>
      <c r="H41" s="524">
        <v>60.1</v>
      </c>
      <c r="I41" s="524">
        <v>43.9</v>
      </c>
      <c r="J41" s="524">
        <v>26</v>
      </c>
      <c r="K41" s="524">
        <v>4</v>
      </c>
      <c r="L41" s="524">
        <v>0.4</v>
      </c>
      <c r="M41" s="524">
        <v>1.2</v>
      </c>
      <c r="N41" s="524">
        <v>40</v>
      </c>
      <c r="O41" s="524"/>
      <c r="R41" s="505"/>
    </row>
    <row r="42" spans="1:18" x14ac:dyDescent="0.45">
      <c r="B42" s="506" t="s">
        <v>994</v>
      </c>
      <c r="C42" s="524">
        <v>62</v>
      </c>
      <c r="D42" s="524">
        <v>1.3</v>
      </c>
      <c r="E42" s="524">
        <v>6.4</v>
      </c>
      <c r="F42" s="524">
        <v>3.3</v>
      </c>
      <c r="G42" s="524">
        <v>15</v>
      </c>
      <c r="H42" s="524">
        <v>56.8</v>
      </c>
      <c r="I42" s="524">
        <v>41.6</v>
      </c>
      <c r="J42" s="524">
        <v>25</v>
      </c>
      <c r="K42" s="524">
        <v>3.79</v>
      </c>
      <c r="L42" s="524">
        <v>1</v>
      </c>
      <c r="M42" s="524">
        <v>1.1000000000000001</v>
      </c>
      <c r="N42" s="524">
        <v>37.9</v>
      </c>
      <c r="O42" s="524"/>
      <c r="R42" s="505"/>
    </row>
    <row r="43" spans="1:18" x14ac:dyDescent="0.45">
      <c r="A43" s="505"/>
      <c r="B43" s="506" t="s">
        <v>1066</v>
      </c>
      <c r="C43" s="524">
        <v>66</v>
      </c>
      <c r="D43" s="524">
        <v>2</v>
      </c>
      <c r="E43" s="524">
        <v>6.6</v>
      </c>
      <c r="F43" s="524">
        <v>3.5</v>
      </c>
      <c r="G43" s="524">
        <v>22</v>
      </c>
      <c r="H43" s="524">
        <v>69.3</v>
      </c>
      <c r="I43" s="524">
        <v>66.3</v>
      </c>
      <c r="J43" s="524">
        <v>39</v>
      </c>
      <c r="K43" s="524">
        <v>6.58</v>
      </c>
      <c r="L43" s="524">
        <v>0.87</v>
      </c>
      <c r="M43" s="524">
        <v>1.3</v>
      </c>
      <c r="N43" s="524">
        <v>45.2</v>
      </c>
      <c r="O43" s="524"/>
      <c r="R43" s="505"/>
    </row>
    <row r="44" spans="1:18" x14ac:dyDescent="0.45">
      <c r="B44" s="506" t="s">
        <v>1067</v>
      </c>
      <c r="C44" s="524">
        <v>79</v>
      </c>
      <c r="D44" s="524">
        <v>2.6</v>
      </c>
      <c r="E44" s="524">
        <v>8.3000000000000007</v>
      </c>
      <c r="F44" s="524">
        <v>4</v>
      </c>
      <c r="G44" s="524">
        <v>51</v>
      </c>
      <c r="H44" s="524">
        <v>88</v>
      </c>
      <c r="I44" s="524">
        <v>96</v>
      </c>
      <c r="J44" s="524">
        <v>54.4</v>
      </c>
      <c r="K44" s="524">
        <v>8.9</v>
      </c>
      <c r="L44" s="524">
        <v>1.8</v>
      </c>
      <c r="M44" s="524">
        <v>1.9</v>
      </c>
      <c r="N44" s="524">
        <v>76.8</v>
      </c>
      <c r="O44" s="524"/>
      <c r="R44" s="505"/>
    </row>
    <row r="45" spans="1:18" x14ac:dyDescent="0.45">
      <c r="B45" s="506"/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4"/>
      <c r="N45" s="524"/>
      <c r="O45" s="524"/>
      <c r="R45" s="505"/>
    </row>
    <row r="46" spans="1:18" x14ac:dyDescent="0.45">
      <c r="B46" s="506"/>
      <c r="C46" s="524"/>
      <c r="D46" s="524"/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524"/>
    </row>
    <row r="47" spans="1:18" x14ac:dyDescent="0.45">
      <c r="B47" s="506"/>
      <c r="C47" s="524"/>
      <c r="D47" s="524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524"/>
    </row>
    <row r="48" spans="1:18" x14ac:dyDescent="0.45">
      <c r="A48" s="515" t="s">
        <v>1080</v>
      </c>
      <c r="B48" s="515" t="s">
        <v>1058</v>
      </c>
    </row>
    <row r="49" spans="1:15" x14ac:dyDescent="0.45">
      <c r="C49" s="515"/>
      <c r="D49" s="505" t="s">
        <v>31</v>
      </c>
      <c r="E49" s="505" t="s">
        <v>31</v>
      </c>
      <c r="F49" s="505" t="s">
        <v>31</v>
      </c>
      <c r="G49" s="505" t="s">
        <v>176</v>
      </c>
      <c r="H49" s="505" t="s">
        <v>176</v>
      </c>
      <c r="I49" s="505" t="s">
        <v>176</v>
      </c>
      <c r="J49" s="505" t="s">
        <v>176</v>
      </c>
      <c r="K49" s="505" t="s">
        <v>176</v>
      </c>
      <c r="L49" s="505" t="s">
        <v>176</v>
      </c>
      <c r="M49" s="505" t="s">
        <v>983</v>
      </c>
      <c r="N49" s="505" t="s">
        <v>176</v>
      </c>
    </row>
    <row r="50" spans="1:15" x14ac:dyDescent="0.45">
      <c r="A50" s="499" t="s">
        <v>1063</v>
      </c>
      <c r="B50" s="505"/>
      <c r="C50" s="505" t="s">
        <v>253</v>
      </c>
      <c r="D50" s="505" t="s">
        <v>244</v>
      </c>
      <c r="E50" s="505" t="s">
        <v>582</v>
      </c>
      <c r="F50" s="505" t="s">
        <v>583</v>
      </c>
      <c r="G50" s="505" t="s">
        <v>246</v>
      </c>
      <c r="H50" s="505" t="s">
        <v>247</v>
      </c>
      <c r="I50" s="505" t="s">
        <v>248</v>
      </c>
      <c r="J50" s="505" t="s">
        <v>581</v>
      </c>
      <c r="K50" s="505" t="s">
        <v>249</v>
      </c>
      <c r="L50" s="505" t="s">
        <v>981</v>
      </c>
      <c r="M50" s="505" t="s">
        <v>982</v>
      </c>
      <c r="N50" s="505" t="s">
        <v>635</v>
      </c>
    </row>
    <row r="51" spans="1:15" x14ac:dyDescent="0.45">
      <c r="A51" s="505" t="s">
        <v>1064</v>
      </c>
      <c r="B51" s="505"/>
      <c r="C51" s="505" t="s">
        <v>253</v>
      </c>
      <c r="D51" s="505" t="s">
        <v>212</v>
      </c>
      <c r="E51" s="505" t="s">
        <v>254</v>
      </c>
      <c r="F51" s="505" t="s">
        <v>213</v>
      </c>
      <c r="G51" s="505" t="s">
        <v>246</v>
      </c>
      <c r="H51" s="505" t="s">
        <v>247</v>
      </c>
      <c r="I51" s="505" t="s">
        <v>248</v>
      </c>
      <c r="J51" s="505" t="s">
        <v>255</v>
      </c>
      <c r="K51" s="505" t="s">
        <v>249</v>
      </c>
      <c r="L51" s="505" t="s">
        <v>981</v>
      </c>
      <c r="M51" s="505" t="s">
        <v>982</v>
      </c>
      <c r="N51" s="505" t="s">
        <v>635</v>
      </c>
    </row>
    <row r="52" spans="1:15" x14ac:dyDescent="0.45">
      <c r="A52" s="505"/>
      <c r="B52" s="505"/>
    </row>
    <row r="53" spans="1:15" x14ac:dyDescent="0.45">
      <c r="A53" s="505"/>
      <c r="B53" s="505" t="s">
        <v>647</v>
      </c>
      <c r="C53" s="505">
        <v>347</v>
      </c>
      <c r="D53" s="505">
        <v>25.2</v>
      </c>
      <c r="E53" s="501">
        <v>62.2</v>
      </c>
      <c r="F53" s="501">
        <v>0</v>
      </c>
      <c r="G53" s="505">
        <v>803</v>
      </c>
      <c r="H53" s="505">
        <v>528</v>
      </c>
      <c r="I53" s="505">
        <v>1491</v>
      </c>
      <c r="J53" s="505">
        <v>872</v>
      </c>
      <c r="K53" s="505">
        <v>115</v>
      </c>
      <c r="L53" s="498">
        <v>0</v>
      </c>
      <c r="M53" s="506">
        <v>115</v>
      </c>
      <c r="N53" s="506">
        <v>573</v>
      </c>
      <c r="O53" s="516"/>
    </row>
    <row r="54" spans="1:15" x14ac:dyDescent="0.45">
      <c r="A54" s="505"/>
      <c r="B54" s="506" t="s">
        <v>991</v>
      </c>
      <c r="C54" s="506">
        <v>509</v>
      </c>
      <c r="D54" s="506">
        <v>10</v>
      </c>
      <c r="E54" s="498">
        <v>56</v>
      </c>
      <c r="F54" s="498">
        <v>27</v>
      </c>
      <c r="G54" s="506">
        <v>120</v>
      </c>
      <c r="H54" s="506">
        <v>462</v>
      </c>
      <c r="I54" s="506">
        <v>338</v>
      </c>
      <c r="J54" s="506">
        <v>200</v>
      </c>
      <c r="K54" s="506">
        <v>30.8</v>
      </c>
      <c r="L54" s="526">
        <v>3.1</v>
      </c>
      <c r="M54" s="523">
        <v>9.1999999999999993</v>
      </c>
      <c r="N54" s="523">
        <v>308</v>
      </c>
      <c r="O54" s="520"/>
    </row>
    <row r="55" spans="1:15" x14ac:dyDescent="0.45">
      <c r="A55" s="505"/>
      <c r="B55" s="506" t="s">
        <v>992</v>
      </c>
      <c r="C55" s="506">
        <v>470</v>
      </c>
      <c r="D55" s="506">
        <v>9.5</v>
      </c>
      <c r="E55" s="498">
        <v>64</v>
      </c>
      <c r="F55" s="498">
        <v>19</v>
      </c>
      <c r="G55" s="506">
        <v>160</v>
      </c>
      <c r="H55" s="506">
        <v>554</v>
      </c>
      <c r="I55" s="506">
        <v>405</v>
      </c>
      <c r="J55" s="506">
        <v>243</v>
      </c>
      <c r="K55" s="506">
        <v>52</v>
      </c>
      <c r="L55" s="526">
        <v>8.1999999999999993</v>
      </c>
      <c r="M55" s="523">
        <v>8.6</v>
      </c>
      <c r="N55" s="523">
        <v>297</v>
      </c>
      <c r="O55" s="520"/>
    </row>
    <row r="56" spans="1:15" x14ac:dyDescent="0.45">
      <c r="B56" s="506" t="s">
        <v>993</v>
      </c>
      <c r="C56" s="506">
        <v>503</v>
      </c>
      <c r="D56" s="506">
        <v>11</v>
      </c>
      <c r="E56" s="498">
        <v>52</v>
      </c>
      <c r="F56" s="498">
        <v>27</v>
      </c>
      <c r="G56" s="506">
        <v>120</v>
      </c>
      <c r="H56" s="506">
        <v>462</v>
      </c>
      <c r="I56" s="506">
        <v>338</v>
      </c>
      <c r="J56" s="506">
        <v>200</v>
      </c>
      <c r="K56" s="500">
        <v>30.8</v>
      </c>
      <c r="L56" s="527">
        <v>3.1</v>
      </c>
      <c r="M56" s="528">
        <v>9.1999999999999993</v>
      </c>
      <c r="N56" s="528">
        <v>308</v>
      </c>
      <c r="O56" s="529"/>
    </row>
    <row r="57" spans="1:15" x14ac:dyDescent="0.45">
      <c r="B57" s="506" t="s">
        <v>994</v>
      </c>
      <c r="C57" s="506">
        <v>503</v>
      </c>
      <c r="D57" s="506">
        <v>11</v>
      </c>
      <c r="E57" s="498">
        <v>52</v>
      </c>
      <c r="F57" s="498">
        <v>27</v>
      </c>
      <c r="G57" s="506">
        <v>120</v>
      </c>
      <c r="H57" s="506">
        <v>462</v>
      </c>
      <c r="I57" s="506">
        <v>338</v>
      </c>
      <c r="J57" s="506">
        <v>200</v>
      </c>
      <c r="K57" s="500">
        <v>30.8</v>
      </c>
      <c r="L57" s="527">
        <v>8.5</v>
      </c>
      <c r="M57" s="528">
        <v>9.1999999999999993</v>
      </c>
      <c r="N57" s="528">
        <v>308</v>
      </c>
      <c r="O57" s="529"/>
    </row>
    <row r="58" spans="1:15" x14ac:dyDescent="0.45">
      <c r="B58" s="506" t="s">
        <v>995</v>
      </c>
      <c r="C58" s="506">
        <v>493</v>
      </c>
      <c r="D58" s="506">
        <v>13</v>
      </c>
      <c r="E58" s="498">
        <v>53</v>
      </c>
      <c r="F58" s="498">
        <v>26</v>
      </c>
      <c r="G58" s="506">
        <v>204</v>
      </c>
      <c r="H58" s="506">
        <v>550</v>
      </c>
      <c r="I58" s="506">
        <v>400</v>
      </c>
      <c r="J58" s="506">
        <v>230</v>
      </c>
      <c r="K58" s="506">
        <v>50</v>
      </c>
      <c r="L58" s="527">
        <v>3.5</v>
      </c>
      <c r="M58" s="528">
        <v>7.8</v>
      </c>
      <c r="N58" s="528">
        <v>315</v>
      </c>
      <c r="O58" s="529"/>
    </row>
    <row r="59" spans="1:15" x14ac:dyDescent="0.45">
      <c r="B59" s="506" t="s">
        <v>996</v>
      </c>
      <c r="C59" s="506">
        <v>493</v>
      </c>
      <c r="D59" s="506">
        <v>13</v>
      </c>
      <c r="E59" s="498">
        <v>53</v>
      </c>
      <c r="F59" s="498">
        <v>26</v>
      </c>
      <c r="G59" s="506">
        <v>204</v>
      </c>
      <c r="H59" s="506">
        <v>550</v>
      </c>
      <c r="I59" s="506">
        <v>400</v>
      </c>
      <c r="J59" s="506">
        <v>230</v>
      </c>
      <c r="K59" s="506">
        <v>50</v>
      </c>
      <c r="L59" s="527">
        <v>7.1</v>
      </c>
      <c r="M59" s="528">
        <v>7.8</v>
      </c>
      <c r="N59" s="528">
        <v>315</v>
      </c>
      <c r="O59" s="529"/>
    </row>
    <row r="60" spans="1:15" x14ac:dyDescent="0.45">
      <c r="B60" s="506" t="s">
        <v>997</v>
      </c>
      <c r="C60" s="505">
        <v>500</v>
      </c>
      <c r="D60" s="505">
        <v>14</v>
      </c>
      <c r="E60" s="501">
        <v>55</v>
      </c>
      <c r="F60" s="501">
        <v>25</v>
      </c>
      <c r="G60" s="505">
        <v>240</v>
      </c>
      <c r="H60" s="505">
        <v>610</v>
      </c>
      <c r="I60" s="505">
        <v>565</v>
      </c>
      <c r="J60" s="505">
        <v>390</v>
      </c>
      <c r="K60" s="505">
        <v>50</v>
      </c>
      <c r="L60" s="519">
        <v>9</v>
      </c>
      <c r="M60" s="518">
        <v>7.5</v>
      </c>
      <c r="N60" s="523">
        <v>480</v>
      </c>
      <c r="O60" s="530"/>
    </row>
    <row r="61" spans="1:15" x14ac:dyDescent="0.45">
      <c r="B61" s="506" t="s">
        <v>38</v>
      </c>
      <c r="C61" s="505">
        <v>466</v>
      </c>
      <c r="D61" s="505">
        <v>11.6</v>
      </c>
      <c r="E61" s="501">
        <v>59</v>
      </c>
      <c r="F61" s="501">
        <v>20</v>
      </c>
      <c r="G61" s="505">
        <v>172</v>
      </c>
      <c r="H61" s="505">
        <v>568</v>
      </c>
      <c r="I61" s="505">
        <v>638</v>
      </c>
      <c r="J61" s="505">
        <v>336</v>
      </c>
      <c r="K61" s="505">
        <v>47</v>
      </c>
      <c r="L61" s="519">
        <v>8.1999999999999993</v>
      </c>
      <c r="M61" s="518">
        <v>7.3</v>
      </c>
      <c r="N61" s="523">
        <v>373</v>
      </c>
      <c r="O61" s="530"/>
    </row>
    <row r="62" spans="1:15" x14ac:dyDescent="0.45">
      <c r="B62" s="506" t="s">
        <v>998</v>
      </c>
      <c r="C62" s="505">
        <v>402</v>
      </c>
      <c r="D62" s="505">
        <v>14.7</v>
      </c>
      <c r="E62" s="501">
        <v>71</v>
      </c>
      <c r="F62" s="501">
        <v>6.7</v>
      </c>
      <c r="G62" s="505">
        <v>402</v>
      </c>
      <c r="H62" s="505">
        <v>603</v>
      </c>
      <c r="I62" s="505">
        <v>322</v>
      </c>
      <c r="J62" s="505">
        <v>267</v>
      </c>
      <c r="K62" s="505">
        <v>84</v>
      </c>
      <c r="L62" s="519">
        <v>6.4</v>
      </c>
      <c r="M62" s="518">
        <v>2.8</v>
      </c>
      <c r="N62" s="523">
        <v>503</v>
      </c>
      <c r="O62" s="530"/>
    </row>
    <row r="63" spans="1:15" x14ac:dyDescent="0.45">
      <c r="B63" s="506" t="s">
        <v>999</v>
      </c>
      <c r="C63" s="505">
        <v>515</v>
      </c>
      <c r="D63" s="505">
        <v>14</v>
      </c>
      <c r="E63" s="501">
        <v>53.4</v>
      </c>
      <c r="F63" s="501">
        <v>27.3</v>
      </c>
      <c r="G63" s="505">
        <v>140</v>
      </c>
      <c r="H63" s="505">
        <v>507</v>
      </c>
      <c r="I63" s="505">
        <v>390</v>
      </c>
      <c r="J63" s="505">
        <v>218</v>
      </c>
      <c r="K63" s="505">
        <v>40</v>
      </c>
      <c r="L63" s="519">
        <v>6</v>
      </c>
      <c r="M63" s="518">
        <v>9.8000000000000007</v>
      </c>
      <c r="N63" s="523">
        <v>310</v>
      </c>
      <c r="O63" s="530"/>
    </row>
    <row r="64" spans="1:15" x14ac:dyDescent="0.45">
      <c r="B64" s="506" t="s">
        <v>1000</v>
      </c>
      <c r="C64" s="506">
        <v>474</v>
      </c>
      <c r="D64" s="506">
        <v>15.6</v>
      </c>
      <c r="E64" s="498">
        <v>22.9</v>
      </c>
      <c r="F64" s="498">
        <v>49.8</v>
      </c>
      <c r="G64" s="506">
        <v>415</v>
      </c>
      <c r="H64" s="506">
        <v>474</v>
      </c>
      <c r="I64" s="506">
        <v>593</v>
      </c>
      <c r="J64" s="506">
        <v>332</v>
      </c>
      <c r="K64" s="518">
        <v>47</v>
      </c>
      <c r="L64" s="498">
        <v>9.5</v>
      </c>
      <c r="M64" s="506">
        <v>18</v>
      </c>
      <c r="N64" s="506">
        <v>504</v>
      </c>
      <c r="O64" s="516"/>
    </row>
    <row r="65" spans="2:15" x14ac:dyDescent="0.45">
      <c r="B65" s="506" t="s">
        <v>987</v>
      </c>
      <c r="C65" s="506">
        <v>491</v>
      </c>
      <c r="D65" s="506">
        <v>13.4</v>
      </c>
      <c r="E65" s="498">
        <v>49.1</v>
      </c>
      <c r="F65" s="498">
        <v>26</v>
      </c>
      <c r="G65" s="506">
        <v>183</v>
      </c>
      <c r="H65" s="506">
        <v>504</v>
      </c>
      <c r="I65" s="506">
        <v>569</v>
      </c>
      <c r="J65" s="506">
        <v>308</v>
      </c>
      <c r="K65" s="518">
        <v>46</v>
      </c>
      <c r="L65" s="498">
        <v>7.9</v>
      </c>
      <c r="M65" s="506">
        <v>11</v>
      </c>
      <c r="N65" s="506">
        <v>360</v>
      </c>
      <c r="O65" s="516"/>
    </row>
    <row r="66" spans="2:15" x14ac:dyDescent="0.45">
      <c r="B66" s="518" t="s">
        <v>1001</v>
      </c>
      <c r="C66" s="505">
        <v>338</v>
      </c>
      <c r="D66" s="505">
        <v>82.1</v>
      </c>
      <c r="E66" s="501">
        <v>2.2000000000000002</v>
      </c>
      <c r="F66" s="501">
        <v>0.1</v>
      </c>
      <c r="G66" s="505">
        <v>776</v>
      </c>
      <c r="H66" s="505">
        <v>1226</v>
      </c>
      <c r="I66" s="505">
        <v>524</v>
      </c>
      <c r="J66" s="505">
        <v>516</v>
      </c>
      <c r="K66" s="505">
        <v>46</v>
      </c>
      <c r="L66" s="498">
        <v>0</v>
      </c>
      <c r="M66" s="506">
        <v>0</v>
      </c>
      <c r="N66" s="506">
        <v>66</v>
      </c>
      <c r="O66" s="516"/>
    </row>
    <row r="67" spans="2:15" x14ac:dyDescent="0.45">
      <c r="B67" s="518" t="s">
        <v>1002</v>
      </c>
      <c r="C67" s="518">
        <v>450</v>
      </c>
      <c r="D67" s="518">
        <v>0</v>
      </c>
      <c r="E67" s="519">
        <v>0</v>
      </c>
      <c r="F67" s="519">
        <v>50</v>
      </c>
      <c r="G67" s="518">
        <v>7</v>
      </c>
      <c r="H67" s="518">
        <v>0</v>
      </c>
      <c r="I67" s="518">
        <v>0</v>
      </c>
      <c r="J67" s="518">
        <v>0</v>
      </c>
      <c r="K67" s="518">
        <v>0</v>
      </c>
      <c r="L67" s="519">
        <v>0</v>
      </c>
      <c r="M67" s="518">
        <v>0</v>
      </c>
      <c r="N67" s="523">
        <v>0.1</v>
      </c>
      <c r="O67" s="530"/>
    </row>
    <row r="68" spans="2:15" x14ac:dyDescent="0.45">
      <c r="B68" s="518" t="s">
        <v>1003</v>
      </c>
      <c r="C68" s="518">
        <v>450</v>
      </c>
      <c r="D68" s="518">
        <v>0</v>
      </c>
      <c r="E68" s="519">
        <v>0</v>
      </c>
      <c r="F68" s="519">
        <v>50</v>
      </c>
      <c r="G68" s="518">
        <v>5</v>
      </c>
      <c r="H68" s="518">
        <v>0.1</v>
      </c>
      <c r="I68" s="518">
        <v>0.3</v>
      </c>
      <c r="J68" s="518">
        <v>0</v>
      </c>
      <c r="K68" s="518">
        <v>0</v>
      </c>
      <c r="L68" s="519">
        <v>0</v>
      </c>
      <c r="M68" s="518">
        <v>0</v>
      </c>
      <c r="N68" s="523">
        <v>0.01</v>
      </c>
      <c r="O68" s="530"/>
    </row>
    <row r="69" spans="2:15" x14ac:dyDescent="0.45">
      <c r="B69" s="518" t="s">
        <v>585</v>
      </c>
      <c r="C69" s="518">
        <v>384</v>
      </c>
      <c r="D69" s="518">
        <v>0</v>
      </c>
      <c r="E69" s="519">
        <v>96</v>
      </c>
      <c r="F69" s="519">
        <v>0</v>
      </c>
      <c r="G69" s="518">
        <v>2</v>
      </c>
      <c r="H69" s="518">
        <v>0</v>
      </c>
      <c r="I69" s="518">
        <v>0</v>
      </c>
      <c r="J69" s="518">
        <v>0</v>
      </c>
      <c r="K69" s="518">
        <v>0</v>
      </c>
      <c r="L69" s="519">
        <v>0</v>
      </c>
      <c r="M69" s="518">
        <v>0</v>
      </c>
      <c r="N69" s="523">
        <v>0</v>
      </c>
      <c r="O69" s="530"/>
    </row>
    <row r="70" spans="2:15" x14ac:dyDescent="0.45">
      <c r="B70" s="518" t="s">
        <v>1004</v>
      </c>
      <c r="C70" s="518">
        <v>493</v>
      </c>
      <c r="D70" s="518">
        <v>11.6</v>
      </c>
      <c r="E70" s="519">
        <v>51.8</v>
      </c>
      <c r="F70" s="531">
        <v>25.7</v>
      </c>
      <c r="G70" s="518">
        <v>150</v>
      </c>
      <c r="H70" s="518">
        <v>598</v>
      </c>
      <c r="I70" s="518">
        <v>346</v>
      </c>
      <c r="J70" s="518">
        <v>191</v>
      </c>
      <c r="K70" s="518">
        <v>39</v>
      </c>
      <c r="L70" s="519">
        <v>3.9</v>
      </c>
      <c r="M70" s="532">
        <v>9.4</v>
      </c>
      <c r="N70" s="528">
        <v>290</v>
      </c>
      <c r="O70" s="533"/>
    </row>
    <row r="71" spans="2:15" x14ac:dyDescent="0.45">
      <c r="B71" s="518" t="s">
        <v>1005</v>
      </c>
      <c r="C71" s="518">
        <v>483</v>
      </c>
      <c r="D71" s="518">
        <v>11</v>
      </c>
      <c r="E71" s="519">
        <v>52.5</v>
      </c>
      <c r="F71" s="519">
        <v>24.6</v>
      </c>
      <c r="G71" s="518">
        <v>181</v>
      </c>
      <c r="H71" s="518">
        <v>530</v>
      </c>
      <c r="I71" s="518">
        <v>339</v>
      </c>
      <c r="J71" s="518">
        <v>190</v>
      </c>
      <c r="K71" s="518">
        <v>37</v>
      </c>
      <c r="L71" s="519">
        <v>3.9</v>
      </c>
      <c r="M71" s="532">
        <v>8.8000000000000007</v>
      </c>
      <c r="N71" s="528">
        <v>302</v>
      </c>
      <c r="O71" s="533"/>
    </row>
    <row r="72" spans="2:15" x14ac:dyDescent="0.45">
      <c r="B72" s="518" t="s">
        <v>1006</v>
      </c>
      <c r="C72" s="518">
        <v>483</v>
      </c>
      <c r="D72" s="518">
        <v>13</v>
      </c>
      <c r="E72" s="519">
        <v>52.5</v>
      </c>
      <c r="F72" s="519">
        <v>24.5</v>
      </c>
      <c r="G72" s="518">
        <v>189</v>
      </c>
      <c r="H72" s="518">
        <v>525</v>
      </c>
      <c r="I72" s="518">
        <v>475</v>
      </c>
      <c r="J72" s="518">
        <v>341</v>
      </c>
      <c r="K72" s="518">
        <v>51</v>
      </c>
      <c r="L72" s="519">
        <v>7.25</v>
      </c>
      <c r="M72" s="532">
        <v>8.8000000000000007</v>
      </c>
      <c r="N72" s="528">
        <v>386</v>
      </c>
      <c r="O72" s="533"/>
    </row>
    <row r="73" spans="2:15" x14ac:dyDescent="0.45">
      <c r="B73" s="518" t="s">
        <v>1007</v>
      </c>
      <c r="C73" s="518">
        <v>475</v>
      </c>
      <c r="D73" s="518">
        <v>13.3</v>
      </c>
      <c r="E73" s="519">
        <v>56</v>
      </c>
      <c r="F73" s="519">
        <v>22</v>
      </c>
      <c r="G73" s="518">
        <v>285</v>
      </c>
      <c r="H73" s="518">
        <v>546</v>
      </c>
      <c r="I73" s="518">
        <v>428</v>
      </c>
      <c r="J73" s="518">
        <v>309</v>
      </c>
      <c r="K73" s="518">
        <v>66.5</v>
      </c>
      <c r="L73" s="519">
        <v>5.7</v>
      </c>
      <c r="M73" s="518">
        <v>6.2</v>
      </c>
      <c r="N73" s="523">
        <v>437</v>
      </c>
      <c r="O73" s="530"/>
    </row>
    <row r="74" spans="2:15" x14ac:dyDescent="0.45">
      <c r="B74" s="523" t="s">
        <v>1116</v>
      </c>
      <c r="C74" s="534">
        <v>484</v>
      </c>
      <c r="D74" s="534">
        <v>9.6999999999999993</v>
      </c>
      <c r="E74" s="534">
        <v>53.8</v>
      </c>
      <c r="F74" s="534">
        <v>24.7</v>
      </c>
      <c r="G74" s="534">
        <v>125</v>
      </c>
      <c r="H74" s="534">
        <v>501</v>
      </c>
      <c r="I74" s="534">
        <v>418</v>
      </c>
      <c r="J74" s="534">
        <v>237</v>
      </c>
      <c r="K74" s="534">
        <v>37</v>
      </c>
      <c r="L74" s="534">
        <v>3.9</v>
      </c>
      <c r="M74" s="534">
        <v>8.6999999999999993</v>
      </c>
      <c r="N74" s="524">
        <v>304</v>
      </c>
    </row>
    <row r="75" spans="2:15" x14ac:dyDescent="0.45">
      <c r="B75" s="523" t="s">
        <v>1061</v>
      </c>
      <c r="C75" s="534">
        <v>318</v>
      </c>
      <c r="D75" s="534">
        <v>0</v>
      </c>
      <c r="E75" s="534">
        <v>66.2</v>
      </c>
      <c r="F75" s="534">
        <v>0.3</v>
      </c>
      <c r="G75" s="534">
        <v>6</v>
      </c>
      <c r="H75" s="534">
        <v>91</v>
      </c>
      <c r="I75" s="534">
        <v>335</v>
      </c>
      <c r="J75" s="534">
        <v>12</v>
      </c>
      <c r="K75" s="534">
        <v>9.1</v>
      </c>
      <c r="L75" s="534">
        <v>8.8000000000000007</v>
      </c>
      <c r="M75" s="534">
        <v>0</v>
      </c>
      <c r="N75" s="524">
        <v>109</v>
      </c>
    </row>
    <row r="76" spans="2:15" x14ac:dyDescent="0.45">
      <c r="B76" s="523"/>
      <c r="C76" s="534"/>
      <c r="D76" s="534"/>
      <c r="E76" s="534"/>
      <c r="F76" s="534"/>
      <c r="G76" s="534"/>
      <c r="H76" s="534"/>
      <c r="I76" s="534"/>
      <c r="J76" s="534"/>
      <c r="K76" s="534"/>
      <c r="L76" s="534"/>
      <c r="M76" s="534"/>
      <c r="N76" s="524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383" customWidth="1"/>
    <col min="2" max="2" width="6" style="383" customWidth="1"/>
    <col min="3" max="3" width="26.3984375" style="383" customWidth="1"/>
    <col min="4" max="4" width="4.59765625" style="383" customWidth="1"/>
    <col min="5" max="5" width="9.1328125" style="383"/>
    <col min="6" max="6" width="4.265625" style="383" customWidth="1"/>
    <col min="7" max="7" width="11.73046875" style="383" customWidth="1"/>
    <col min="8" max="23" width="2.73046875" style="15" customWidth="1"/>
    <col min="24" max="33" width="2.73046875" style="383" customWidth="1"/>
    <col min="34" max="16384" width="9.1328125" style="383"/>
  </cols>
  <sheetData>
    <row r="1" spans="1:33" ht="19.55" customHeight="1" thickBot="1" x14ac:dyDescent="0.4">
      <c r="A1" s="435"/>
      <c r="B1" s="383" t="str">
        <f>"Naam: "&amp;__2_AchterNaam&amp;", "&amp;__3_VoorNaam</f>
        <v xml:space="preserve">Naam: , </v>
      </c>
      <c r="D1" s="383" t="str">
        <f>"Geboortedatum: "</f>
        <v xml:space="preserve">Geboortedatum: </v>
      </c>
      <c r="F1" s="905">
        <f>__4_GebDatum</f>
        <v>0</v>
      </c>
      <c r="G1" s="905"/>
      <c r="I1" s="8" t="str">
        <f>"Gewicht: "&amp;ROUND(_Pat_Gewicht/10,1)&amp;"kg"</f>
        <v>Gewicht: 10kg</v>
      </c>
      <c r="P1" s="8" t="s">
        <v>200</v>
      </c>
      <c r="R1" s="903"/>
      <c r="S1" s="903"/>
      <c r="T1" s="903"/>
      <c r="U1" s="903"/>
      <c r="V1" s="903"/>
      <c r="W1" s="903"/>
      <c r="Y1" s="383" t="s">
        <v>326</v>
      </c>
      <c r="AB1" s="904">
        <f ca="1">TODAY()</f>
        <v>42739</v>
      </c>
      <c r="AC1" s="904"/>
      <c r="AD1" s="904"/>
      <c r="AE1" s="904"/>
      <c r="AF1" s="904"/>
    </row>
    <row r="2" spans="1:33" ht="26.1" customHeight="1" x14ac:dyDescent="0.35">
      <c r="B2" s="95"/>
      <c r="C2" s="96" t="s">
        <v>353</v>
      </c>
      <c r="D2" s="97" t="s">
        <v>354</v>
      </c>
      <c r="E2" s="97"/>
      <c r="F2" s="97"/>
      <c r="G2" s="98" t="s">
        <v>333</v>
      </c>
      <c r="H2" s="99">
        <v>9</v>
      </c>
      <c r="I2" s="99">
        <v>10</v>
      </c>
      <c r="J2" s="99">
        <v>11</v>
      </c>
      <c r="K2" s="99">
        <v>12</v>
      </c>
      <c r="L2" s="99">
        <v>13</v>
      </c>
      <c r="M2" s="99">
        <v>14</v>
      </c>
      <c r="N2" s="99">
        <v>15</v>
      </c>
      <c r="O2" s="99">
        <v>16</v>
      </c>
      <c r="P2" s="99">
        <v>17</v>
      </c>
      <c r="Q2" s="99">
        <v>18</v>
      </c>
      <c r="R2" s="99">
        <v>19</v>
      </c>
      <c r="S2" s="99">
        <v>20</v>
      </c>
      <c r="T2" s="99">
        <v>21</v>
      </c>
      <c r="U2" s="99">
        <v>22</v>
      </c>
      <c r="V2" s="99">
        <v>23</v>
      </c>
      <c r="W2" s="99">
        <v>24</v>
      </c>
      <c r="X2" s="99">
        <v>1</v>
      </c>
      <c r="Y2" s="99">
        <v>2</v>
      </c>
      <c r="Z2" s="99">
        <v>3</v>
      </c>
      <c r="AA2" s="99">
        <v>4</v>
      </c>
      <c r="AB2" s="99">
        <v>5</v>
      </c>
      <c r="AC2" s="99">
        <v>6</v>
      </c>
      <c r="AD2" s="99">
        <v>7</v>
      </c>
      <c r="AE2" s="99">
        <v>8</v>
      </c>
      <c r="AF2" s="101"/>
      <c r="AG2" s="101"/>
    </row>
    <row r="3" spans="1:33" ht="26.1" customHeight="1" x14ac:dyDescent="0.35">
      <c r="B3" s="103"/>
      <c r="C3" s="182" t="str">
        <f>IF(GlobBerMedDisc!C2&lt;&gt;"",IF(GlobBerMedDisc!C2&gt;1,TRIM(GlobBerMedDisc!C2)&amp;", "&amp;GlobBerOpm!C7&amp;" ("&amp;GlobBerMedDisc!M2&amp;" "&amp;GlobBerMedDisc!F2&amp;"/kg/dag)",TRIM(GlobBerMedDisc!C2)&amp;", "&amp;GlobBerOpm!C7),"")</f>
        <v/>
      </c>
      <c r="D3" s="183" t="str">
        <f>IF(GlobGuiMedDisc!H6&lt;&gt;"",GlobGuiMedDisc!H6,"")</f>
        <v/>
      </c>
      <c r="E3" s="184" t="str">
        <f>IF(AND(D3&lt;&gt;"",D3&lt;&gt;"STOP"),GlobBerMedDisc!H2&amp;" "&amp;GlobBerMedDisc!F2,"")</f>
        <v/>
      </c>
      <c r="F3" s="184" t="str">
        <f>IF(AND(D3&lt;&gt;"",D3&lt;&gt;"STOP"),GlobBerMedDisc!L2," ")</f>
        <v xml:space="preserve"> </v>
      </c>
      <c r="G3" s="184" t="str">
        <f>IF(GlobGuiMedDisc!L6&lt;&gt;"",GlobGuiMedDisc!L6&amp;" "&amp;GlobGuiMedDisc!M6&amp;" "&amp;INDEX(GlobBerMedDisc!$B$27:$B$30,GlobBerMedDisc!O2,1)&amp;" in "&amp;GlobGuiMedDisc!$O$6,"")</f>
        <v/>
      </c>
      <c r="H3" s="102" t="str">
        <f>IF(OR($D3="1 dd",$D3="2 dd",$D3="3 dd",$D3="4 dd",$D3="5 dd",$D3="6 dd",$D3="8 dd",$D3="12 dd",$D3="24 dd",$D3="an",$D3="zn"),VLOOKUP($D3,NeoTblTijden!$A$17:$Y$27,NeoTblTijden!B$15,FALSE),"")</f>
        <v/>
      </c>
      <c r="I3" s="463" t="str">
        <f>IF(OR($D3="1 dd",$D3="2 dd",$D3="3 dd",$D3="4 dd",$D3="5 dd",$D3="6 dd",$D3="8 dd",$D3="12 dd",$D3="24 dd",$D3="an",$D3="zn"),VLOOKUP($D3,NeoTblTijden!$A$17:$Y$27,NeoTblTijden!C$15,FALSE),"")</f>
        <v/>
      </c>
      <c r="J3" s="102" t="str">
        <f>IF(OR($D3="1 dd",$D3="2 dd",$D3="3 dd",$D3="4 dd",$D3="5 dd",$D3="6 dd",$D3="8 dd",$D3="12 dd",$D3="24 dd",$D3="an",$D3="zn"),VLOOKUP($D3,NeoTblTijden!$A$17:$Y$27,NeoTblTijden!D$15,FALSE),"")</f>
        <v/>
      </c>
      <c r="K3" s="463" t="str">
        <f>IF(OR($D3="1 dd",$D3="2 dd",$D3="3 dd",$D3="4 dd",$D3="5 dd",$D3="6 dd",$D3="8 dd",$D3="12 dd",$D3="24 dd",$D3="an",$D3="zn"),VLOOKUP($D3,NeoTblTijden!$A$17:$Y$27,NeoTblTijden!E$15,FALSE),"")</f>
        <v/>
      </c>
      <c r="L3" s="102" t="str">
        <f>IF(OR($D3="1 dd",$D3="2 dd",$D3="3 dd",$D3="4 dd",$D3="5 dd",$D3="6 dd",$D3="8 dd",$D3="12 dd",$D3="24 dd",$D3="an",$D3="zn"),VLOOKUP($D3,NeoTblTijden!$A$17:$Y$27,NeoTblTijden!F$15,FALSE),"")</f>
        <v/>
      </c>
      <c r="M3" s="463" t="str">
        <f>IF(OR($D3="1 dd",$D3="2 dd",$D3="3 dd",$D3="4 dd",$D3="5 dd",$D3="6 dd",$D3="8 dd",$D3="12 dd",$D3="24 dd",$D3="an",$D3="zn"),VLOOKUP($D3,NeoTblTijden!$A$17:$Y$27,NeoTblTijden!G$15,FALSE),"")</f>
        <v/>
      </c>
      <c r="N3" s="102" t="str">
        <f>IF(OR($D3="1 dd",$D3="2 dd",$D3="3 dd",$D3="4 dd",$D3="5 dd",$D3="6 dd",$D3="8 dd",$D3="12 dd",$D3="24 dd",$D3="an",$D3="zn"),VLOOKUP($D3,NeoTblTijden!$A$17:$Y$27,NeoTblTijden!H$15,FALSE),"")</f>
        <v/>
      </c>
      <c r="O3" s="463" t="str">
        <f>IF(OR($D3="1 dd",$D3="2 dd",$D3="3 dd",$D3="4 dd",$D3="5 dd",$D3="6 dd",$D3="8 dd",$D3="12 dd",$D3="24 dd",$D3="an",$D3="zn"),VLOOKUP($D3,NeoTblTijden!$A$17:$Y$27,NeoTblTijden!I$15,FALSE),"")</f>
        <v/>
      </c>
      <c r="P3" s="102" t="str">
        <f>IF(OR($D3="1 dd",$D3="2 dd",$D3="3 dd",$D3="4 dd",$D3="5 dd",$D3="6 dd",$D3="8 dd",$D3="12 dd",$D3="24 dd",$D3="an",$D3="zn"),VLOOKUP($D3,NeoTblTijden!$A$17:$Y$27,NeoTblTijden!J$15,FALSE),"")</f>
        <v/>
      </c>
      <c r="Q3" s="463" t="str">
        <f>IF(OR($D3="1 dd",$D3="2 dd",$D3="3 dd",$D3="4 dd",$D3="5 dd",$D3="6 dd",$D3="8 dd",$D3="12 dd",$D3="24 dd",$D3="an",$D3="zn"),VLOOKUP($D3,NeoTblTijden!$A$17:$Y$27,NeoTblTijden!K$15,FALSE),"")</f>
        <v/>
      </c>
      <c r="R3" s="102" t="str">
        <f>IF(OR($D3="1 dd",$D3="2 dd",$D3="3 dd",$D3="4 dd",$D3="5 dd",$D3="6 dd",$D3="8 dd",$D3="12 dd",$D3="24 dd",$D3="an",$D3="zn"),VLOOKUP($D3,NeoTblTijden!$A$17:$Y$27,NeoTblTijden!L$15,FALSE),"")</f>
        <v/>
      </c>
      <c r="S3" s="463" t="str">
        <f>IF(OR($D3="1 dd",$D3="2 dd",$D3="3 dd",$D3="4 dd",$D3="5 dd",$D3="6 dd",$D3="8 dd",$D3="12 dd",$D3="24 dd",$D3="an",$D3="zn"),VLOOKUP($D3,NeoTblTijden!$A$17:$Y$27,NeoTblTijden!M$15,FALSE),"")</f>
        <v/>
      </c>
      <c r="T3" s="102" t="str">
        <f>IF(OR($D3="1 dd",$D3="2 dd",$D3="3 dd",$D3="4 dd",$D3="5 dd",$D3="6 dd",$D3="8 dd",$D3="12 dd",$D3="24 dd",$D3="an",$D3="zn"),VLOOKUP($D3,NeoTblTijden!$A$17:$Y$27,NeoTblTijden!N$15,FALSE),"")</f>
        <v/>
      </c>
      <c r="U3" s="463" t="str">
        <f>IF(OR($D3="1 dd",$D3="2 dd",$D3="3 dd",$D3="4 dd",$D3="5 dd",$D3="6 dd",$D3="8 dd",$D3="12 dd",$D3="24 dd",$D3="an",$D3="zn"),VLOOKUP($D3,NeoTblTijden!$A$17:$Y$27,NeoTblTijden!O$15,FALSE),"")</f>
        <v/>
      </c>
      <c r="V3" s="102" t="str">
        <f>IF(OR($D3="1 dd",$D3="2 dd",$D3="3 dd",$D3="4 dd",$D3="5 dd",$D3="6 dd",$D3="8 dd",$D3="12 dd",$D3="24 dd",$D3="an",$D3="zn"),VLOOKUP($D3,NeoTblTijden!$A$17:$Y$27,NeoTblTijden!P$15,FALSE),"")</f>
        <v/>
      </c>
      <c r="W3" s="463" t="str">
        <f>IF(OR($D3="1 dd",$D3="2 dd",$D3="3 dd",$D3="4 dd",$D3="5 dd",$D3="6 dd",$D3="8 dd",$D3="12 dd",$D3="24 dd",$D3="an",$D3="zn"),VLOOKUP($D3,NeoTblTijden!$A$17:$Y$27,NeoTblTijden!Q$15,FALSE),"")</f>
        <v/>
      </c>
      <c r="X3" s="102" t="str">
        <f>IF(OR($D3="1 dd",$D3="2 dd",$D3="3 dd",$D3="4 dd",$D3="5 dd",$D3="6 dd",$D3="8 dd",$D3="12 dd",$D3="24 dd",$D3="an",$D3="zn"),VLOOKUP($D3,NeoTblTijden!$A$17:$Y$27,NeoTblTijden!R$15,FALSE),"")</f>
        <v/>
      </c>
      <c r="Y3" s="463" t="str">
        <f>IF(OR($D3="1 dd",$D3="2 dd",$D3="3 dd",$D3="4 dd",$D3="5 dd",$D3="6 dd",$D3="8 dd",$D3="12 dd",$D3="24 dd",$D3="an",$D3="zn"),VLOOKUP($D3,NeoTblTijden!$A$17:$Y$27,NeoTblTijden!S$15,FALSE),"")</f>
        <v/>
      </c>
      <c r="Z3" s="102" t="str">
        <f>IF(OR($D3="1 dd",$D3="2 dd",$D3="3 dd",$D3="4 dd",$D3="5 dd",$D3="6 dd",$D3="8 dd",$D3="12 dd",$D3="24 dd",$D3="an",$D3="zn"),VLOOKUP($D3,NeoTblTijden!$A$17:$Y$27,NeoTblTijden!T$15,FALSE),"")</f>
        <v/>
      </c>
      <c r="AA3" s="463" t="str">
        <f>IF(OR($D3="1 dd",$D3="2 dd",$D3="3 dd",$D3="4 dd",$D3="5 dd",$D3="6 dd",$D3="8 dd",$D3="12 dd",$D3="24 dd",$D3="an",$D3="zn"),VLOOKUP($D3,NeoTblTijden!$A$17:$Y$27,NeoTblTijden!U$15,FALSE),"")</f>
        <v/>
      </c>
      <c r="AB3" s="102" t="str">
        <f>IF(OR($D3="1 dd",$D3="2 dd",$D3="3 dd",$D3="4 dd",$D3="5 dd",$D3="6 dd",$D3="8 dd",$D3="12 dd",$D3="24 dd",$D3="an",$D3="zn"),VLOOKUP($D3,NeoTblTijden!$A$17:$Y$27,NeoTblTijden!V$15,FALSE),"")</f>
        <v/>
      </c>
      <c r="AC3" s="463" t="str">
        <f>IF(OR($D3="1 dd",$D3="2 dd",$D3="3 dd",$D3="4 dd",$D3="5 dd",$D3="6 dd",$D3="8 dd",$D3="12 dd",$D3="24 dd",$D3="an",$D3="zn"),VLOOKUP($D3,NeoTblTijden!$A$17:$Y$27,NeoTblTijden!W$15,FALSE),"")</f>
        <v/>
      </c>
      <c r="AD3" s="102" t="str">
        <f>IF(OR($D3="1 dd",$D3="2 dd",$D3="3 dd",$D3="4 dd",$D3="5 dd",$D3="6 dd",$D3="8 dd",$D3="12 dd",$D3="24 dd",$D3="an",$D3="zn"),VLOOKUP($D3,NeoTblTijden!$A$17:$Y$27,NeoTblTijden!X$15,FALSE),"")</f>
        <v/>
      </c>
      <c r="AE3" s="463" t="str">
        <f>IF(OR($D3="1 dd",$D3="2 dd",$D3="3 dd",$D3="4 dd",$D3="5 dd",$D3="6 dd",$D3="8 dd",$D3="12 dd",$D3="24 dd",$D3="an",$D3="zn"),VLOOKUP($D3,NeoTblTijden!$A$17:$Y$27,NeoTblTijden!Y$15,FALSE),"")</f>
        <v/>
      </c>
      <c r="AF3" s="101"/>
      <c r="AG3" s="16"/>
    </row>
    <row r="4" spans="1:33" ht="26.1" customHeight="1" x14ac:dyDescent="0.35">
      <c r="B4" s="103"/>
      <c r="C4" s="182" t="str">
        <f>IF(GlobBerMedDisc!C3&lt;&gt;"",IF(GlobBerMedDisc!C3&gt;1,TRIM(GlobBerMedDisc!C3)&amp;", "&amp;GlobBerOpm!C8&amp;" ("&amp;GlobBerMedDisc!M3&amp;" "&amp;GlobBerMedDisc!F3&amp;"/kg/dag)",TRIM(GlobBerMedDisc!C3)&amp;", "&amp;GlobBerOpm!C8),"")</f>
        <v/>
      </c>
      <c r="D4" s="183" t="str">
        <f>IF(GlobGuiMedDisc!H8&lt;&gt;"",GlobGuiMedDisc!H8,"")</f>
        <v/>
      </c>
      <c r="E4" s="184" t="str">
        <f>IF(AND(D4&lt;&gt;"",D4&lt;&gt;"STOP"),GlobBerMedDisc!H3&amp;" "&amp;GlobBerMedDisc!F3,"")</f>
        <v/>
      </c>
      <c r="F4" s="184" t="str">
        <f>IF(AND(D4&lt;&gt;"",D4&lt;&gt;"STOP"),GlobBerMedDisc!L3," ")</f>
        <v xml:space="preserve"> </v>
      </c>
      <c r="G4" s="184" t="str">
        <f>IF(GlobGuiMedDisc!L8&lt;&gt;"",GlobGuiMedDisc!L8&amp;" "&amp;GlobGuiMedDisc!M8&amp;" "&amp;INDEX(GlobBerMedDisc!$B$27:$B$30,GlobBerMedDisc!O3,1)&amp;" in "&amp;GlobGuiMedDisc!$O$8,"")</f>
        <v/>
      </c>
      <c r="H4" s="102" t="str">
        <f>IF(OR($D4="1 dd",$D4="2 dd",$D4="3 dd",$D4="4 dd",$D4="5 dd",$D4="6 dd",$D4="8 dd",$D4="12 dd",$D4="24 dd",$D4="an",$D4="zn"),VLOOKUP($D4,NeoTblTijden!$A$17:$Y$27,NeoTblTijden!B$15,FALSE),"")</f>
        <v/>
      </c>
      <c r="I4" s="463" t="str">
        <f>IF(OR($D4="1 dd",$D4="2 dd",$D4="3 dd",$D4="4 dd",$D4="5 dd",$D4="6 dd",$D4="8 dd",$D4="12 dd",$D4="24 dd",$D4="an",$D4="zn"),VLOOKUP($D4,NeoTblTijden!$A$17:$Y$27,NeoTblTijden!C$15,FALSE),"")</f>
        <v/>
      </c>
      <c r="J4" s="102" t="str">
        <f>IF(OR($D4="1 dd",$D4="2 dd",$D4="3 dd",$D4="4 dd",$D4="5 dd",$D4="6 dd",$D4="8 dd",$D4="12 dd",$D4="24 dd",$D4="an",$D4="zn"),VLOOKUP($D4,NeoTblTijden!$A$17:$Y$27,NeoTblTijden!D$15,FALSE),"")</f>
        <v/>
      </c>
      <c r="K4" s="463" t="str">
        <f>IF(OR($D4="1 dd",$D4="2 dd",$D4="3 dd",$D4="4 dd",$D4="5 dd",$D4="6 dd",$D4="8 dd",$D4="12 dd",$D4="24 dd",$D4="an",$D4="zn"),VLOOKUP($D4,NeoTblTijden!$A$17:$Y$27,NeoTblTijden!E$15,FALSE),"")</f>
        <v/>
      </c>
      <c r="L4" s="102" t="str">
        <f>IF(OR($D4="1 dd",$D4="2 dd",$D4="3 dd",$D4="4 dd",$D4="5 dd",$D4="6 dd",$D4="8 dd",$D4="12 dd",$D4="24 dd",$D4="an",$D4="zn"),VLOOKUP($D4,NeoTblTijden!$A$17:$Y$27,NeoTblTijden!F$15,FALSE),"")</f>
        <v/>
      </c>
      <c r="M4" s="463" t="str">
        <f>IF(OR($D4="1 dd",$D4="2 dd",$D4="3 dd",$D4="4 dd",$D4="5 dd",$D4="6 dd",$D4="8 dd",$D4="12 dd",$D4="24 dd",$D4="an",$D4="zn"),VLOOKUP($D4,NeoTblTijden!$A$17:$Y$27,NeoTblTijden!G$15,FALSE),"")</f>
        <v/>
      </c>
      <c r="N4" s="102" t="str">
        <f>IF(OR($D4="1 dd",$D4="2 dd",$D4="3 dd",$D4="4 dd",$D4="5 dd",$D4="6 dd",$D4="8 dd",$D4="12 dd",$D4="24 dd",$D4="an",$D4="zn"),VLOOKUP($D4,NeoTblTijden!$A$17:$Y$27,NeoTblTijden!H$15,FALSE),"")</f>
        <v/>
      </c>
      <c r="O4" s="463" t="str">
        <f>IF(OR($D4="1 dd",$D4="2 dd",$D4="3 dd",$D4="4 dd",$D4="5 dd",$D4="6 dd",$D4="8 dd",$D4="12 dd",$D4="24 dd",$D4="an",$D4="zn"),VLOOKUP($D4,NeoTblTijden!$A$17:$Y$27,NeoTblTijden!I$15,FALSE),"")</f>
        <v/>
      </c>
      <c r="P4" s="102" t="str">
        <f>IF(OR($D4="1 dd",$D4="2 dd",$D4="3 dd",$D4="4 dd",$D4="5 dd",$D4="6 dd",$D4="8 dd",$D4="12 dd",$D4="24 dd",$D4="an",$D4="zn"),VLOOKUP($D4,NeoTblTijden!$A$17:$Y$27,NeoTblTijden!J$15,FALSE),"")</f>
        <v/>
      </c>
      <c r="Q4" s="463" t="str">
        <f>IF(OR($D4="1 dd",$D4="2 dd",$D4="3 dd",$D4="4 dd",$D4="5 dd",$D4="6 dd",$D4="8 dd",$D4="12 dd",$D4="24 dd",$D4="an",$D4="zn"),VLOOKUP($D4,NeoTblTijden!$A$17:$Y$27,NeoTblTijden!K$15,FALSE),"")</f>
        <v/>
      </c>
      <c r="R4" s="102" t="str">
        <f>IF(OR($D4="1 dd",$D4="2 dd",$D4="3 dd",$D4="4 dd",$D4="5 dd",$D4="6 dd",$D4="8 dd",$D4="12 dd",$D4="24 dd",$D4="an",$D4="zn"),VLOOKUP($D4,NeoTblTijden!$A$17:$Y$27,NeoTblTijden!L$15,FALSE),"")</f>
        <v/>
      </c>
      <c r="S4" s="463" t="str">
        <f>IF(OR($D4="1 dd",$D4="2 dd",$D4="3 dd",$D4="4 dd",$D4="5 dd",$D4="6 dd",$D4="8 dd",$D4="12 dd",$D4="24 dd",$D4="an",$D4="zn"),VLOOKUP($D4,NeoTblTijden!$A$17:$Y$27,NeoTblTijden!M$15,FALSE),"")</f>
        <v/>
      </c>
      <c r="T4" s="102" t="str">
        <f>IF(OR($D4="1 dd",$D4="2 dd",$D4="3 dd",$D4="4 dd",$D4="5 dd",$D4="6 dd",$D4="8 dd",$D4="12 dd",$D4="24 dd",$D4="an",$D4="zn"),VLOOKUP($D4,NeoTblTijden!$A$17:$Y$27,NeoTblTijden!N$15,FALSE),"")</f>
        <v/>
      </c>
      <c r="U4" s="463" t="str">
        <f>IF(OR($D4="1 dd",$D4="2 dd",$D4="3 dd",$D4="4 dd",$D4="5 dd",$D4="6 dd",$D4="8 dd",$D4="12 dd",$D4="24 dd",$D4="an",$D4="zn"),VLOOKUP($D4,NeoTblTijden!$A$17:$Y$27,NeoTblTijden!O$15,FALSE),"")</f>
        <v/>
      </c>
      <c r="V4" s="102" t="str">
        <f>IF(OR($D4="1 dd",$D4="2 dd",$D4="3 dd",$D4="4 dd",$D4="5 dd",$D4="6 dd",$D4="8 dd",$D4="12 dd",$D4="24 dd",$D4="an",$D4="zn"),VLOOKUP($D4,NeoTblTijden!$A$17:$Y$27,NeoTblTijden!P$15,FALSE),"")</f>
        <v/>
      </c>
      <c r="W4" s="463" t="str">
        <f>IF(OR($D4="1 dd",$D4="2 dd",$D4="3 dd",$D4="4 dd",$D4="5 dd",$D4="6 dd",$D4="8 dd",$D4="12 dd",$D4="24 dd",$D4="an",$D4="zn"),VLOOKUP($D4,NeoTblTijden!$A$17:$Y$27,NeoTblTijden!Q$15,FALSE),"")</f>
        <v/>
      </c>
      <c r="X4" s="102" t="str">
        <f>IF(OR($D4="1 dd",$D4="2 dd",$D4="3 dd",$D4="4 dd",$D4="5 dd",$D4="6 dd",$D4="8 dd",$D4="12 dd",$D4="24 dd",$D4="an",$D4="zn"),VLOOKUP($D4,NeoTblTijden!$A$17:$Y$27,NeoTblTijden!R$15,FALSE),"")</f>
        <v/>
      </c>
      <c r="Y4" s="463" t="str">
        <f>IF(OR($D4="1 dd",$D4="2 dd",$D4="3 dd",$D4="4 dd",$D4="5 dd",$D4="6 dd",$D4="8 dd",$D4="12 dd",$D4="24 dd",$D4="an",$D4="zn"),VLOOKUP($D4,NeoTblTijden!$A$17:$Y$27,NeoTblTijden!S$15,FALSE),"")</f>
        <v/>
      </c>
      <c r="Z4" s="102" t="str">
        <f>IF(OR($D4="1 dd",$D4="2 dd",$D4="3 dd",$D4="4 dd",$D4="5 dd",$D4="6 dd",$D4="8 dd",$D4="12 dd",$D4="24 dd",$D4="an",$D4="zn"),VLOOKUP($D4,NeoTblTijden!$A$17:$Y$27,NeoTblTijden!T$15,FALSE),"")</f>
        <v/>
      </c>
      <c r="AA4" s="463" t="str">
        <f>IF(OR($D4="1 dd",$D4="2 dd",$D4="3 dd",$D4="4 dd",$D4="5 dd",$D4="6 dd",$D4="8 dd",$D4="12 dd",$D4="24 dd",$D4="an",$D4="zn"),VLOOKUP($D4,NeoTblTijden!$A$17:$Y$27,NeoTblTijden!U$15,FALSE),"")</f>
        <v/>
      </c>
      <c r="AB4" s="102" t="str">
        <f>IF(OR($D4="1 dd",$D4="2 dd",$D4="3 dd",$D4="4 dd",$D4="5 dd",$D4="6 dd",$D4="8 dd",$D4="12 dd",$D4="24 dd",$D4="an",$D4="zn"),VLOOKUP($D4,NeoTblTijden!$A$17:$Y$27,NeoTblTijden!V$15,FALSE),"")</f>
        <v/>
      </c>
      <c r="AC4" s="463" t="str">
        <f>IF(OR($D4="1 dd",$D4="2 dd",$D4="3 dd",$D4="4 dd",$D4="5 dd",$D4="6 dd",$D4="8 dd",$D4="12 dd",$D4="24 dd",$D4="an",$D4="zn"),VLOOKUP($D4,NeoTblTijden!$A$17:$Y$27,NeoTblTijden!W$15,FALSE),"")</f>
        <v/>
      </c>
      <c r="AD4" s="102" t="str">
        <f>IF(OR($D4="1 dd",$D4="2 dd",$D4="3 dd",$D4="4 dd",$D4="5 dd",$D4="6 dd",$D4="8 dd",$D4="12 dd",$D4="24 dd",$D4="an",$D4="zn"),VLOOKUP($D4,NeoTblTijden!$A$17:$Y$27,NeoTblTijden!X$15,FALSE),"")</f>
        <v/>
      </c>
      <c r="AE4" s="463" t="str">
        <f>IF(OR($D4="1 dd",$D4="2 dd",$D4="3 dd",$D4="4 dd",$D4="5 dd",$D4="6 dd",$D4="8 dd",$D4="12 dd",$D4="24 dd",$D4="an",$D4="zn"),VLOOKUP($D4,NeoTblTijden!$A$17:$Y$27,NeoTblTijden!Y$15,FALSE),"")</f>
        <v/>
      </c>
      <c r="AF4" s="101"/>
      <c r="AG4" s="16"/>
    </row>
    <row r="5" spans="1:33" ht="26.1" customHeight="1" x14ac:dyDescent="0.35">
      <c r="B5" s="103"/>
      <c r="C5" s="182" t="str">
        <f>IF(GlobBerMedDisc!C4&lt;&gt;"",IF(GlobBerMedDisc!C4&gt;1,TRIM(GlobBerMedDisc!C4)&amp;", "&amp;GlobBerOpm!C9&amp;" ("&amp;GlobBerMedDisc!M4&amp;" "&amp;GlobBerMedDisc!F4&amp;"/kg/dag)",TRIM(GlobBerMedDisc!C4)&amp;", "&amp;GlobBerOpm!C9),"")</f>
        <v/>
      </c>
      <c r="D5" s="183" t="str">
        <f>IF(GlobGuiMedDisc!H10&lt;&gt;"",GlobGuiMedDisc!H10,"")</f>
        <v/>
      </c>
      <c r="E5" s="184" t="str">
        <f>IF(AND(D5&lt;&gt;"",D5&lt;&gt;"STOP"),GlobBerMedDisc!H4&amp;" "&amp;GlobBerMedDisc!F4,"")</f>
        <v/>
      </c>
      <c r="F5" s="184" t="str">
        <f>IF(AND(D5&lt;&gt;"",D5&lt;&gt;"STOP"),GlobBerMedDisc!L4," ")</f>
        <v xml:space="preserve"> </v>
      </c>
      <c r="G5" s="184" t="str">
        <f>IF(GlobGuiMedDisc!L10&lt;&gt;"",GlobGuiMedDisc!L10&amp;" "&amp;GlobGuiMedDisc!M10&amp;" "&amp;INDEX(GlobBerMedDisc!$B$27:$B$30,GlobBerMedDisc!O4,1)&amp;" in "&amp;GlobGuiMedDisc!$O$10,"")</f>
        <v/>
      </c>
      <c r="H5" s="102" t="str">
        <f>IF(OR($D5="1 dd",$D5="2 dd",$D5="3 dd",$D5="4 dd",$D5="5 dd",$D5="6 dd",$D5="8 dd",$D5="12 dd",$D5="24 dd",$D5="an",$D5="zn"),VLOOKUP($D5,NeoTblTijden!$A$17:$Y$27,NeoTblTijden!B$15,FALSE),"")</f>
        <v/>
      </c>
      <c r="I5" s="463" t="str">
        <f>IF(OR($D5="1 dd",$D5="2 dd",$D5="3 dd",$D5="4 dd",$D5="5 dd",$D5="6 dd",$D5="8 dd",$D5="12 dd",$D5="24 dd",$D5="an",$D5="zn"),VLOOKUP($D5,NeoTblTijden!$A$17:$Y$27,NeoTblTijden!C$15,FALSE),"")</f>
        <v/>
      </c>
      <c r="J5" s="102" t="str">
        <f>IF(OR($D5="1 dd",$D5="2 dd",$D5="3 dd",$D5="4 dd",$D5="5 dd",$D5="6 dd",$D5="8 dd",$D5="12 dd",$D5="24 dd",$D5="an",$D5="zn"),VLOOKUP($D5,NeoTblTijden!$A$17:$Y$27,NeoTblTijden!D$15,FALSE),"")</f>
        <v/>
      </c>
      <c r="K5" s="463" t="str">
        <f>IF(OR($D5="1 dd",$D5="2 dd",$D5="3 dd",$D5="4 dd",$D5="5 dd",$D5="6 dd",$D5="8 dd",$D5="12 dd",$D5="24 dd",$D5="an",$D5="zn"),VLOOKUP($D5,NeoTblTijden!$A$17:$Y$27,NeoTblTijden!E$15,FALSE),"")</f>
        <v/>
      </c>
      <c r="L5" s="102" t="str">
        <f>IF(OR($D5="1 dd",$D5="2 dd",$D5="3 dd",$D5="4 dd",$D5="5 dd",$D5="6 dd",$D5="8 dd",$D5="12 dd",$D5="24 dd",$D5="an",$D5="zn"),VLOOKUP($D5,NeoTblTijden!$A$17:$Y$27,NeoTblTijden!F$15,FALSE),"")</f>
        <v/>
      </c>
      <c r="M5" s="463" t="str">
        <f>IF(OR($D5="1 dd",$D5="2 dd",$D5="3 dd",$D5="4 dd",$D5="5 dd",$D5="6 dd",$D5="8 dd",$D5="12 dd",$D5="24 dd",$D5="an",$D5="zn"),VLOOKUP($D5,NeoTblTijden!$A$17:$Y$27,NeoTblTijden!G$15,FALSE),"")</f>
        <v/>
      </c>
      <c r="N5" s="102" t="str">
        <f>IF(OR($D5="1 dd",$D5="2 dd",$D5="3 dd",$D5="4 dd",$D5="5 dd",$D5="6 dd",$D5="8 dd",$D5="12 dd",$D5="24 dd",$D5="an",$D5="zn"),VLOOKUP($D5,NeoTblTijden!$A$17:$Y$27,NeoTblTijden!H$15,FALSE),"")</f>
        <v/>
      </c>
      <c r="O5" s="463" t="str">
        <f>IF(OR($D5="1 dd",$D5="2 dd",$D5="3 dd",$D5="4 dd",$D5="5 dd",$D5="6 dd",$D5="8 dd",$D5="12 dd",$D5="24 dd",$D5="an",$D5="zn"),VLOOKUP($D5,NeoTblTijden!$A$17:$Y$27,NeoTblTijden!I$15,FALSE),"")</f>
        <v/>
      </c>
      <c r="P5" s="102" t="str">
        <f>IF(OR($D5="1 dd",$D5="2 dd",$D5="3 dd",$D5="4 dd",$D5="5 dd",$D5="6 dd",$D5="8 dd",$D5="12 dd",$D5="24 dd",$D5="an",$D5="zn"),VLOOKUP($D5,NeoTblTijden!$A$17:$Y$27,NeoTblTijden!J$15,FALSE),"")</f>
        <v/>
      </c>
      <c r="Q5" s="463" t="str">
        <f>IF(OR($D5="1 dd",$D5="2 dd",$D5="3 dd",$D5="4 dd",$D5="5 dd",$D5="6 dd",$D5="8 dd",$D5="12 dd",$D5="24 dd",$D5="an",$D5="zn"),VLOOKUP($D5,NeoTblTijden!$A$17:$Y$27,NeoTblTijden!K$15,FALSE),"")</f>
        <v/>
      </c>
      <c r="R5" s="102" t="str">
        <f>IF(OR($D5="1 dd",$D5="2 dd",$D5="3 dd",$D5="4 dd",$D5="5 dd",$D5="6 dd",$D5="8 dd",$D5="12 dd",$D5="24 dd",$D5="an",$D5="zn"),VLOOKUP($D5,NeoTblTijden!$A$17:$Y$27,NeoTblTijden!L$15,FALSE),"")</f>
        <v/>
      </c>
      <c r="S5" s="463" t="str">
        <f>IF(OR($D5="1 dd",$D5="2 dd",$D5="3 dd",$D5="4 dd",$D5="5 dd",$D5="6 dd",$D5="8 dd",$D5="12 dd",$D5="24 dd",$D5="an",$D5="zn"),VLOOKUP($D5,NeoTblTijden!$A$17:$Y$27,NeoTblTijden!M$15,FALSE),"")</f>
        <v/>
      </c>
      <c r="T5" s="102" t="str">
        <f>IF(OR($D5="1 dd",$D5="2 dd",$D5="3 dd",$D5="4 dd",$D5="5 dd",$D5="6 dd",$D5="8 dd",$D5="12 dd",$D5="24 dd",$D5="an",$D5="zn"),VLOOKUP($D5,NeoTblTijden!$A$17:$Y$27,NeoTblTijden!N$15,FALSE),"")</f>
        <v/>
      </c>
      <c r="U5" s="463" t="str">
        <f>IF(OR($D5="1 dd",$D5="2 dd",$D5="3 dd",$D5="4 dd",$D5="5 dd",$D5="6 dd",$D5="8 dd",$D5="12 dd",$D5="24 dd",$D5="an",$D5="zn"),VLOOKUP($D5,NeoTblTijden!$A$17:$Y$27,NeoTblTijden!O$15,FALSE),"")</f>
        <v/>
      </c>
      <c r="V5" s="102" t="str">
        <f>IF(OR($D5="1 dd",$D5="2 dd",$D5="3 dd",$D5="4 dd",$D5="5 dd",$D5="6 dd",$D5="8 dd",$D5="12 dd",$D5="24 dd",$D5="an",$D5="zn"),VLOOKUP($D5,NeoTblTijden!$A$17:$Y$27,NeoTblTijden!P$15,FALSE),"")</f>
        <v/>
      </c>
      <c r="W5" s="463" t="str">
        <f>IF(OR($D5="1 dd",$D5="2 dd",$D5="3 dd",$D5="4 dd",$D5="5 dd",$D5="6 dd",$D5="8 dd",$D5="12 dd",$D5="24 dd",$D5="an",$D5="zn"),VLOOKUP($D5,NeoTblTijden!$A$17:$Y$27,NeoTblTijden!Q$15,FALSE),"")</f>
        <v/>
      </c>
      <c r="X5" s="102" t="str">
        <f>IF(OR($D5="1 dd",$D5="2 dd",$D5="3 dd",$D5="4 dd",$D5="5 dd",$D5="6 dd",$D5="8 dd",$D5="12 dd",$D5="24 dd",$D5="an",$D5="zn"),VLOOKUP($D5,NeoTblTijden!$A$17:$Y$27,NeoTblTijden!R$15,FALSE),"")</f>
        <v/>
      </c>
      <c r="Y5" s="463" t="str">
        <f>IF(OR($D5="1 dd",$D5="2 dd",$D5="3 dd",$D5="4 dd",$D5="5 dd",$D5="6 dd",$D5="8 dd",$D5="12 dd",$D5="24 dd",$D5="an",$D5="zn"),VLOOKUP($D5,NeoTblTijden!$A$17:$Y$27,NeoTblTijden!S$15,FALSE),"")</f>
        <v/>
      </c>
      <c r="Z5" s="102" t="str">
        <f>IF(OR($D5="1 dd",$D5="2 dd",$D5="3 dd",$D5="4 dd",$D5="5 dd",$D5="6 dd",$D5="8 dd",$D5="12 dd",$D5="24 dd",$D5="an",$D5="zn"),VLOOKUP($D5,NeoTblTijden!$A$17:$Y$27,NeoTblTijden!T$15,FALSE),"")</f>
        <v/>
      </c>
      <c r="AA5" s="463" t="str">
        <f>IF(OR($D5="1 dd",$D5="2 dd",$D5="3 dd",$D5="4 dd",$D5="5 dd",$D5="6 dd",$D5="8 dd",$D5="12 dd",$D5="24 dd",$D5="an",$D5="zn"),VLOOKUP($D5,NeoTblTijden!$A$17:$Y$27,NeoTblTijden!U$15,FALSE),"")</f>
        <v/>
      </c>
      <c r="AB5" s="102" t="str">
        <f>IF(OR($D5="1 dd",$D5="2 dd",$D5="3 dd",$D5="4 dd",$D5="5 dd",$D5="6 dd",$D5="8 dd",$D5="12 dd",$D5="24 dd",$D5="an",$D5="zn"),VLOOKUP($D5,NeoTblTijden!$A$17:$Y$27,NeoTblTijden!V$15,FALSE),"")</f>
        <v/>
      </c>
      <c r="AC5" s="463" t="str">
        <f>IF(OR($D5="1 dd",$D5="2 dd",$D5="3 dd",$D5="4 dd",$D5="5 dd",$D5="6 dd",$D5="8 dd",$D5="12 dd",$D5="24 dd",$D5="an",$D5="zn"),VLOOKUP($D5,NeoTblTijden!$A$17:$Y$27,NeoTblTijden!W$15,FALSE),"")</f>
        <v/>
      </c>
      <c r="AD5" s="102" t="str">
        <f>IF(OR($D5="1 dd",$D5="2 dd",$D5="3 dd",$D5="4 dd",$D5="5 dd",$D5="6 dd",$D5="8 dd",$D5="12 dd",$D5="24 dd",$D5="an",$D5="zn"),VLOOKUP($D5,NeoTblTijden!$A$17:$Y$27,NeoTblTijden!X$15,FALSE),"")</f>
        <v/>
      </c>
      <c r="AE5" s="463" t="str">
        <f>IF(OR($D5="1 dd",$D5="2 dd",$D5="3 dd",$D5="4 dd",$D5="5 dd",$D5="6 dd",$D5="8 dd",$D5="12 dd",$D5="24 dd",$D5="an",$D5="zn"),VLOOKUP($D5,NeoTblTijden!$A$17:$Y$27,NeoTblTijden!Y$15,FALSE),"")</f>
        <v/>
      </c>
      <c r="AF5" s="101"/>
      <c r="AG5" s="16"/>
    </row>
    <row r="6" spans="1:33" ht="26.1" customHeight="1" x14ac:dyDescent="0.35">
      <c r="A6" s="435"/>
      <c r="B6" s="103"/>
      <c r="C6" s="182" t="str">
        <f>IF(GlobBerMedDisc!C5&lt;&gt;"",IF(GlobBerMedDisc!C5&gt;1,TRIM(GlobBerMedDisc!C5)&amp;", "&amp;GlobBerOpm!C10&amp;" ("&amp;GlobBerMedDisc!M5&amp;" "&amp;GlobBerMedDisc!F5&amp;"/kg/dag)",TRIM(GlobBerMedDisc!C5)&amp;", "&amp;GlobBerOpm!C10),"")</f>
        <v/>
      </c>
      <c r="D6" s="183" t="str">
        <f>IF(GlobGuiMedDisc!H12&lt;&gt;"",GlobGuiMedDisc!H12,"")</f>
        <v/>
      </c>
      <c r="E6" s="184" t="str">
        <f>IF(AND(D6&lt;&gt;"",D6&lt;&gt;"STOP"),GlobBerMedDisc!H5&amp;" "&amp;GlobBerMedDisc!F5,"")</f>
        <v/>
      </c>
      <c r="F6" s="184" t="str">
        <f>IF(AND(D6&lt;&gt;"",D6&lt;&gt;"STOP"),GlobBerMedDisc!L5," ")</f>
        <v xml:space="preserve"> </v>
      </c>
      <c r="G6" s="184" t="str">
        <f>IF(GlobGuiMedDisc!L12&lt;&gt;"",GlobGuiMedDisc!L12&amp;" "&amp;GlobGuiMedDisc!M12&amp;" "&amp;INDEX(GlobBerMedDisc!$B$27:$B$30,GlobBerMedDisc!O5,1)&amp;" in "&amp;GlobGuiMedDisc!$O$12,"")</f>
        <v/>
      </c>
      <c r="H6" s="102" t="str">
        <f>IF(OR($D6="1 dd",$D6="2 dd",$D6="3 dd",$D6="4 dd",$D6="5 dd",$D6="6 dd",$D6="8 dd",$D6="12 dd",$D6="24 dd",$D6="an",$D6="zn"),VLOOKUP($D6,NeoTblTijden!$A$17:$Y$27,NeoTblTijden!B$15,FALSE),"")</f>
        <v/>
      </c>
      <c r="I6" s="463" t="str">
        <f>IF(OR($D6="1 dd",$D6="2 dd",$D6="3 dd",$D6="4 dd",$D6="5 dd",$D6="6 dd",$D6="8 dd",$D6="12 dd",$D6="24 dd",$D6="an",$D6="zn"),VLOOKUP($D6,NeoTblTijden!$A$17:$Y$27,NeoTblTijden!C$15,FALSE),"")</f>
        <v/>
      </c>
      <c r="J6" s="102" t="str">
        <f>IF(OR($D6="1 dd",$D6="2 dd",$D6="3 dd",$D6="4 dd",$D6="5 dd",$D6="6 dd",$D6="8 dd",$D6="12 dd",$D6="24 dd",$D6="an",$D6="zn"),VLOOKUP($D6,NeoTblTijden!$A$17:$Y$27,NeoTblTijden!D$15,FALSE),"")</f>
        <v/>
      </c>
      <c r="K6" s="463" t="str">
        <f>IF(OR($D6="1 dd",$D6="2 dd",$D6="3 dd",$D6="4 dd",$D6="5 dd",$D6="6 dd",$D6="8 dd",$D6="12 dd",$D6="24 dd",$D6="an",$D6="zn"),VLOOKUP($D6,NeoTblTijden!$A$17:$Y$27,NeoTblTijden!E$15,FALSE),"")</f>
        <v/>
      </c>
      <c r="L6" s="102" t="str">
        <f>IF(OR($D6="1 dd",$D6="2 dd",$D6="3 dd",$D6="4 dd",$D6="5 dd",$D6="6 dd",$D6="8 dd",$D6="12 dd",$D6="24 dd",$D6="an",$D6="zn"),VLOOKUP($D6,NeoTblTijden!$A$17:$Y$27,NeoTblTijden!F$15,FALSE),"")</f>
        <v/>
      </c>
      <c r="M6" s="463" t="str">
        <f>IF(OR($D6="1 dd",$D6="2 dd",$D6="3 dd",$D6="4 dd",$D6="5 dd",$D6="6 dd",$D6="8 dd",$D6="12 dd",$D6="24 dd",$D6="an",$D6="zn"),VLOOKUP($D6,NeoTblTijden!$A$17:$Y$27,NeoTblTijden!G$15,FALSE),"")</f>
        <v/>
      </c>
      <c r="N6" s="102" t="str">
        <f>IF(OR($D6="1 dd",$D6="2 dd",$D6="3 dd",$D6="4 dd",$D6="5 dd",$D6="6 dd",$D6="8 dd",$D6="12 dd",$D6="24 dd",$D6="an",$D6="zn"),VLOOKUP($D6,NeoTblTijden!$A$17:$Y$27,NeoTblTijden!H$15,FALSE),"")</f>
        <v/>
      </c>
      <c r="O6" s="463" t="str">
        <f>IF(OR($D6="1 dd",$D6="2 dd",$D6="3 dd",$D6="4 dd",$D6="5 dd",$D6="6 dd",$D6="8 dd",$D6="12 dd",$D6="24 dd",$D6="an",$D6="zn"),VLOOKUP($D6,NeoTblTijden!$A$17:$Y$27,NeoTblTijden!I$15,FALSE),"")</f>
        <v/>
      </c>
      <c r="P6" s="102" t="str">
        <f>IF(OR($D6="1 dd",$D6="2 dd",$D6="3 dd",$D6="4 dd",$D6="5 dd",$D6="6 dd",$D6="8 dd",$D6="12 dd",$D6="24 dd",$D6="an",$D6="zn"),VLOOKUP($D6,NeoTblTijden!$A$17:$Y$27,NeoTblTijden!J$15,FALSE),"")</f>
        <v/>
      </c>
      <c r="Q6" s="463" t="str">
        <f>IF(OR($D6="1 dd",$D6="2 dd",$D6="3 dd",$D6="4 dd",$D6="5 dd",$D6="6 dd",$D6="8 dd",$D6="12 dd",$D6="24 dd",$D6="an",$D6="zn"),VLOOKUP($D6,NeoTblTijden!$A$17:$Y$27,NeoTblTijden!K$15,FALSE),"")</f>
        <v/>
      </c>
      <c r="R6" s="102" t="str">
        <f>IF(OR($D6="1 dd",$D6="2 dd",$D6="3 dd",$D6="4 dd",$D6="5 dd",$D6="6 dd",$D6="8 dd",$D6="12 dd",$D6="24 dd",$D6="an",$D6="zn"),VLOOKUP($D6,NeoTblTijden!$A$17:$Y$27,NeoTblTijden!L$15,FALSE),"")</f>
        <v/>
      </c>
      <c r="S6" s="463" t="str">
        <f>IF(OR($D6="1 dd",$D6="2 dd",$D6="3 dd",$D6="4 dd",$D6="5 dd",$D6="6 dd",$D6="8 dd",$D6="12 dd",$D6="24 dd",$D6="an",$D6="zn"),VLOOKUP($D6,NeoTblTijden!$A$17:$Y$27,NeoTblTijden!M$15,FALSE),"")</f>
        <v/>
      </c>
      <c r="T6" s="102" t="str">
        <f>IF(OR($D6="1 dd",$D6="2 dd",$D6="3 dd",$D6="4 dd",$D6="5 dd",$D6="6 dd",$D6="8 dd",$D6="12 dd",$D6="24 dd",$D6="an",$D6="zn"),VLOOKUP($D6,NeoTblTijden!$A$17:$Y$27,NeoTblTijden!N$15,FALSE),"")</f>
        <v/>
      </c>
      <c r="U6" s="463" t="str">
        <f>IF(OR($D6="1 dd",$D6="2 dd",$D6="3 dd",$D6="4 dd",$D6="5 dd",$D6="6 dd",$D6="8 dd",$D6="12 dd",$D6="24 dd",$D6="an",$D6="zn"),VLOOKUP($D6,NeoTblTijden!$A$17:$Y$27,NeoTblTijden!O$15,FALSE),"")</f>
        <v/>
      </c>
      <c r="V6" s="102" t="str">
        <f>IF(OR($D6="1 dd",$D6="2 dd",$D6="3 dd",$D6="4 dd",$D6="5 dd",$D6="6 dd",$D6="8 dd",$D6="12 dd",$D6="24 dd",$D6="an",$D6="zn"),VLOOKUP($D6,NeoTblTijden!$A$17:$Y$27,NeoTblTijden!P$15,FALSE),"")</f>
        <v/>
      </c>
      <c r="W6" s="463" t="str">
        <f>IF(OR($D6="1 dd",$D6="2 dd",$D6="3 dd",$D6="4 dd",$D6="5 dd",$D6="6 dd",$D6="8 dd",$D6="12 dd",$D6="24 dd",$D6="an",$D6="zn"),VLOOKUP($D6,NeoTblTijden!$A$17:$Y$27,NeoTblTijden!Q$15,FALSE),"")</f>
        <v/>
      </c>
      <c r="X6" s="102" t="str">
        <f>IF(OR($D6="1 dd",$D6="2 dd",$D6="3 dd",$D6="4 dd",$D6="5 dd",$D6="6 dd",$D6="8 dd",$D6="12 dd",$D6="24 dd",$D6="an",$D6="zn"),VLOOKUP($D6,NeoTblTijden!$A$17:$Y$27,NeoTblTijden!R$15,FALSE),"")</f>
        <v/>
      </c>
      <c r="Y6" s="463" t="str">
        <f>IF(OR($D6="1 dd",$D6="2 dd",$D6="3 dd",$D6="4 dd",$D6="5 dd",$D6="6 dd",$D6="8 dd",$D6="12 dd",$D6="24 dd",$D6="an",$D6="zn"),VLOOKUP($D6,NeoTblTijden!$A$17:$Y$27,NeoTblTijden!S$15,FALSE),"")</f>
        <v/>
      </c>
      <c r="Z6" s="102" t="str">
        <f>IF(OR($D6="1 dd",$D6="2 dd",$D6="3 dd",$D6="4 dd",$D6="5 dd",$D6="6 dd",$D6="8 dd",$D6="12 dd",$D6="24 dd",$D6="an",$D6="zn"),VLOOKUP($D6,NeoTblTijden!$A$17:$Y$27,NeoTblTijden!T$15,FALSE),"")</f>
        <v/>
      </c>
      <c r="AA6" s="463" t="str">
        <f>IF(OR($D6="1 dd",$D6="2 dd",$D6="3 dd",$D6="4 dd",$D6="5 dd",$D6="6 dd",$D6="8 dd",$D6="12 dd",$D6="24 dd",$D6="an",$D6="zn"),VLOOKUP($D6,NeoTblTijden!$A$17:$Y$27,NeoTblTijden!U$15,FALSE),"")</f>
        <v/>
      </c>
      <c r="AB6" s="102" t="str">
        <f>IF(OR($D6="1 dd",$D6="2 dd",$D6="3 dd",$D6="4 dd",$D6="5 dd",$D6="6 dd",$D6="8 dd",$D6="12 dd",$D6="24 dd",$D6="an",$D6="zn"),VLOOKUP($D6,NeoTblTijden!$A$17:$Y$27,NeoTblTijden!V$15,FALSE),"")</f>
        <v/>
      </c>
      <c r="AC6" s="463" t="str">
        <f>IF(OR($D6="1 dd",$D6="2 dd",$D6="3 dd",$D6="4 dd",$D6="5 dd",$D6="6 dd",$D6="8 dd",$D6="12 dd",$D6="24 dd",$D6="an",$D6="zn"),VLOOKUP($D6,NeoTblTijden!$A$17:$Y$27,NeoTblTijden!W$15,FALSE),"")</f>
        <v/>
      </c>
      <c r="AD6" s="102" t="str">
        <f>IF(OR($D6="1 dd",$D6="2 dd",$D6="3 dd",$D6="4 dd",$D6="5 dd",$D6="6 dd",$D6="8 dd",$D6="12 dd",$D6="24 dd",$D6="an",$D6="zn"),VLOOKUP($D6,NeoTblTijden!$A$17:$Y$27,NeoTblTijden!X$15,FALSE),"")</f>
        <v/>
      </c>
      <c r="AE6" s="463" t="str">
        <f>IF(OR($D6="1 dd",$D6="2 dd",$D6="3 dd",$D6="4 dd",$D6="5 dd",$D6="6 dd",$D6="8 dd",$D6="12 dd",$D6="24 dd",$D6="an",$D6="zn"),VLOOKUP($D6,NeoTblTijden!$A$17:$Y$27,NeoTblTijden!Y$15,FALSE),"")</f>
        <v/>
      </c>
      <c r="AF6" s="101"/>
      <c r="AG6" s="16"/>
    </row>
    <row r="7" spans="1:33" ht="26.1" customHeight="1" x14ac:dyDescent="0.35">
      <c r="B7" s="103"/>
      <c r="C7" s="182" t="str">
        <f>IF(GlobBerMedDisc!C6&lt;&gt;"",IF(GlobBerMedDisc!C6&gt;1,TRIM(GlobBerMedDisc!C6)&amp;", "&amp;GlobBerOpm!C11&amp;" ("&amp;GlobBerMedDisc!M6&amp;" "&amp;GlobBerMedDisc!F6&amp;"/kg/dag)",TRIM(GlobBerMedDisc!C6)&amp;", "&amp;GlobBerOpm!C11),"")</f>
        <v/>
      </c>
      <c r="D7" s="183" t="str">
        <f>IF(GlobGuiMedDisc!H14&lt;&gt;"",GlobGuiMedDisc!H14,"")</f>
        <v/>
      </c>
      <c r="E7" s="184" t="str">
        <f>IF(AND(D7&lt;&gt;"",D7&lt;&gt;"STOP"),GlobBerMedDisc!H6&amp;" "&amp;GlobBerMedDisc!F6,"")</f>
        <v/>
      </c>
      <c r="F7" s="184" t="str">
        <f>IF(AND(D7&lt;&gt;"",D7&lt;&gt;"STOP"),GlobBerMedDisc!L6," ")</f>
        <v xml:space="preserve"> </v>
      </c>
      <c r="G7" s="184" t="str">
        <f>IF(GlobGuiMedDisc!L14&lt;&gt;"",GlobGuiMedDisc!L14&amp;" "&amp;GlobGuiMedDisc!M14&amp;" "&amp;INDEX(GlobBerMedDisc!$B$27:$B$30,GlobBerMedDisc!O6,1)&amp;" in "&amp;GlobGuiMedDisc!$O$14,"")</f>
        <v/>
      </c>
      <c r="H7" s="102" t="str">
        <f>IF(OR($D7="1 dd",$D7="2 dd",$D7="3 dd",$D7="4 dd",$D7="5 dd",$D7="6 dd",$D7="8 dd",$D7="12 dd",$D7="24 dd",$D7="an",$D7="zn"),VLOOKUP($D7,NeoTblTijden!$A$17:$Y$27,NeoTblTijden!B$15,FALSE),"")</f>
        <v/>
      </c>
      <c r="I7" s="463" t="str">
        <f>IF(OR($D7="1 dd",$D7="2 dd",$D7="3 dd",$D7="4 dd",$D7="5 dd",$D7="6 dd",$D7="8 dd",$D7="12 dd",$D7="24 dd",$D7="an",$D7="zn"),VLOOKUP($D7,NeoTblTijden!$A$17:$Y$27,NeoTblTijden!C$15,FALSE),"")</f>
        <v/>
      </c>
      <c r="J7" s="102" t="str">
        <f>IF(OR($D7="1 dd",$D7="2 dd",$D7="3 dd",$D7="4 dd",$D7="5 dd",$D7="6 dd",$D7="8 dd",$D7="12 dd",$D7="24 dd",$D7="an",$D7="zn"),VLOOKUP($D7,NeoTblTijden!$A$17:$Y$27,NeoTblTijden!D$15,FALSE),"")</f>
        <v/>
      </c>
      <c r="K7" s="463" t="str">
        <f>IF(OR($D7="1 dd",$D7="2 dd",$D7="3 dd",$D7="4 dd",$D7="5 dd",$D7="6 dd",$D7="8 dd",$D7="12 dd",$D7="24 dd",$D7="an",$D7="zn"),VLOOKUP($D7,NeoTblTijden!$A$17:$Y$27,NeoTblTijden!E$15,FALSE),"")</f>
        <v/>
      </c>
      <c r="L7" s="102" t="str">
        <f>IF(OR($D7="1 dd",$D7="2 dd",$D7="3 dd",$D7="4 dd",$D7="5 dd",$D7="6 dd",$D7="8 dd",$D7="12 dd",$D7="24 dd",$D7="an",$D7="zn"),VLOOKUP($D7,NeoTblTijden!$A$17:$Y$27,NeoTblTijden!F$15,FALSE),"")</f>
        <v/>
      </c>
      <c r="M7" s="463" t="str">
        <f>IF(OR($D7="1 dd",$D7="2 dd",$D7="3 dd",$D7="4 dd",$D7="5 dd",$D7="6 dd",$D7="8 dd",$D7="12 dd",$D7="24 dd",$D7="an",$D7="zn"),VLOOKUP($D7,NeoTblTijden!$A$17:$Y$27,NeoTblTijden!G$15,FALSE),"")</f>
        <v/>
      </c>
      <c r="N7" s="102" t="str">
        <f>IF(OR($D7="1 dd",$D7="2 dd",$D7="3 dd",$D7="4 dd",$D7="5 dd",$D7="6 dd",$D7="8 dd",$D7="12 dd",$D7="24 dd",$D7="an",$D7="zn"),VLOOKUP($D7,NeoTblTijden!$A$17:$Y$27,NeoTblTijden!H$15,FALSE),"")</f>
        <v/>
      </c>
      <c r="O7" s="463" t="str">
        <f>IF(OR($D7="1 dd",$D7="2 dd",$D7="3 dd",$D7="4 dd",$D7="5 dd",$D7="6 dd",$D7="8 dd",$D7="12 dd",$D7="24 dd",$D7="an",$D7="zn"),VLOOKUP($D7,NeoTblTijden!$A$17:$Y$27,NeoTblTijden!I$15,FALSE),"")</f>
        <v/>
      </c>
      <c r="P7" s="102" t="str">
        <f>IF(OR($D7="1 dd",$D7="2 dd",$D7="3 dd",$D7="4 dd",$D7="5 dd",$D7="6 dd",$D7="8 dd",$D7="12 dd",$D7="24 dd",$D7="an",$D7="zn"),VLOOKUP($D7,NeoTblTijden!$A$17:$Y$27,NeoTblTijden!J$15,FALSE),"")</f>
        <v/>
      </c>
      <c r="Q7" s="463" t="str">
        <f>IF(OR($D7="1 dd",$D7="2 dd",$D7="3 dd",$D7="4 dd",$D7="5 dd",$D7="6 dd",$D7="8 dd",$D7="12 dd",$D7="24 dd",$D7="an",$D7="zn"),VLOOKUP($D7,NeoTblTijden!$A$17:$Y$27,NeoTblTijden!K$15,FALSE),"")</f>
        <v/>
      </c>
      <c r="R7" s="102" t="str">
        <f>IF(OR($D7="1 dd",$D7="2 dd",$D7="3 dd",$D7="4 dd",$D7="5 dd",$D7="6 dd",$D7="8 dd",$D7="12 dd",$D7="24 dd",$D7="an",$D7="zn"),VLOOKUP($D7,NeoTblTijden!$A$17:$Y$27,NeoTblTijden!L$15,FALSE),"")</f>
        <v/>
      </c>
      <c r="S7" s="463" t="str">
        <f>IF(OR($D7="1 dd",$D7="2 dd",$D7="3 dd",$D7="4 dd",$D7="5 dd",$D7="6 dd",$D7="8 dd",$D7="12 dd",$D7="24 dd",$D7="an",$D7="zn"),VLOOKUP($D7,NeoTblTijden!$A$17:$Y$27,NeoTblTijden!M$15,FALSE),"")</f>
        <v/>
      </c>
      <c r="T7" s="102" t="str">
        <f>IF(OR($D7="1 dd",$D7="2 dd",$D7="3 dd",$D7="4 dd",$D7="5 dd",$D7="6 dd",$D7="8 dd",$D7="12 dd",$D7="24 dd",$D7="an",$D7="zn"),VLOOKUP($D7,NeoTblTijden!$A$17:$Y$27,NeoTblTijden!N$15,FALSE),"")</f>
        <v/>
      </c>
      <c r="U7" s="463" t="str">
        <f>IF(OR($D7="1 dd",$D7="2 dd",$D7="3 dd",$D7="4 dd",$D7="5 dd",$D7="6 dd",$D7="8 dd",$D7="12 dd",$D7="24 dd",$D7="an",$D7="zn"),VLOOKUP($D7,NeoTblTijden!$A$17:$Y$27,NeoTblTijden!O$15,FALSE),"")</f>
        <v/>
      </c>
      <c r="V7" s="102" t="str">
        <f>IF(OR($D7="1 dd",$D7="2 dd",$D7="3 dd",$D7="4 dd",$D7="5 dd",$D7="6 dd",$D7="8 dd",$D7="12 dd",$D7="24 dd",$D7="an",$D7="zn"),VLOOKUP($D7,NeoTblTijden!$A$17:$Y$27,NeoTblTijden!P$15,FALSE),"")</f>
        <v/>
      </c>
      <c r="W7" s="463" t="str">
        <f>IF(OR($D7="1 dd",$D7="2 dd",$D7="3 dd",$D7="4 dd",$D7="5 dd",$D7="6 dd",$D7="8 dd",$D7="12 dd",$D7="24 dd",$D7="an",$D7="zn"),VLOOKUP($D7,NeoTblTijden!$A$17:$Y$27,NeoTblTijden!Q$15,FALSE),"")</f>
        <v/>
      </c>
      <c r="X7" s="102" t="str">
        <f>IF(OR($D7="1 dd",$D7="2 dd",$D7="3 dd",$D7="4 dd",$D7="5 dd",$D7="6 dd",$D7="8 dd",$D7="12 dd",$D7="24 dd",$D7="an",$D7="zn"),VLOOKUP($D7,NeoTblTijden!$A$17:$Y$27,NeoTblTijden!R$15,FALSE),"")</f>
        <v/>
      </c>
      <c r="Y7" s="463" t="str">
        <f>IF(OR($D7="1 dd",$D7="2 dd",$D7="3 dd",$D7="4 dd",$D7="5 dd",$D7="6 dd",$D7="8 dd",$D7="12 dd",$D7="24 dd",$D7="an",$D7="zn"),VLOOKUP($D7,NeoTblTijden!$A$17:$Y$27,NeoTblTijden!S$15,FALSE),"")</f>
        <v/>
      </c>
      <c r="Z7" s="102" t="str">
        <f>IF(OR($D7="1 dd",$D7="2 dd",$D7="3 dd",$D7="4 dd",$D7="5 dd",$D7="6 dd",$D7="8 dd",$D7="12 dd",$D7="24 dd",$D7="an",$D7="zn"),VLOOKUP($D7,NeoTblTijden!$A$17:$Y$27,NeoTblTijden!T$15,FALSE),"")</f>
        <v/>
      </c>
      <c r="AA7" s="463" t="str">
        <f>IF(OR($D7="1 dd",$D7="2 dd",$D7="3 dd",$D7="4 dd",$D7="5 dd",$D7="6 dd",$D7="8 dd",$D7="12 dd",$D7="24 dd",$D7="an",$D7="zn"),VLOOKUP($D7,NeoTblTijden!$A$17:$Y$27,NeoTblTijden!U$15,FALSE),"")</f>
        <v/>
      </c>
      <c r="AB7" s="102" t="str">
        <f>IF(OR($D7="1 dd",$D7="2 dd",$D7="3 dd",$D7="4 dd",$D7="5 dd",$D7="6 dd",$D7="8 dd",$D7="12 dd",$D7="24 dd",$D7="an",$D7="zn"),VLOOKUP($D7,NeoTblTijden!$A$17:$Y$27,NeoTblTijden!V$15,FALSE),"")</f>
        <v/>
      </c>
      <c r="AC7" s="463" t="str">
        <f>IF(OR($D7="1 dd",$D7="2 dd",$D7="3 dd",$D7="4 dd",$D7="5 dd",$D7="6 dd",$D7="8 dd",$D7="12 dd",$D7="24 dd",$D7="an",$D7="zn"),VLOOKUP($D7,NeoTblTijden!$A$17:$Y$27,NeoTblTijden!W$15,FALSE),"")</f>
        <v/>
      </c>
      <c r="AD7" s="102" t="str">
        <f>IF(OR($D7="1 dd",$D7="2 dd",$D7="3 dd",$D7="4 dd",$D7="5 dd",$D7="6 dd",$D7="8 dd",$D7="12 dd",$D7="24 dd",$D7="an",$D7="zn"),VLOOKUP($D7,NeoTblTijden!$A$17:$Y$27,NeoTblTijden!X$15,FALSE),"")</f>
        <v/>
      </c>
      <c r="AE7" s="463" t="str">
        <f>IF(OR($D7="1 dd",$D7="2 dd",$D7="3 dd",$D7="4 dd",$D7="5 dd",$D7="6 dd",$D7="8 dd",$D7="12 dd",$D7="24 dd",$D7="an",$D7="zn"),VLOOKUP($D7,NeoTblTijden!$A$17:$Y$27,NeoTblTijden!Y$15,FALSE),"")</f>
        <v/>
      </c>
      <c r="AF7" s="101"/>
      <c r="AG7" s="16"/>
    </row>
    <row r="8" spans="1:33" ht="26.1" customHeight="1" x14ac:dyDescent="0.35">
      <c r="B8" s="103"/>
      <c r="C8" s="182" t="str">
        <f>IF(GlobBerMedDisc!C7&lt;&gt;"",IF(GlobBerMedDisc!C7&gt;1,TRIM(GlobBerMedDisc!C7)&amp;", "&amp;GlobBerOpm!C12&amp;" ("&amp;GlobBerMedDisc!M7&amp;" "&amp;GlobBerMedDisc!F7&amp;"/kg/dag)",TRIM(GlobBerMedDisc!C7)&amp;", "&amp;GlobBerOpm!C12),"")</f>
        <v/>
      </c>
      <c r="D8" s="183" t="str">
        <f>IF(GlobGuiMedDisc!H16&lt;&gt;"",GlobGuiMedDisc!H16,"")</f>
        <v/>
      </c>
      <c r="E8" s="184" t="str">
        <f>IF(AND(D8&lt;&gt;"",D8&lt;&gt;"STOP"),GlobBerMedDisc!H7&amp;" "&amp;GlobBerMedDisc!F7,"")</f>
        <v/>
      </c>
      <c r="F8" s="184" t="str">
        <f>IF(AND(D8&lt;&gt;"",D8&lt;&gt;"STOP"),GlobBerMedDisc!L7," ")</f>
        <v xml:space="preserve"> </v>
      </c>
      <c r="G8" s="184" t="str">
        <f>IF(GlobGuiMedDisc!L16&lt;&gt;"",GlobGuiMedDisc!L16&amp;" "&amp;GlobGuiMedDisc!M16&amp;" "&amp;INDEX(GlobBerMedDisc!$B$27:$B$30,GlobBerMedDisc!O7,1)&amp;" in "&amp;GlobGuiMedDisc!$O$16,"")</f>
        <v/>
      </c>
      <c r="H8" s="102" t="str">
        <f>IF(OR($D8="1 dd",$D8="2 dd",$D8="3 dd",$D8="4 dd",$D8="5 dd",$D8="6 dd",$D8="8 dd",$D8="12 dd",$D8="24 dd",$D8="an",$D8="zn"),VLOOKUP($D8,NeoTblTijden!$A$17:$Y$27,NeoTblTijden!B$15,FALSE),"")</f>
        <v/>
      </c>
      <c r="I8" s="463" t="str">
        <f>IF(OR($D8="1 dd",$D8="2 dd",$D8="3 dd",$D8="4 dd",$D8="5 dd",$D8="6 dd",$D8="8 dd",$D8="12 dd",$D8="24 dd",$D8="an",$D8="zn"),VLOOKUP($D8,NeoTblTijden!$A$17:$Y$27,NeoTblTijden!C$15,FALSE),"")</f>
        <v/>
      </c>
      <c r="J8" s="102" t="str">
        <f>IF(OR($D8="1 dd",$D8="2 dd",$D8="3 dd",$D8="4 dd",$D8="5 dd",$D8="6 dd",$D8="8 dd",$D8="12 dd",$D8="24 dd",$D8="an",$D8="zn"),VLOOKUP($D8,NeoTblTijden!$A$17:$Y$27,NeoTblTijden!D$15,FALSE),"")</f>
        <v/>
      </c>
      <c r="K8" s="463" t="str">
        <f>IF(OR($D8="1 dd",$D8="2 dd",$D8="3 dd",$D8="4 dd",$D8="5 dd",$D8="6 dd",$D8="8 dd",$D8="12 dd",$D8="24 dd",$D8="an",$D8="zn"),VLOOKUP($D8,NeoTblTijden!$A$17:$Y$27,NeoTblTijden!E$15,FALSE),"")</f>
        <v/>
      </c>
      <c r="L8" s="102" t="str">
        <f>IF(OR($D8="1 dd",$D8="2 dd",$D8="3 dd",$D8="4 dd",$D8="5 dd",$D8="6 dd",$D8="8 dd",$D8="12 dd",$D8="24 dd",$D8="an",$D8="zn"),VLOOKUP($D8,NeoTblTijden!$A$17:$Y$27,NeoTblTijden!F$15,FALSE),"")</f>
        <v/>
      </c>
      <c r="M8" s="463" t="str">
        <f>IF(OR($D8="1 dd",$D8="2 dd",$D8="3 dd",$D8="4 dd",$D8="5 dd",$D8="6 dd",$D8="8 dd",$D8="12 dd",$D8="24 dd",$D8="an",$D8="zn"),VLOOKUP($D8,NeoTblTijden!$A$17:$Y$27,NeoTblTijden!G$15,FALSE),"")</f>
        <v/>
      </c>
      <c r="N8" s="102" t="str">
        <f>IF(OR($D8="1 dd",$D8="2 dd",$D8="3 dd",$D8="4 dd",$D8="5 dd",$D8="6 dd",$D8="8 dd",$D8="12 dd",$D8="24 dd",$D8="an",$D8="zn"),VLOOKUP($D8,NeoTblTijden!$A$17:$Y$27,NeoTblTijden!H$15,FALSE),"")</f>
        <v/>
      </c>
      <c r="O8" s="463" t="str">
        <f>IF(OR($D8="1 dd",$D8="2 dd",$D8="3 dd",$D8="4 dd",$D8="5 dd",$D8="6 dd",$D8="8 dd",$D8="12 dd",$D8="24 dd",$D8="an",$D8="zn"),VLOOKUP($D8,NeoTblTijden!$A$17:$Y$27,NeoTblTijden!I$15,FALSE),"")</f>
        <v/>
      </c>
      <c r="P8" s="102" t="str">
        <f>IF(OR($D8="1 dd",$D8="2 dd",$D8="3 dd",$D8="4 dd",$D8="5 dd",$D8="6 dd",$D8="8 dd",$D8="12 dd",$D8="24 dd",$D8="an",$D8="zn"),VLOOKUP($D8,NeoTblTijden!$A$17:$Y$27,NeoTblTijden!J$15,FALSE),"")</f>
        <v/>
      </c>
      <c r="Q8" s="463" t="str">
        <f>IF(OR($D8="1 dd",$D8="2 dd",$D8="3 dd",$D8="4 dd",$D8="5 dd",$D8="6 dd",$D8="8 dd",$D8="12 dd",$D8="24 dd",$D8="an",$D8="zn"),VLOOKUP($D8,NeoTblTijden!$A$17:$Y$27,NeoTblTijden!K$15,FALSE),"")</f>
        <v/>
      </c>
      <c r="R8" s="102" t="str">
        <f>IF(OR($D8="1 dd",$D8="2 dd",$D8="3 dd",$D8="4 dd",$D8="5 dd",$D8="6 dd",$D8="8 dd",$D8="12 dd",$D8="24 dd",$D8="an",$D8="zn"),VLOOKUP($D8,NeoTblTijden!$A$17:$Y$27,NeoTblTijden!L$15,FALSE),"")</f>
        <v/>
      </c>
      <c r="S8" s="463" t="str">
        <f>IF(OR($D8="1 dd",$D8="2 dd",$D8="3 dd",$D8="4 dd",$D8="5 dd",$D8="6 dd",$D8="8 dd",$D8="12 dd",$D8="24 dd",$D8="an",$D8="zn"),VLOOKUP($D8,NeoTblTijden!$A$17:$Y$27,NeoTblTijden!M$15,FALSE),"")</f>
        <v/>
      </c>
      <c r="T8" s="102" t="str">
        <f>IF(OR($D8="1 dd",$D8="2 dd",$D8="3 dd",$D8="4 dd",$D8="5 dd",$D8="6 dd",$D8="8 dd",$D8="12 dd",$D8="24 dd",$D8="an",$D8="zn"),VLOOKUP($D8,NeoTblTijden!$A$17:$Y$27,NeoTblTijden!N$15,FALSE),"")</f>
        <v/>
      </c>
      <c r="U8" s="463" t="str">
        <f>IF(OR($D8="1 dd",$D8="2 dd",$D8="3 dd",$D8="4 dd",$D8="5 dd",$D8="6 dd",$D8="8 dd",$D8="12 dd",$D8="24 dd",$D8="an",$D8="zn"),VLOOKUP($D8,NeoTblTijden!$A$17:$Y$27,NeoTblTijden!O$15,FALSE),"")</f>
        <v/>
      </c>
      <c r="V8" s="102" t="str">
        <f>IF(OR($D8="1 dd",$D8="2 dd",$D8="3 dd",$D8="4 dd",$D8="5 dd",$D8="6 dd",$D8="8 dd",$D8="12 dd",$D8="24 dd",$D8="an",$D8="zn"),VLOOKUP($D8,NeoTblTijden!$A$17:$Y$27,NeoTblTijden!P$15,FALSE),"")</f>
        <v/>
      </c>
      <c r="W8" s="463" t="str">
        <f>IF(OR($D8="1 dd",$D8="2 dd",$D8="3 dd",$D8="4 dd",$D8="5 dd",$D8="6 dd",$D8="8 dd",$D8="12 dd",$D8="24 dd",$D8="an",$D8="zn"),VLOOKUP($D8,NeoTblTijden!$A$17:$Y$27,NeoTblTijden!Q$15,FALSE),"")</f>
        <v/>
      </c>
      <c r="X8" s="102" t="str">
        <f>IF(OR($D8="1 dd",$D8="2 dd",$D8="3 dd",$D8="4 dd",$D8="5 dd",$D8="6 dd",$D8="8 dd",$D8="12 dd",$D8="24 dd",$D8="an",$D8="zn"),VLOOKUP($D8,NeoTblTijden!$A$17:$Y$27,NeoTblTijden!R$15,FALSE),"")</f>
        <v/>
      </c>
      <c r="Y8" s="463" t="str">
        <f>IF(OR($D8="1 dd",$D8="2 dd",$D8="3 dd",$D8="4 dd",$D8="5 dd",$D8="6 dd",$D8="8 dd",$D8="12 dd",$D8="24 dd",$D8="an",$D8="zn"),VLOOKUP($D8,NeoTblTijden!$A$17:$Y$27,NeoTblTijden!S$15,FALSE),"")</f>
        <v/>
      </c>
      <c r="Z8" s="102" t="str">
        <f>IF(OR($D8="1 dd",$D8="2 dd",$D8="3 dd",$D8="4 dd",$D8="5 dd",$D8="6 dd",$D8="8 dd",$D8="12 dd",$D8="24 dd",$D8="an",$D8="zn"),VLOOKUP($D8,NeoTblTijden!$A$17:$Y$27,NeoTblTijden!T$15,FALSE),"")</f>
        <v/>
      </c>
      <c r="AA8" s="463" t="str">
        <f>IF(OR($D8="1 dd",$D8="2 dd",$D8="3 dd",$D8="4 dd",$D8="5 dd",$D8="6 dd",$D8="8 dd",$D8="12 dd",$D8="24 dd",$D8="an",$D8="zn"),VLOOKUP($D8,NeoTblTijden!$A$17:$Y$27,NeoTblTijden!U$15,FALSE),"")</f>
        <v/>
      </c>
      <c r="AB8" s="102" t="str">
        <f>IF(OR($D8="1 dd",$D8="2 dd",$D8="3 dd",$D8="4 dd",$D8="5 dd",$D8="6 dd",$D8="8 dd",$D8="12 dd",$D8="24 dd",$D8="an",$D8="zn"),VLOOKUP($D8,NeoTblTijden!$A$17:$Y$27,NeoTblTijden!V$15,FALSE),"")</f>
        <v/>
      </c>
      <c r="AC8" s="463" t="str">
        <f>IF(OR($D8="1 dd",$D8="2 dd",$D8="3 dd",$D8="4 dd",$D8="5 dd",$D8="6 dd",$D8="8 dd",$D8="12 dd",$D8="24 dd",$D8="an",$D8="zn"),VLOOKUP($D8,NeoTblTijden!$A$17:$Y$27,NeoTblTijden!W$15,FALSE),"")</f>
        <v/>
      </c>
      <c r="AD8" s="102" t="str">
        <f>IF(OR($D8="1 dd",$D8="2 dd",$D8="3 dd",$D8="4 dd",$D8="5 dd",$D8="6 dd",$D8="8 dd",$D8="12 dd",$D8="24 dd",$D8="an",$D8="zn"),VLOOKUP($D8,NeoTblTijden!$A$17:$Y$27,NeoTblTijden!X$15,FALSE),"")</f>
        <v/>
      </c>
      <c r="AE8" s="463" t="str">
        <f>IF(OR($D8="1 dd",$D8="2 dd",$D8="3 dd",$D8="4 dd",$D8="5 dd",$D8="6 dd",$D8="8 dd",$D8="12 dd",$D8="24 dd",$D8="an",$D8="zn"),VLOOKUP($D8,NeoTblTijden!$A$17:$Y$27,NeoTblTijden!Y$15,FALSE),"")</f>
        <v/>
      </c>
      <c r="AF8" s="101"/>
      <c r="AG8" s="16"/>
    </row>
    <row r="9" spans="1:33" ht="26.1" customHeight="1" x14ac:dyDescent="0.35">
      <c r="B9" s="103"/>
      <c r="C9" s="182" t="str">
        <f>IF(GlobBerMedDisc!C8&lt;&gt;"",IF(GlobBerMedDisc!C8&gt;1,TRIM(GlobBerMedDisc!C8)&amp;", "&amp;GlobBerOpm!C13&amp;" ("&amp;GlobBerMedDisc!M8&amp;" "&amp;GlobBerMedDisc!F8&amp;"/kg/dag)",TRIM(GlobBerMedDisc!C8)&amp;", "&amp;GlobBerOpm!C13),"")</f>
        <v/>
      </c>
      <c r="D9" s="183" t="str">
        <f>IF(GlobGuiMedDisc!H18&lt;&gt;"",GlobGuiMedDisc!H18,"")</f>
        <v/>
      </c>
      <c r="E9" s="184" t="str">
        <f>IF(AND(D9&lt;&gt;"",D9&lt;&gt;"STOP"),GlobBerMedDisc!H8&amp;" "&amp;GlobBerMedDisc!F8,"")</f>
        <v/>
      </c>
      <c r="F9" s="184" t="str">
        <f>IF(AND(D9&lt;&gt;"",D9&lt;&gt;"STOP"),GlobBerMedDisc!L8," ")</f>
        <v xml:space="preserve"> </v>
      </c>
      <c r="G9" s="184" t="str">
        <f>IF(GlobGuiMedDisc!L18&lt;&gt;"",GlobGuiMedDisc!L18&amp;" "&amp;GlobGuiMedDisc!M18&amp;" "&amp;INDEX(GlobBerMedDisc!$B$27:$B$30,GlobBerMedDisc!O8,1)&amp;" in "&amp;GlobGuiMedDisc!$O$18,"")</f>
        <v/>
      </c>
      <c r="H9" s="102" t="str">
        <f>IF(OR($D9="1 dd",$D9="2 dd",$D9="3 dd",$D9="4 dd",$D9="5 dd",$D9="6 dd",$D9="8 dd",$D9="12 dd",$D9="24 dd",$D9="an",$D9="zn"),VLOOKUP($D9,NeoTblTijden!$A$17:$Y$27,NeoTblTijden!B$15,FALSE),"")</f>
        <v/>
      </c>
      <c r="I9" s="463" t="str">
        <f>IF(OR($D9="1 dd",$D9="2 dd",$D9="3 dd",$D9="4 dd",$D9="5 dd",$D9="6 dd",$D9="8 dd",$D9="12 dd",$D9="24 dd",$D9="an",$D9="zn"),VLOOKUP($D9,NeoTblTijden!$A$17:$Y$27,NeoTblTijden!C$15,FALSE),"")</f>
        <v/>
      </c>
      <c r="J9" s="102" t="str">
        <f>IF(OR($D9="1 dd",$D9="2 dd",$D9="3 dd",$D9="4 dd",$D9="5 dd",$D9="6 dd",$D9="8 dd",$D9="12 dd",$D9="24 dd",$D9="an",$D9="zn"),VLOOKUP($D9,NeoTblTijden!$A$17:$Y$27,NeoTblTijden!D$15,FALSE),"")</f>
        <v/>
      </c>
      <c r="K9" s="463" t="str">
        <f>IF(OR($D9="1 dd",$D9="2 dd",$D9="3 dd",$D9="4 dd",$D9="5 dd",$D9="6 dd",$D9="8 dd",$D9="12 dd",$D9="24 dd",$D9="an",$D9="zn"),VLOOKUP($D9,NeoTblTijden!$A$17:$Y$27,NeoTblTijden!E$15,FALSE),"")</f>
        <v/>
      </c>
      <c r="L9" s="102" t="str">
        <f>IF(OR($D9="1 dd",$D9="2 dd",$D9="3 dd",$D9="4 dd",$D9="5 dd",$D9="6 dd",$D9="8 dd",$D9="12 dd",$D9="24 dd",$D9="an",$D9="zn"),VLOOKUP($D9,NeoTblTijden!$A$17:$Y$27,NeoTblTijden!F$15,FALSE),"")</f>
        <v/>
      </c>
      <c r="M9" s="463" t="str">
        <f>IF(OR($D9="1 dd",$D9="2 dd",$D9="3 dd",$D9="4 dd",$D9="5 dd",$D9="6 dd",$D9="8 dd",$D9="12 dd",$D9="24 dd",$D9="an",$D9="zn"),VLOOKUP($D9,NeoTblTijden!$A$17:$Y$27,NeoTblTijden!G$15,FALSE),"")</f>
        <v/>
      </c>
      <c r="N9" s="102" t="str">
        <f>IF(OR($D9="1 dd",$D9="2 dd",$D9="3 dd",$D9="4 dd",$D9="5 dd",$D9="6 dd",$D9="8 dd",$D9="12 dd",$D9="24 dd",$D9="an",$D9="zn"),VLOOKUP($D9,NeoTblTijden!$A$17:$Y$27,NeoTblTijden!H$15,FALSE),"")</f>
        <v/>
      </c>
      <c r="O9" s="463" t="str">
        <f>IF(OR($D9="1 dd",$D9="2 dd",$D9="3 dd",$D9="4 dd",$D9="5 dd",$D9="6 dd",$D9="8 dd",$D9="12 dd",$D9="24 dd",$D9="an",$D9="zn"),VLOOKUP($D9,NeoTblTijden!$A$17:$Y$27,NeoTblTijden!I$15,FALSE),"")</f>
        <v/>
      </c>
      <c r="P9" s="102" t="str">
        <f>IF(OR($D9="1 dd",$D9="2 dd",$D9="3 dd",$D9="4 dd",$D9="5 dd",$D9="6 dd",$D9="8 dd",$D9="12 dd",$D9="24 dd",$D9="an",$D9="zn"),VLOOKUP($D9,NeoTblTijden!$A$17:$Y$27,NeoTblTijden!J$15,FALSE),"")</f>
        <v/>
      </c>
      <c r="Q9" s="463" t="str">
        <f>IF(OR($D9="1 dd",$D9="2 dd",$D9="3 dd",$D9="4 dd",$D9="5 dd",$D9="6 dd",$D9="8 dd",$D9="12 dd",$D9="24 dd",$D9="an",$D9="zn"),VLOOKUP($D9,NeoTblTijden!$A$17:$Y$27,NeoTblTijden!K$15,FALSE),"")</f>
        <v/>
      </c>
      <c r="R9" s="102" t="str">
        <f>IF(OR($D9="1 dd",$D9="2 dd",$D9="3 dd",$D9="4 dd",$D9="5 dd",$D9="6 dd",$D9="8 dd",$D9="12 dd",$D9="24 dd",$D9="an",$D9="zn"),VLOOKUP($D9,NeoTblTijden!$A$17:$Y$27,NeoTblTijden!L$15,FALSE),"")</f>
        <v/>
      </c>
      <c r="S9" s="463" t="str">
        <f>IF(OR($D9="1 dd",$D9="2 dd",$D9="3 dd",$D9="4 dd",$D9="5 dd",$D9="6 dd",$D9="8 dd",$D9="12 dd",$D9="24 dd",$D9="an",$D9="zn"),VLOOKUP($D9,NeoTblTijden!$A$17:$Y$27,NeoTblTijden!M$15,FALSE),"")</f>
        <v/>
      </c>
      <c r="T9" s="102" t="str">
        <f>IF(OR($D9="1 dd",$D9="2 dd",$D9="3 dd",$D9="4 dd",$D9="5 dd",$D9="6 dd",$D9="8 dd",$D9="12 dd",$D9="24 dd",$D9="an",$D9="zn"),VLOOKUP($D9,NeoTblTijden!$A$17:$Y$27,NeoTblTijden!N$15,FALSE),"")</f>
        <v/>
      </c>
      <c r="U9" s="463" t="str">
        <f>IF(OR($D9="1 dd",$D9="2 dd",$D9="3 dd",$D9="4 dd",$D9="5 dd",$D9="6 dd",$D9="8 dd",$D9="12 dd",$D9="24 dd",$D9="an",$D9="zn"),VLOOKUP($D9,NeoTblTijden!$A$17:$Y$27,NeoTblTijden!O$15,FALSE),"")</f>
        <v/>
      </c>
      <c r="V9" s="102" t="str">
        <f>IF(OR($D9="1 dd",$D9="2 dd",$D9="3 dd",$D9="4 dd",$D9="5 dd",$D9="6 dd",$D9="8 dd",$D9="12 dd",$D9="24 dd",$D9="an",$D9="zn"),VLOOKUP($D9,NeoTblTijden!$A$17:$Y$27,NeoTblTijden!P$15,FALSE),"")</f>
        <v/>
      </c>
      <c r="W9" s="463" t="str">
        <f>IF(OR($D9="1 dd",$D9="2 dd",$D9="3 dd",$D9="4 dd",$D9="5 dd",$D9="6 dd",$D9="8 dd",$D9="12 dd",$D9="24 dd",$D9="an",$D9="zn"),VLOOKUP($D9,NeoTblTijden!$A$17:$Y$27,NeoTblTijden!Q$15,FALSE),"")</f>
        <v/>
      </c>
      <c r="X9" s="102" t="str">
        <f>IF(OR($D9="1 dd",$D9="2 dd",$D9="3 dd",$D9="4 dd",$D9="5 dd",$D9="6 dd",$D9="8 dd",$D9="12 dd",$D9="24 dd",$D9="an",$D9="zn"),VLOOKUP($D9,NeoTblTijden!$A$17:$Y$27,NeoTblTijden!R$15,FALSE),"")</f>
        <v/>
      </c>
      <c r="Y9" s="463" t="str">
        <f>IF(OR($D9="1 dd",$D9="2 dd",$D9="3 dd",$D9="4 dd",$D9="5 dd",$D9="6 dd",$D9="8 dd",$D9="12 dd",$D9="24 dd",$D9="an",$D9="zn"),VLOOKUP($D9,NeoTblTijden!$A$17:$Y$27,NeoTblTijden!S$15,FALSE),"")</f>
        <v/>
      </c>
      <c r="Z9" s="102" t="str">
        <f>IF(OR($D9="1 dd",$D9="2 dd",$D9="3 dd",$D9="4 dd",$D9="5 dd",$D9="6 dd",$D9="8 dd",$D9="12 dd",$D9="24 dd",$D9="an",$D9="zn"),VLOOKUP($D9,NeoTblTijden!$A$17:$Y$27,NeoTblTijden!T$15,FALSE),"")</f>
        <v/>
      </c>
      <c r="AA9" s="463" t="str">
        <f>IF(OR($D9="1 dd",$D9="2 dd",$D9="3 dd",$D9="4 dd",$D9="5 dd",$D9="6 dd",$D9="8 dd",$D9="12 dd",$D9="24 dd",$D9="an",$D9="zn"),VLOOKUP($D9,NeoTblTijden!$A$17:$Y$27,NeoTblTijden!U$15,FALSE),"")</f>
        <v/>
      </c>
      <c r="AB9" s="102" t="str">
        <f>IF(OR($D9="1 dd",$D9="2 dd",$D9="3 dd",$D9="4 dd",$D9="5 dd",$D9="6 dd",$D9="8 dd",$D9="12 dd",$D9="24 dd",$D9="an",$D9="zn"),VLOOKUP($D9,NeoTblTijden!$A$17:$Y$27,NeoTblTijden!V$15,FALSE),"")</f>
        <v/>
      </c>
      <c r="AC9" s="463" t="str">
        <f>IF(OR($D9="1 dd",$D9="2 dd",$D9="3 dd",$D9="4 dd",$D9="5 dd",$D9="6 dd",$D9="8 dd",$D9="12 dd",$D9="24 dd",$D9="an",$D9="zn"),VLOOKUP($D9,NeoTblTijden!$A$17:$Y$27,NeoTblTijden!W$15,FALSE),"")</f>
        <v/>
      </c>
      <c r="AD9" s="102" t="str">
        <f>IF(OR($D9="1 dd",$D9="2 dd",$D9="3 dd",$D9="4 dd",$D9="5 dd",$D9="6 dd",$D9="8 dd",$D9="12 dd",$D9="24 dd",$D9="an",$D9="zn"),VLOOKUP($D9,NeoTblTijden!$A$17:$Y$27,NeoTblTijden!X$15,FALSE),"")</f>
        <v/>
      </c>
      <c r="AE9" s="463" t="str">
        <f>IF(OR($D9="1 dd",$D9="2 dd",$D9="3 dd",$D9="4 dd",$D9="5 dd",$D9="6 dd",$D9="8 dd",$D9="12 dd",$D9="24 dd",$D9="an",$D9="zn"),VLOOKUP($D9,NeoTblTijden!$A$17:$Y$27,NeoTblTijden!Y$15,FALSE),"")</f>
        <v/>
      </c>
      <c r="AF9" s="101"/>
      <c r="AG9" s="16"/>
    </row>
    <row r="10" spans="1:33" ht="26.1" customHeight="1" x14ac:dyDescent="0.35">
      <c r="B10" s="103"/>
      <c r="C10" s="182" t="str">
        <f>IF(GlobBerMedDisc!C9&lt;&gt;"",IF(GlobBerMedDisc!C9&gt;1,TRIM(GlobBerMedDisc!C9)&amp;", "&amp;GlobBerOpm!C14&amp;" ("&amp;GlobBerMedDisc!M9&amp;" "&amp;GlobBerMedDisc!F9&amp;"/kg/dag)",TRIM(GlobBerMedDisc!C9)&amp;", "&amp;GlobBerOpm!C14),"")</f>
        <v/>
      </c>
      <c r="D10" s="183" t="str">
        <f>IF(GlobGuiMedDisc!H20&lt;&gt;"",GlobGuiMedDisc!H20,"")</f>
        <v/>
      </c>
      <c r="E10" s="184" t="str">
        <f>IF(AND(D10&lt;&gt;"",D10&lt;&gt;"STOP"),GlobBerMedDisc!H9&amp;" "&amp;GlobBerMedDisc!F9,"")</f>
        <v/>
      </c>
      <c r="F10" s="184" t="str">
        <f>IF(AND(D10&lt;&gt;"",D10&lt;&gt;"STOP"),GlobBerMedDisc!L9," ")</f>
        <v xml:space="preserve"> </v>
      </c>
      <c r="G10" s="184" t="str">
        <f>IF(GlobGuiMedDisc!L20&lt;&gt;"",GlobGuiMedDisc!L20&amp;" "&amp;GlobGuiMedDisc!M20&amp;" "&amp;INDEX(GlobBerMedDisc!$B$27:$B$30,GlobBerMedDisc!O9,1)&amp;" in "&amp;GlobGuiMedDisc!$O$20,"")</f>
        <v/>
      </c>
      <c r="H10" s="102" t="str">
        <f>IF(OR($D10="1 dd",$D10="2 dd",$D10="3 dd",$D10="4 dd",$D10="5 dd",$D10="6 dd",$D10="8 dd",$D10="12 dd",$D10="24 dd",$D10="an",$D10="zn"),VLOOKUP($D10,NeoTblTijden!$A$17:$Y$27,NeoTblTijden!B$15,FALSE),"")</f>
        <v/>
      </c>
      <c r="I10" s="463" t="str">
        <f>IF(OR($D10="1 dd",$D10="2 dd",$D10="3 dd",$D10="4 dd",$D10="5 dd",$D10="6 dd",$D10="8 dd",$D10="12 dd",$D10="24 dd",$D10="an",$D10="zn"),VLOOKUP($D10,NeoTblTijden!$A$17:$Y$27,NeoTblTijden!C$15,FALSE),"")</f>
        <v/>
      </c>
      <c r="J10" s="102" t="str">
        <f>IF(OR($D10="1 dd",$D10="2 dd",$D10="3 dd",$D10="4 dd",$D10="5 dd",$D10="6 dd",$D10="8 dd",$D10="12 dd",$D10="24 dd",$D10="an",$D10="zn"),VLOOKUP($D10,NeoTblTijden!$A$17:$Y$27,NeoTblTijden!D$15,FALSE),"")</f>
        <v/>
      </c>
      <c r="K10" s="463" t="str">
        <f>IF(OR($D10="1 dd",$D10="2 dd",$D10="3 dd",$D10="4 dd",$D10="5 dd",$D10="6 dd",$D10="8 dd",$D10="12 dd",$D10="24 dd",$D10="an",$D10="zn"),VLOOKUP($D10,NeoTblTijden!$A$17:$Y$27,NeoTblTijden!E$15,FALSE),"")</f>
        <v/>
      </c>
      <c r="L10" s="102" t="str">
        <f>IF(OR($D10="1 dd",$D10="2 dd",$D10="3 dd",$D10="4 dd",$D10="5 dd",$D10="6 dd",$D10="8 dd",$D10="12 dd",$D10="24 dd",$D10="an",$D10="zn"),VLOOKUP($D10,NeoTblTijden!$A$17:$Y$27,NeoTblTijden!F$15,FALSE),"")</f>
        <v/>
      </c>
      <c r="M10" s="463" t="str">
        <f>IF(OR($D10="1 dd",$D10="2 dd",$D10="3 dd",$D10="4 dd",$D10="5 dd",$D10="6 dd",$D10="8 dd",$D10="12 dd",$D10="24 dd",$D10="an",$D10="zn"),VLOOKUP($D10,NeoTblTijden!$A$17:$Y$27,NeoTblTijden!G$15,FALSE),"")</f>
        <v/>
      </c>
      <c r="N10" s="102" t="str">
        <f>IF(OR($D10="1 dd",$D10="2 dd",$D10="3 dd",$D10="4 dd",$D10="5 dd",$D10="6 dd",$D10="8 dd",$D10="12 dd",$D10="24 dd",$D10="an",$D10="zn"),VLOOKUP($D10,NeoTblTijden!$A$17:$Y$27,NeoTblTijden!H$15,FALSE),"")</f>
        <v/>
      </c>
      <c r="O10" s="463" t="str">
        <f>IF(OR($D10="1 dd",$D10="2 dd",$D10="3 dd",$D10="4 dd",$D10="5 dd",$D10="6 dd",$D10="8 dd",$D10="12 dd",$D10="24 dd",$D10="an",$D10="zn"),VLOOKUP($D10,NeoTblTijden!$A$17:$Y$27,NeoTblTijden!I$15,FALSE),"")</f>
        <v/>
      </c>
      <c r="P10" s="102" t="str">
        <f>IF(OR($D10="1 dd",$D10="2 dd",$D10="3 dd",$D10="4 dd",$D10="5 dd",$D10="6 dd",$D10="8 dd",$D10="12 dd",$D10="24 dd",$D10="an",$D10="zn"),VLOOKUP($D10,NeoTblTijden!$A$17:$Y$27,NeoTblTijden!J$15,FALSE),"")</f>
        <v/>
      </c>
      <c r="Q10" s="463" t="str">
        <f>IF(OR($D10="1 dd",$D10="2 dd",$D10="3 dd",$D10="4 dd",$D10="5 dd",$D10="6 dd",$D10="8 dd",$D10="12 dd",$D10="24 dd",$D10="an",$D10="zn"),VLOOKUP($D10,NeoTblTijden!$A$17:$Y$27,NeoTblTijden!K$15,FALSE),"")</f>
        <v/>
      </c>
      <c r="R10" s="102" t="str">
        <f>IF(OR($D10="1 dd",$D10="2 dd",$D10="3 dd",$D10="4 dd",$D10="5 dd",$D10="6 dd",$D10="8 dd",$D10="12 dd",$D10="24 dd",$D10="an",$D10="zn"),VLOOKUP($D10,NeoTblTijden!$A$17:$Y$27,NeoTblTijden!L$15,FALSE),"")</f>
        <v/>
      </c>
      <c r="S10" s="463" t="str">
        <f>IF(OR($D10="1 dd",$D10="2 dd",$D10="3 dd",$D10="4 dd",$D10="5 dd",$D10="6 dd",$D10="8 dd",$D10="12 dd",$D10="24 dd",$D10="an",$D10="zn"),VLOOKUP($D10,NeoTblTijden!$A$17:$Y$27,NeoTblTijden!M$15,FALSE),"")</f>
        <v/>
      </c>
      <c r="T10" s="102" t="str">
        <f>IF(OR($D10="1 dd",$D10="2 dd",$D10="3 dd",$D10="4 dd",$D10="5 dd",$D10="6 dd",$D10="8 dd",$D10="12 dd",$D10="24 dd",$D10="an",$D10="zn"),VLOOKUP($D10,NeoTblTijden!$A$17:$Y$27,NeoTblTijden!N$15,FALSE),"")</f>
        <v/>
      </c>
      <c r="U10" s="463" t="str">
        <f>IF(OR($D10="1 dd",$D10="2 dd",$D10="3 dd",$D10="4 dd",$D10="5 dd",$D10="6 dd",$D10="8 dd",$D10="12 dd",$D10="24 dd",$D10="an",$D10="zn"),VLOOKUP($D10,NeoTblTijden!$A$17:$Y$27,NeoTblTijden!O$15,FALSE),"")</f>
        <v/>
      </c>
      <c r="V10" s="102" t="str">
        <f>IF(OR($D10="1 dd",$D10="2 dd",$D10="3 dd",$D10="4 dd",$D10="5 dd",$D10="6 dd",$D10="8 dd",$D10="12 dd",$D10="24 dd",$D10="an",$D10="zn"),VLOOKUP($D10,NeoTblTijden!$A$17:$Y$27,NeoTblTijden!P$15,FALSE),"")</f>
        <v/>
      </c>
      <c r="W10" s="463" t="str">
        <f>IF(OR($D10="1 dd",$D10="2 dd",$D10="3 dd",$D10="4 dd",$D10="5 dd",$D10="6 dd",$D10="8 dd",$D10="12 dd",$D10="24 dd",$D10="an",$D10="zn"),VLOOKUP($D10,NeoTblTijden!$A$17:$Y$27,NeoTblTijden!Q$15,FALSE),"")</f>
        <v/>
      </c>
      <c r="X10" s="102" t="str">
        <f>IF(OR($D10="1 dd",$D10="2 dd",$D10="3 dd",$D10="4 dd",$D10="5 dd",$D10="6 dd",$D10="8 dd",$D10="12 dd",$D10="24 dd",$D10="an",$D10="zn"),VLOOKUP($D10,NeoTblTijden!$A$17:$Y$27,NeoTblTijden!R$15,FALSE),"")</f>
        <v/>
      </c>
      <c r="Y10" s="463" t="str">
        <f>IF(OR($D10="1 dd",$D10="2 dd",$D10="3 dd",$D10="4 dd",$D10="5 dd",$D10="6 dd",$D10="8 dd",$D10="12 dd",$D10="24 dd",$D10="an",$D10="zn"),VLOOKUP($D10,NeoTblTijden!$A$17:$Y$27,NeoTblTijden!S$15,FALSE),"")</f>
        <v/>
      </c>
      <c r="Z10" s="102" t="str">
        <f>IF(OR($D10="1 dd",$D10="2 dd",$D10="3 dd",$D10="4 dd",$D10="5 dd",$D10="6 dd",$D10="8 dd",$D10="12 dd",$D10="24 dd",$D10="an",$D10="zn"),VLOOKUP($D10,NeoTblTijden!$A$17:$Y$27,NeoTblTijden!T$15,FALSE),"")</f>
        <v/>
      </c>
      <c r="AA10" s="463" t="str">
        <f>IF(OR($D10="1 dd",$D10="2 dd",$D10="3 dd",$D10="4 dd",$D10="5 dd",$D10="6 dd",$D10="8 dd",$D10="12 dd",$D10="24 dd",$D10="an",$D10="zn"),VLOOKUP($D10,NeoTblTijden!$A$17:$Y$27,NeoTblTijden!U$15,FALSE),"")</f>
        <v/>
      </c>
      <c r="AB10" s="102" t="str">
        <f>IF(OR($D10="1 dd",$D10="2 dd",$D10="3 dd",$D10="4 dd",$D10="5 dd",$D10="6 dd",$D10="8 dd",$D10="12 dd",$D10="24 dd",$D10="an",$D10="zn"),VLOOKUP($D10,NeoTblTijden!$A$17:$Y$27,NeoTblTijden!V$15,FALSE),"")</f>
        <v/>
      </c>
      <c r="AC10" s="463" t="str">
        <f>IF(OR($D10="1 dd",$D10="2 dd",$D10="3 dd",$D10="4 dd",$D10="5 dd",$D10="6 dd",$D10="8 dd",$D10="12 dd",$D10="24 dd",$D10="an",$D10="zn"),VLOOKUP($D10,NeoTblTijden!$A$17:$Y$27,NeoTblTijden!W$15,FALSE),"")</f>
        <v/>
      </c>
      <c r="AD10" s="102" t="str">
        <f>IF(OR($D10="1 dd",$D10="2 dd",$D10="3 dd",$D10="4 dd",$D10="5 dd",$D10="6 dd",$D10="8 dd",$D10="12 dd",$D10="24 dd",$D10="an",$D10="zn"),VLOOKUP($D10,NeoTblTijden!$A$17:$Y$27,NeoTblTijden!X$15,FALSE),"")</f>
        <v/>
      </c>
      <c r="AE10" s="463" t="str">
        <f>IF(OR($D10="1 dd",$D10="2 dd",$D10="3 dd",$D10="4 dd",$D10="5 dd",$D10="6 dd",$D10="8 dd",$D10="12 dd",$D10="24 dd",$D10="an",$D10="zn"),VLOOKUP($D10,NeoTblTijden!$A$17:$Y$27,NeoTblTijden!Y$15,FALSE),"")</f>
        <v/>
      </c>
      <c r="AF10" s="101"/>
      <c r="AG10" s="16"/>
    </row>
    <row r="11" spans="1:33" ht="26.1" customHeight="1" x14ac:dyDescent="0.35">
      <c r="B11" s="103"/>
      <c r="C11" s="182" t="str">
        <f>IF(GlobBerMedDisc!C10&lt;&gt;"",IF(GlobBerMedDisc!C10&gt;1,TRIM(GlobBerMedDisc!C10)&amp;", "&amp;GlobBerOpm!C15&amp;" ("&amp;GlobBerMedDisc!M10&amp;" "&amp;GlobBerMedDisc!F10&amp;"/kg/dag)",TRIM(GlobBerMedDisc!C10)&amp;", "&amp;GlobBerOpm!C15),"")</f>
        <v/>
      </c>
      <c r="D11" s="183" t="str">
        <f>IF(GlobGuiMedDisc!H22&lt;&gt;"",GlobGuiMedDisc!H22,"")</f>
        <v/>
      </c>
      <c r="E11" s="184" t="str">
        <f>IF(AND(D11&lt;&gt;"",D11&lt;&gt;"STOP"),GlobBerMedDisc!H10&amp;" "&amp;GlobBerMedDisc!F10,"")</f>
        <v/>
      </c>
      <c r="F11" s="184" t="str">
        <f>IF(AND(D11&lt;&gt;"",D11&lt;&gt;"STOP"),GlobBerMedDisc!L10," ")</f>
        <v xml:space="preserve"> </v>
      </c>
      <c r="G11" s="184" t="str">
        <f>IF(GlobGuiMedDisc!L22&lt;&gt;"",GlobGuiMedDisc!L22&amp;" "&amp;GlobGuiMedDisc!M22&amp;" "&amp;INDEX(GlobBerMedDisc!$B$27:$B$30,GlobBerMedDisc!O10,1)&amp;" in "&amp;GlobGuiMedDisc!$O$22,"")</f>
        <v/>
      </c>
      <c r="H11" s="102" t="str">
        <f>IF(OR($D11="1 dd",$D11="2 dd",$D11="3 dd",$D11="4 dd",$D11="5 dd",$D11="6 dd",$D11="8 dd",$D11="12 dd",$D11="24 dd",$D11="an",$D11="zn"),VLOOKUP($D11,NeoTblTijden!$A$17:$Y$27,NeoTblTijden!B$15,FALSE),"")</f>
        <v/>
      </c>
      <c r="I11" s="463" t="str">
        <f>IF(OR($D11="1 dd",$D11="2 dd",$D11="3 dd",$D11="4 dd",$D11="5 dd",$D11="6 dd",$D11="8 dd",$D11="12 dd",$D11="24 dd",$D11="an",$D11="zn"),VLOOKUP($D11,NeoTblTijden!$A$17:$Y$27,NeoTblTijden!C$15,FALSE),"")</f>
        <v/>
      </c>
      <c r="J11" s="102" t="str">
        <f>IF(OR($D11="1 dd",$D11="2 dd",$D11="3 dd",$D11="4 dd",$D11="5 dd",$D11="6 dd",$D11="8 dd",$D11="12 dd",$D11="24 dd",$D11="an",$D11="zn"),VLOOKUP($D11,NeoTblTijden!$A$17:$Y$27,NeoTblTijden!D$15,FALSE),"")</f>
        <v/>
      </c>
      <c r="K11" s="463" t="str">
        <f>IF(OR($D11="1 dd",$D11="2 dd",$D11="3 dd",$D11="4 dd",$D11="5 dd",$D11="6 dd",$D11="8 dd",$D11="12 dd",$D11="24 dd",$D11="an",$D11="zn"),VLOOKUP($D11,NeoTblTijden!$A$17:$Y$27,NeoTblTijden!E$15,FALSE),"")</f>
        <v/>
      </c>
      <c r="L11" s="102" t="str">
        <f>IF(OR($D11="1 dd",$D11="2 dd",$D11="3 dd",$D11="4 dd",$D11="5 dd",$D11="6 dd",$D11="8 dd",$D11="12 dd",$D11="24 dd",$D11="an",$D11="zn"),VLOOKUP($D11,NeoTblTijden!$A$17:$Y$27,NeoTblTijden!F$15,FALSE),"")</f>
        <v/>
      </c>
      <c r="M11" s="463" t="str">
        <f>IF(OR($D11="1 dd",$D11="2 dd",$D11="3 dd",$D11="4 dd",$D11="5 dd",$D11="6 dd",$D11="8 dd",$D11="12 dd",$D11="24 dd",$D11="an",$D11="zn"),VLOOKUP($D11,NeoTblTijden!$A$17:$Y$27,NeoTblTijden!G$15,FALSE),"")</f>
        <v/>
      </c>
      <c r="N11" s="102" t="str">
        <f>IF(OR($D11="1 dd",$D11="2 dd",$D11="3 dd",$D11="4 dd",$D11="5 dd",$D11="6 dd",$D11="8 dd",$D11="12 dd",$D11="24 dd",$D11="an",$D11="zn"),VLOOKUP($D11,NeoTblTijden!$A$17:$Y$27,NeoTblTijden!H$15,FALSE),"")</f>
        <v/>
      </c>
      <c r="O11" s="463" t="str">
        <f>IF(OR($D11="1 dd",$D11="2 dd",$D11="3 dd",$D11="4 dd",$D11="5 dd",$D11="6 dd",$D11="8 dd",$D11="12 dd",$D11="24 dd",$D11="an",$D11="zn"),VLOOKUP($D11,NeoTblTijden!$A$17:$Y$27,NeoTblTijden!I$15,FALSE),"")</f>
        <v/>
      </c>
      <c r="P11" s="102" t="str">
        <f>IF(OR($D11="1 dd",$D11="2 dd",$D11="3 dd",$D11="4 dd",$D11="5 dd",$D11="6 dd",$D11="8 dd",$D11="12 dd",$D11="24 dd",$D11="an",$D11="zn"),VLOOKUP($D11,NeoTblTijden!$A$17:$Y$27,NeoTblTijden!J$15,FALSE),"")</f>
        <v/>
      </c>
      <c r="Q11" s="463" t="str">
        <f>IF(OR($D11="1 dd",$D11="2 dd",$D11="3 dd",$D11="4 dd",$D11="5 dd",$D11="6 dd",$D11="8 dd",$D11="12 dd",$D11="24 dd",$D11="an",$D11="zn"),VLOOKUP($D11,NeoTblTijden!$A$17:$Y$27,NeoTblTijden!K$15,FALSE),"")</f>
        <v/>
      </c>
      <c r="R11" s="102" t="str">
        <f>IF(OR($D11="1 dd",$D11="2 dd",$D11="3 dd",$D11="4 dd",$D11="5 dd",$D11="6 dd",$D11="8 dd",$D11="12 dd",$D11="24 dd",$D11="an",$D11="zn"),VLOOKUP($D11,NeoTblTijden!$A$17:$Y$27,NeoTblTijden!L$15,FALSE),"")</f>
        <v/>
      </c>
      <c r="S11" s="463" t="str">
        <f>IF(OR($D11="1 dd",$D11="2 dd",$D11="3 dd",$D11="4 dd",$D11="5 dd",$D11="6 dd",$D11="8 dd",$D11="12 dd",$D11="24 dd",$D11="an",$D11="zn"),VLOOKUP($D11,NeoTblTijden!$A$17:$Y$27,NeoTblTijden!M$15,FALSE),"")</f>
        <v/>
      </c>
      <c r="T11" s="102" t="str">
        <f>IF(OR($D11="1 dd",$D11="2 dd",$D11="3 dd",$D11="4 dd",$D11="5 dd",$D11="6 dd",$D11="8 dd",$D11="12 dd",$D11="24 dd",$D11="an",$D11="zn"),VLOOKUP($D11,NeoTblTijden!$A$17:$Y$27,NeoTblTijden!N$15,FALSE),"")</f>
        <v/>
      </c>
      <c r="U11" s="463" t="str">
        <f>IF(OR($D11="1 dd",$D11="2 dd",$D11="3 dd",$D11="4 dd",$D11="5 dd",$D11="6 dd",$D11="8 dd",$D11="12 dd",$D11="24 dd",$D11="an",$D11="zn"),VLOOKUP($D11,NeoTblTijden!$A$17:$Y$27,NeoTblTijden!O$15,FALSE),"")</f>
        <v/>
      </c>
      <c r="V11" s="102" t="str">
        <f>IF(OR($D11="1 dd",$D11="2 dd",$D11="3 dd",$D11="4 dd",$D11="5 dd",$D11="6 dd",$D11="8 dd",$D11="12 dd",$D11="24 dd",$D11="an",$D11="zn"),VLOOKUP($D11,NeoTblTijden!$A$17:$Y$27,NeoTblTijden!P$15,FALSE),"")</f>
        <v/>
      </c>
      <c r="W11" s="463" t="str">
        <f>IF(OR($D11="1 dd",$D11="2 dd",$D11="3 dd",$D11="4 dd",$D11="5 dd",$D11="6 dd",$D11="8 dd",$D11="12 dd",$D11="24 dd",$D11="an",$D11="zn"),VLOOKUP($D11,NeoTblTijden!$A$17:$Y$27,NeoTblTijden!Q$15,FALSE),"")</f>
        <v/>
      </c>
      <c r="X11" s="102" t="str">
        <f>IF(OR($D11="1 dd",$D11="2 dd",$D11="3 dd",$D11="4 dd",$D11="5 dd",$D11="6 dd",$D11="8 dd",$D11="12 dd",$D11="24 dd",$D11="an",$D11="zn"),VLOOKUP($D11,NeoTblTijden!$A$17:$Y$27,NeoTblTijden!R$15,FALSE),"")</f>
        <v/>
      </c>
      <c r="Y11" s="463" t="str">
        <f>IF(OR($D11="1 dd",$D11="2 dd",$D11="3 dd",$D11="4 dd",$D11="5 dd",$D11="6 dd",$D11="8 dd",$D11="12 dd",$D11="24 dd",$D11="an",$D11="zn"),VLOOKUP($D11,NeoTblTijden!$A$17:$Y$27,NeoTblTijden!S$15,FALSE),"")</f>
        <v/>
      </c>
      <c r="Z11" s="102" t="str">
        <f>IF(OR($D11="1 dd",$D11="2 dd",$D11="3 dd",$D11="4 dd",$D11="5 dd",$D11="6 dd",$D11="8 dd",$D11="12 dd",$D11="24 dd",$D11="an",$D11="zn"),VLOOKUP($D11,NeoTblTijden!$A$17:$Y$27,NeoTblTijden!T$15,FALSE),"")</f>
        <v/>
      </c>
      <c r="AA11" s="463" t="str">
        <f>IF(OR($D11="1 dd",$D11="2 dd",$D11="3 dd",$D11="4 dd",$D11="5 dd",$D11="6 dd",$D11="8 dd",$D11="12 dd",$D11="24 dd",$D11="an",$D11="zn"),VLOOKUP($D11,NeoTblTijden!$A$17:$Y$27,NeoTblTijden!U$15,FALSE),"")</f>
        <v/>
      </c>
      <c r="AB11" s="102" t="str">
        <f>IF(OR($D11="1 dd",$D11="2 dd",$D11="3 dd",$D11="4 dd",$D11="5 dd",$D11="6 dd",$D11="8 dd",$D11="12 dd",$D11="24 dd",$D11="an",$D11="zn"),VLOOKUP($D11,NeoTblTijden!$A$17:$Y$27,NeoTblTijden!V$15,FALSE),"")</f>
        <v/>
      </c>
      <c r="AC11" s="463" t="str">
        <f>IF(OR($D11="1 dd",$D11="2 dd",$D11="3 dd",$D11="4 dd",$D11="5 dd",$D11="6 dd",$D11="8 dd",$D11="12 dd",$D11="24 dd",$D11="an",$D11="zn"),VLOOKUP($D11,NeoTblTijden!$A$17:$Y$27,NeoTblTijden!W$15,FALSE),"")</f>
        <v/>
      </c>
      <c r="AD11" s="102" t="str">
        <f>IF(OR($D11="1 dd",$D11="2 dd",$D11="3 dd",$D11="4 dd",$D11="5 dd",$D11="6 dd",$D11="8 dd",$D11="12 dd",$D11="24 dd",$D11="an",$D11="zn"),VLOOKUP($D11,NeoTblTijden!$A$17:$Y$27,NeoTblTijden!X$15,FALSE),"")</f>
        <v/>
      </c>
      <c r="AE11" s="463" t="str">
        <f>IF(OR($D11="1 dd",$D11="2 dd",$D11="3 dd",$D11="4 dd",$D11="5 dd",$D11="6 dd",$D11="8 dd",$D11="12 dd",$D11="24 dd",$D11="an",$D11="zn"),VLOOKUP($D11,NeoTblTijden!$A$17:$Y$27,NeoTblTijden!Y$15,FALSE),"")</f>
        <v/>
      </c>
      <c r="AF11" s="101"/>
      <c r="AG11" s="16"/>
    </row>
    <row r="12" spans="1:33" ht="26.1" customHeight="1" x14ac:dyDescent="0.35">
      <c r="B12" s="103"/>
      <c r="C12" s="182" t="str">
        <f>IF(GlobBerMedDisc!C11&lt;&gt;"",IF(GlobBerMedDisc!C11&gt;1,TRIM(GlobBerMedDisc!C11)&amp;", "&amp;GlobBerOpm!C16&amp;" ("&amp;GlobBerMedDisc!M11&amp;" "&amp;GlobBerMedDisc!F11&amp;"/kg/dag)",TRIM(GlobBerMedDisc!C11)&amp;", "&amp;GlobBerOpm!C16),"")</f>
        <v/>
      </c>
      <c r="D12" s="183" t="str">
        <f>IF(GlobGuiMedDisc!H24&lt;&gt;"",GlobGuiMedDisc!H24,"")</f>
        <v/>
      </c>
      <c r="E12" s="184" t="str">
        <f>IF(AND(D12&lt;&gt;"",D12&lt;&gt;"STOP"),GlobBerMedDisc!H11&amp;" "&amp;GlobBerMedDisc!F11,"")</f>
        <v/>
      </c>
      <c r="F12" s="184" t="str">
        <f>IF(AND(D12&lt;&gt;"",D12&lt;&gt;"STOP"),GlobBerMedDisc!L11," ")</f>
        <v xml:space="preserve"> </v>
      </c>
      <c r="G12" s="184" t="str">
        <f>IF(GlobGuiMedDisc!L24&lt;&gt;"",GlobGuiMedDisc!L24&amp;" "&amp;GlobGuiMedDisc!M24&amp;" "&amp;INDEX(GlobBerMedDisc!$B$27:$B$30,GlobBerMedDisc!O11,1)&amp;" in "&amp;GlobGuiMedDisc!$O$1404,"")</f>
        <v/>
      </c>
      <c r="H12" s="102" t="str">
        <f>IF(OR($D12="1 dd",$D12="2 dd",$D12="3 dd",$D12="4 dd",$D12="5 dd",$D12="6 dd",$D12="8 dd",$D12="12 dd",$D12="24 dd",$D12="an",$D12="zn"),VLOOKUP($D12,NeoTblTijden!$A$17:$Y$27,NeoTblTijden!B$15,FALSE),"")</f>
        <v/>
      </c>
      <c r="I12" s="463" t="str">
        <f>IF(OR($D12="1 dd",$D12="2 dd",$D12="3 dd",$D12="4 dd",$D12="5 dd",$D12="6 dd",$D12="8 dd",$D12="12 dd",$D12="24 dd",$D12="an",$D12="zn"),VLOOKUP($D12,NeoTblTijden!$A$17:$Y$27,NeoTblTijden!C$15,FALSE),"")</f>
        <v/>
      </c>
      <c r="J12" s="102" t="str">
        <f>IF(OR($D12="1 dd",$D12="2 dd",$D12="3 dd",$D12="4 dd",$D12="5 dd",$D12="6 dd",$D12="8 dd",$D12="12 dd",$D12="24 dd",$D12="an",$D12="zn"),VLOOKUP($D12,NeoTblTijden!$A$17:$Y$27,NeoTblTijden!D$15,FALSE),"")</f>
        <v/>
      </c>
      <c r="K12" s="463" t="str">
        <f>IF(OR($D12="1 dd",$D12="2 dd",$D12="3 dd",$D12="4 dd",$D12="5 dd",$D12="6 dd",$D12="8 dd",$D12="12 dd",$D12="24 dd",$D12="an",$D12="zn"),VLOOKUP($D12,NeoTblTijden!$A$17:$Y$27,NeoTblTijden!E$15,FALSE),"")</f>
        <v/>
      </c>
      <c r="L12" s="102" t="str">
        <f>IF(OR($D12="1 dd",$D12="2 dd",$D12="3 dd",$D12="4 dd",$D12="5 dd",$D12="6 dd",$D12="8 dd",$D12="12 dd",$D12="24 dd",$D12="an",$D12="zn"),VLOOKUP($D12,NeoTblTijden!$A$17:$Y$27,NeoTblTijden!F$15,FALSE),"")</f>
        <v/>
      </c>
      <c r="M12" s="463" t="str">
        <f>IF(OR($D12="1 dd",$D12="2 dd",$D12="3 dd",$D12="4 dd",$D12="5 dd",$D12="6 dd",$D12="8 dd",$D12="12 dd",$D12="24 dd",$D12="an",$D12="zn"),VLOOKUP($D12,NeoTblTijden!$A$17:$Y$27,NeoTblTijden!G$15,FALSE),"")</f>
        <v/>
      </c>
      <c r="N12" s="102" t="str">
        <f>IF(OR($D12="1 dd",$D12="2 dd",$D12="3 dd",$D12="4 dd",$D12="5 dd",$D12="6 dd",$D12="8 dd",$D12="12 dd",$D12="24 dd",$D12="an",$D12="zn"),VLOOKUP($D12,NeoTblTijden!$A$17:$Y$27,NeoTblTijden!H$15,FALSE),"")</f>
        <v/>
      </c>
      <c r="O12" s="463" t="str">
        <f>IF(OR($D12="1 dd",$D12="2 dd",$D12="3 dd",$D12="4 dd",$D12="5 dd",$D12="6 dd",$D12="8 dd",$D12="12 dd",$D12="24 dd",$D12="an",$D12="zn"),VLOOKUP($D12,NeoTblTijden!$A$17:$Y$27,NeoTblTijden!I$15,FALSE),"")</f>
        <v/>
      </c>
      <c r="P12" s="102" t="str">
        <f>IF(OR($D12="1 dd",$D12="2 dd",$D12="3 dd",$D12="4 dd",$D12="5 dd",$D12="6 dd",$D12="8 dd",$D12="12 dd",$D12="24 dd",$D12="an",$D12="zn"),VLOOKUP($D12,NeoTblTijden!$A$17:$Y$27,NeoTblTijden!J$15,FALSE),"")</f>
        <v/>
      </c>
      <c r="Q12" s="463" t="str">
        <f>IF(OR($D12="1 dd",$D12="2 dd",$D12="3 dd",$D12="4 dd",$D12="5 dd",$D12="6 dd",$D12="8 dd",$D12="12 dd",$D12="24 dd",$D12="an",$D12="zn"),VLOOKUP($D12,NeoTblTijden!$A$17:$Y$27,NeoTblTijden!K$15,FALSE),"")</f>
        <v/>
      </c>
      <c r="R12" s="102" t="str">
        <f>IF(OR($D12="1 dd",$D12="2 dd",$D12="3 dd",$D12="4 dd",$D12="5 dd",$D12="6 dd",$D12="8 dd",$D12="12 dd",$D12="24 dd",$D12="an",$D12="zn"),VLOOKUP($D12,NeoTblTijden!$A$17:$Y$27,NeoTblTijden!L$15,FALSE),"")</f>
        <v/>
      </c>
      <c r="S12" s="463" t="str">
        <f>IF(OR($D12="1 dd",$D12="2 dd",$D12="3 dd",$D12="4 dd",$D12="5 dd",$D12="6 dd",$D12="8 dd",$D12="12 dd",$D12="24 dd",$D12="an",$D12="zn"),VLOOKUP($D12,NeoTblTijden!$A$17:$Y$27,NeoTblTijden!M$15,FALSE),"")</f>
        <v/>
      </c>
      <c r="T12" s="102" t="str">
        <f>IF(OR($D12="1 dd",$D12="2 dd",$D12="3 dd",$D12="4 dd",$D12="5 dd",$D12="6 dd",$D12="8 dd",$D12="12 dd",$D12="24 dd",$D12="an",$D12="zn"),VLOOKUP($D12,NeoTblTijden!$A$17:$Y$27,NeoTblTijden!N$15,FALSE),"")</f>
        <v/>
      </c>
      <c r="U12" s="463" t="str">
        <f>IF(OR($D12="1 dd",$D12="2 dd",$D12="3 dd",$D12="4 dd",$D12="5 dd",$D12="6 dd",$D12="8 dd",$D12="12 dd",$D12="24 dd",$D12="an",$D12="zn"),VLOOKUP($D12,NeoTblTijden!$A$17:$Y$27,NeoTblTijden!O$15,FALSE),"")</f>
        <v/>
      </c>
      <c r="V12" s="102" t="str">
        <f>IF(OR($D12="1 dd",$D12="2 dd",$D12="3 dd",$D12="4 dd",$D12="5 dd",$D12="6 dd",$D12="8 dd",$D12="12 dd",$D12="24 dd",$D12="an",$D12="zn"),VLOOKUP($D12,NeoTblTijden!$A$17:$Y$27,NeoTblTijden!P$15,FALSE),"")</f>
        <v/>
      </c>
      <c r="W12" s="463" t="str">
        <f>IF(OR($D12="1 dd",$D12="2 dd",$D12="3 dd",$D12="4 dd",$D12="5 dd",$D12="6 dd",$D12="8 dd",$D12="12 dd",$D12="24 dd",$D12="an",$D12="zn"),VLOOKUP($D12,NeoTblTijden!$A$17:$Y$27,NeoTblTijden!Q$15,FALSE),"")</f>
        <v/>
      </c>
      <c r="X12" s="102" t="str">
        <f>IF(OR($D12="1 dd",$D12="2 dd",$D12="3 dd",$D12="4 dd",$D12="5 dd",$D12="6 dd",$D12="8 dd",$D12="12 dd",$D12="24 dd",$D12="an",$D12="zn"),VLOOKUP($D12,NeoTblTijden!$A$17:$Y$27,NeoTblTijden!R$15,FALSE),"")</f>
        <v/>
      </c>
      <c r="Y12" s="463" t="str">
        <f>IF(OR($D12="1 dd",$D12="2 dd",$D12="3 dd",$D12="4 dd",$D12="5 dd",$D12="6 dd",$D12="8 dd",$D12="12 dd",$D12="24 dd",$D12="an",$D12="zn"),VLOOKUP($D12,NeoTblTijden!$A$17:$Y$27,NeoTblTijden!S$15,FALSE),"")</f>
        <v/>
      </c>
      <c r="Z12" s="102" t="str">
        <f>IF(OR($D12="1 dd",$D12="2 dd",$D12="3 dd",$D12="4 dd",$D12="5 dd",$D12="6 dd",$D12="8 dd",$D12="12 dd",$D12="24 dd",$D12="an",$D12="zn"),VLOOKUP($D12,NeoTblTijden!$A$17:$Y$27,NeoTblTijden!T$15,FALSE),"")</f>
        <v/>
      </c>
      <c r="AA12" s="463" t="str">
        <f>IF(OR($D12="1 dd",$D12="2 dd",$D12="3 dd",$D12="4 dd",$D12="5 dd",$D12="6 dd",$D12="8 dd",$D12="12 dd",$D12="24 dd",$D12="an",$D12="zn"),VLOOKUP($D12,NeoTblTijden!$A$17:$Y$27,NeoTblTijden!U$15,FALSE),"")</f>
        <v/>
      </c>
      <c r="AB12" s="102" t="str">
        <f>IF(OR($D12="1 dd",$D12="2 dd",$D12="3 dd",$D12="4 dd",$D12="5 dd",$D12="6 dd",$D12="8 dd",$D12="12 dd",$D12="24 dd",$D12="an",$D12="zn"),VLOOKUP($D12,NeoTblTijden!$A$17:$Y$27,NeoTblTijden!V$15,FALSE),"")</f>
        <v/>
      </c>
      <c r="AC12" s="463" t="str">
        <f>IF(OR($D12="1 dd",$D12="2 dd",$D12="3 dd",$D12="4 dd",$D12="5 dd",$D12="6 dd",$D12="8 dd",$D12="12 dd",$D12="24 dd",$D12="an",$D12="zn"),VLOOKUP($D12,NeoTblTijden!$A$17:$Y$27,NeoTblTijden!W$15,FALSE),"")</f>
        <v/>
      </c>
      <c r="AD12" s="102" t="str">
        <f>IF(OR($D12="1 dd",$D12="2 dd",$D12="3 dd",$D12="4 dd",$D12="5 dd",$D12="6 dd",$D12="8 dd",$D12="12 dd",$D12="24 dd",$D12="an",$D12="zn"),VLOOKUP($D12,NeoTblTijden!$A$17:$Y$27,NeoTblTijden!X$15,FALSE),"")</f>
        <v/>
      </c>
      <c r="AE12" s="463" t="str">
        <f>IF(OR($D12="1 dd",$D12="2 dd",$D12="3 dd",$D12="4 dd",$D12="5 dd",$D12="6 dd",$D12="8 dd",$D12="12 dd",$D12="24 dd",$D12="an",$D12="zn"),VLOOKUP($D12,NeoTblTijden!$A$17:$Y$27,NeoTblTijden!Y$15,FALSE),"")</f>
        <v/>
      </c>
      <c r="AF12" s="101"/>
      <c r="AG12" s="16"/>
    </row>
    <row r="13" spans="1:33" ht="26.1" customHeight="1" x14ac:dyDescent="0.35">
      <c r="B13" s="103"/>
      <c r="C13" s="182" t="str">
        <f>IF(GlobBerMedDisc!C12&lt;&gt;"",IF(GlobBerMedDisc!C12&gt;1,TRIM(GlobBerMedDisc!C12)&amp;", "&amp;GlobBerOpm!C17&amp;" ("&amp;GlobBerMedDisc!M12&amp;" "&amp;GlobBerMedDisc!F12&amp;"/kg/dag)",TRIM(GlobBerMedDisc!C12)&amp;", "&amp;GlobBerOpm!C17),"")</f>
        <v/>
      </c>
      <c r="D13" s="183" t="str">
        <f>IF(GlobGuiMedDisc!H26&lt;&gt;"",GlobGuiMedDisc!H26,"")</f>
        <v/>
      </c>
      <c r="E13" s="184" t="str">
        <f>IF(AND(D13&lt;&gt;"",D13&lt;&gt;"STOP"),GlobBerMedDisc!H12&amp;" "&amp;GlobBerMedDisc!F12,"")</f>
        <v/>
      </c>
      <c r="F13" s="184" t="str">
        <f>IF(AND(D13&lt;&gt;"",D13&lt;&gt;"STOP"),GlobBerMedDisc!L12," ")</f>
        <v xml:space="preserve"> </v>
      </c>
      <c r="G13" s="184" t="str">
        <f>IF(GlobGuiMedDisc!L26&lt;&gt;"",GlobGuiMedDisc!L26&amp;" "&amp;GlobGuiMedDisc!M26&amp;" "&amp;INDEX(GlobBerMedDisc!$B$27:$B$30,GlobBerMedDisc!O12,1)&amp;" in "&amp;GlobGuiMedDisc!$O$26,"")</f>
        <v/>
      </c>
      <c r="H13" s="102" t="str">
        <f>IF(OR($D13="1 dd",$D13="2 dd",$D13="3 dd",$D13="4 dd",$D13="5 dd",$D13="6 dd",$D13="8 dd",$D13="12 dd",$D13="24 dd",$D13="an",$D13="zn"),VLOOKUP($D13,NeoTblTijden!$A$17:$Y$27,NeoTblTijden!B$15,FALSE),"")</f>
        <v/>
      </c>
      <c r="I13" s="463" t="str">
        <f>IF(OR($D13="1 dd",$D13="2 dd",$D13="3 dd",$D13="4 dd",$D13="5 dd",$D13="6 dd",$D13="8 dd",$D13="12 dd",$D13="24 dd",$D13="an",$D13="zn"),VLOOKUP($D13,NeoTblTijden!$A$17:$Y$27,NeoTblTijden!C$15,FALSE),"")</f>
        <v/>
      </c>
      <c r="J13" s="102" t="str">
        <f>IF(OR($D13="1 dd",$D13="2 dd",$D13="3 dd",$D13="4 dd",$D13="5 dd",$D13="6 dd",$D13="8 dd",$D13="12 dd",$D13="24 dd",$D13="an",$D13="zn"),VLOOKUP($D13,NeoTblTijden!$A$17:$Y$27,NeoTblTijden!D$15,FALSE),"")</f>
        <v/>
      </c>
      <c r="K13" s="463" t="str">
        <f>IF(OR($D13="1 dd",$D13="2 dd",$D13="3 dd",$D13="4 dd",$D13="5 dd",$D13="6 dd",$D13="8 dd",$D13="12 dd",$D13="24 dd",$D13="an",$D13="zn"),VLOOKUP($D13,NeoTblTijden!$A$17:$Y$27,NeoTblTijden!E$15,FALSE),"")</f>
        <v/>
      </c>
      <c r="L13" s="102" t="str">
        <f>IF(OR($D13="1 dd",$D13="2 dd",$D13="3 dd",$D13="4 dd",$D13="5 dd",$D13="6 dd",$D13="8 dd",$D13="12 dd",$D13="24 dd",$D13="an",$D13="zn"),VLOOKUP($D13,NeoTblTijden!$A$17:$Y$27,NeoTblTijden!F$15,FALSE),"")</f>
        <v/>
      </c>
      <c r="M13" s="463" t="str">
        <f>IF(OR($D13="1 dd",$D13="2 dd",$D13="3 dd",$D13="4 dd",$D13="5 dd",$D13="6 dd",$D13="8 dd",$D13="12 dd",$D13="24 dd",$D13="an",$D13="zn"),VLOOKUP($D13,NeoTblTijden!$A$17:$Y$27,NeoTblTijden!G$15,FALSE),"")</f>
        <v/>
      </c>
      <c r="N13" s="102" t="str">
        <f>IF(OR($D13="1 dd",$D13="2 dd",$D13="3 dd",$D13="4 dd",$D13="5 dd",$D13="6 dd",$D13="8 dd",$D13="12 dd",$D13="24 dd",$D13="an",$D13="zn"),VLOOKUP($D13,NeoTblTijden!$A$17:$Y$27,NeoTblTijden!H$15,FALSE),"")</f>
        <v/>
      </c>
      <c r="O13" s="463" t="str">
        <f>IF(OR($D13="1 dd",$D13="2 dd",$D13="3 dd",$D13="4 dd",$D13="5 dd",$D13="6 dd",$D13="8 dd",$D13="12 dd",$D13="24 dd",$D13="an",$D13="zn"),VLOOKUP($D13,NeoTblTijden!$A$17:$Y$27,NeoTblTijden!I$15,FALSE),"")</f>
        <v/>
      </c>
      <c r="P13" s="102" t="str">
        <f>IF(OR($D13="1 dd",$D13="2 dd",$D13="3 dd",$D13="4 dd",$D13="5 dd",$D13="6 dd",$D13="8 dd",$D13="12 dd",$D13="24 dd",$D13="an",$D13="zn"),VLOOKUP($D13,NeoTblTijden!$A$17:$Y$27,NeoTblTijden!J$15,FALSE),"")</f>
        <v/>
      </c>
      <c r="Q13" s="463" t="str">
        <f>IF(OR($D13="1 dd",$D13="2 dd",$D13="3 dd",$D13="4 dd",$D13="5 dd",$D13="6 dd",$D13="8 dd",$D13="12 dd",$D13="24 dd",$D13="an",$D13="zn"),VLOOKUP($D13,NeoTblTijden!$A$17:$Y$27,NeoTblTijden!K$15,FALSE),"")</f>
        <v/>
      </c>
      <c r="R13" s="102" t="str">
        <f>IF(OR($D13="1 dd",$D13="2 dd",$D13="3 dd",$D13="4 dd",$D13="5 dd",$D13="6 dd",$D13="8 dd",$D13="12 dd",$D13="24 dd",$D13="an",$D13="zn"),VLOOKUP($D13,NeoTblTijden!$A$17:$Y$27,NeoTblTijden!L$15,FALSE),"")</f>
        <v/>
      </c>
      <c r="S13" s="463" t="str">
        <f>IF(OR($D13="1 dd",$D13="2 dd",$D13="3 dd",$D13="4 dd",$D13="5 dd",$D13="6 dd",$D13="8 dd",$D13="12 dd",$D13="24 dd",$D13="an",$D13="zn"),VLOOKUP($D13,NeoTblTijden!$A$17:$Y$27,NeoTblTijden!M$15,FALSE),"")</f>
        <v/>
      </c>
      <c r="T13" s="102" t="str">
        <f>IF(OR($D13="1 dd",$D13="2 dd",$D13="3 dd",$D13="4 dd",$D13="5 dd",$D13="6 dd",$D13="8 dd",$D13="12 dd",$D13="24 dd",$D13="an",$D13="zn"),VLOOKUP($D13,NeoTblTijden!$A$17:$Y$27,NeoTblTijden!N$15,FALSE),"")</f>
        <v/>
      </c>
      <c r="U13" s="463" t="str">
        <f>IF(OR($D13="1 dd",$D13="2 dd",$D13="3 dd",$D13="4 dd",$D13="5 dd",$D13="6 dd",$D13="8 dd",$D13="12 dd",$D13="24 dd",$D13="an",$D13="zn"),VLOOKUP($D13,NeoTblTijden!$A$17:$Y$27,NeoTblTijden!O$15,FALSE),"")</f>
        <v/>
      </c>
      <c r="V13" s="102" t="str">
        <f>IF(OR($D13="1 dd",$D13="2 dd",$D13="3 dd",$D13="4 dd",$D13="5 dd",$D13="6 dd",$D13="8 dd",$D13="12 dd",$D13="24 dd",$D13="an",$D13="zn"),VLOOKUP($D13,NeoTblTijden!$A$17:$Y$27,NeoTblTijden!P$15,FALSE),"")</f>
        <v/>
      </c>
      <c r="W13" s="463" t="str">
        <f>IF(OR($D13="1 dd",$D13="2 dd",$D13="3 dd",$D13="4 dd",$D13="5 dd",$D13="6 dd",$D13="8 dd",$D13="12 dd",$D13="24 dd",$D13="an",$D13="zn"),VLOOKUP($D13,NeoTblTijden!$A$17:$Y$27,NeoTblTijden!Q$15,FALSE),"")</f>
        <v/>
      </c>
      <c r="X13" s="102" t="str">
        <f>IF(OR($D13="1 dd",$D13="2 dd",$D13="3 dd",$D13="4 dd",$D13="5 dd",$D13="6 dd",$D13="8 dd",$D13="12 dd",$D13="24 dd",$D13="an",$D13="zn"),VLOOKUP($D13,NeoTblTijden!$A$17:$Y$27,NeoTblTijden!R$15,FALSE),"")</f>
        <v/>
      </c>
      <c r="Y13" s="463" t="str">
        <f>IF(OR($D13="1 dd",$D13="2 dd",$D13="3 dd",$D13="4 dd",$D13="5 dd",$D13="6 dd",$D13="8 dd",$D13="12 dd",$D13="24 dd",$D13="an",$D13="zn"),VLOOKUP($D13,NeoTblTijden!$A$17:$Y$27,NeoTblTijden!S$15,FALSE),"")</f>
        <v/>
      </c>
      <c r="Z13" s="102" t="str">
        <f>IF(OR($D13="1 dd",$D13="2 dd",$D13="3 dd",$D13="4 dd",$D13="5 dd",$D13="6 dd",$D13="8 dd",$D13="12 dd",$D13="24 dd",$D13="an",$D13="zn"),VLOOKUP($D13,NeoTblTijden!$A$17:$Y$27,NeoTblTijden!T$15,FALSE),"")</f>
        <v/>
      </c>
      <c r="AA13" s="463" t="str">
        <f>IF(OR($D13="1 dd",$D13="2 dd",$D13="3 dd",$D13="4 dd",$D13="5 dd",$D13="6 dd",$D13="8 dd",$D13="12 dd",$D13="24 dd",$D13="an",$D13="zn"),VLOOKUP($D13,NeoTblTijden!$A$17:$Y$27,NeoTblTijden!U$15,FALSE),"")</f>
        <v/>
      </c>
      <c r="AB13" s="102" t="str">
        <f>IF(OR($D13="1 dd",$D13="2 dd",$D13="3 dd",$D13="4 dd",$D13="5 dd",$D13="6 dd",$D13="8 dd",$D13="12 dd",$D13="24 dd",$D13="an",$D13="zn"),VLOOKUP($D13,NeoTblTijden!$A$17:$Y$27,NeoTblTijden!V$15,FALSE),"")</f>
        <v/>
      </c>
      <c r="AC13" s="463" t="str">
        <f>IF(OR($D13="1 dd",$D13="2 dd",$D13="3 dd",$D13="4 dd",$D13="5 dd",$D13="6 dd",$D13="8 dd",$D13="12 dd",$D13="24 dd",$D13="an",$D13="zn"),VLOOKUP($D13,NeoTblTijden!$A$17:$Y$27,NeoTblTijden!W$15,FALSE),"")</f>
        <v/>
      </c>
      <c r="AD13" s="102" t="str">
        <f>IF(OR($D13="1 dd",$D13="2 dd",$D13="3 dd",$D13="4 dd",$D13="5 dd",$D13="6 dd",$D13="8 dd",$D13="12 dd",$D13="24 dd",$D13="an",$D13="zn"),VLOOKUP($D13,NeoTblTijden!$A$17:$Y$27,NeoTblTijden!X$15,FALSE),"")</f>
        <v/>
      </c>
      <c r="AE13" s="463" t="str">
        <f>IF(OR($D13="1 dd",$D13="2 dd",$D13="3 dd",$D13="4 dd",$D13="5 dd",$D13="6 dd",$D13="8 dd",$D13="12 dd",$D13="24 dd",$D13="an",$D13="zn"),VLOOKUP($D13,NeoTblTijden!$A$17:$Y$27,NeoTblTijden!Y$15,FALSE),"")</f>
        <v/>
      </c>
      <c r="AF13" s="101"/>
      <c r="AG13" s="16"/>
    </row>
    <row r="14" spans="1:33" ht="26.1" customHeight="1" x14ac:dyDescent="0.35">
      <c r="B14" s="103"/>
      <c r="C14" s="182" t="str">
        <f>IF(GlobBerMedDisc!C13&lt;&gt;"",IF(GlobBerMedDisc!C13&gt;1,TRIM(GlobBerMedDisc!C13)&amp;", "&amp;GlobBerOpm!C18&amp;" ("&amp;GlobBerMedDisc!M13&amp;" "&amp;GlobBerMedDisc!F13&amp;"/kg/dag)",TRIM(GlobBerMedDisc!C13)&amp;", "&amp;GlobBerOpm!C18),"")</f>
        <v/>
      </c>
      <c r="D14" s="183" t="str">
        <f>IF(GlobGuiMedDisc!H28&lt;&gt;"",GlobGuiMedDisc!H28,"")</f>
        <v/>
      </c>
      <c r="E14" s="184" t="str">
        <f>IF(AND(D14&lt;&gt;"",D14&lt;&gt;"STOP"),GlobBerMedDisc!H13&amp;" "&amp;GlobBerMedDisc!F13,"")</f>
        <v/>
      </c>
      <c r="F14" s="184" t="str">
        <f>IF(AND(D14&lt;&gt;"",D14&lt;&gt;"STOP"),GlobBerMedDisc!L13," ")</f>
        <v xml:space="preserve"> </v>
      </c>
      <c r="G14" s="184" t="str">
        <f>IF(GlobGuiMedDisc!L28&lt;&gt;"",GlobGuiMedDisc!L28&amp;" "&amp;GlobGuiMedDisc!M28&amp;" "&amp;INDEX(GlobBerMedDisc!$B$27:$B$30,GlobBerMedDisc!O13,1)&amp;" in "&amp;GlobGuiMedDisc!$O$28,"")</f>
        <v/>
      </c>
      <c r="H14" s="102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102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102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102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102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102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102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102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102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102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102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102" t="str">
        <f>IF(OR($D14="1 dd",$D14="2 dd",$D14="3 dd",$D14="4 dd",$D14="6 dd",$D14="8 dd",$D14="12 dd",$D14="an",$D14="1 X"),VLOOKUP($D14,PedTblTijden!$A$16:$X$26,PedTblTijden!X$14,FALSE),"")</f>
        <v/>
      </c>
      <c r="AE14" s="16"/>
      <c r="AF14" s="101"/>
      <c r="AG14" s="16"/>
    </row>
    <row r="15" spans="1:33" ht="26.1" customHeight="1" x14ac:dyDescent="0.35">
      <c r="B15" s="103"/>
      <c r="C15" s="182" t="str">
        <f>IF(GlobBerMedDisc!C14&lt;&gt;"",IF(GlobBerMedDisc!C14&gt;1,TRIM(GlobBerMedDisc!C14)&amp;", "&amp;GlobBerOpm!C19&amp;" ("&amp;GlobBerMedDisc!M14&amp;" "&amp;GlobBerMedDisc!F14&amp;"/kg/dag)",TRIM(GlobBerMedDisc!C14)&amp;", "&amp;GlobBerOpm!C19),"")</f>
        <v/>
      </c>
      <c r="D15" s="183" t="str">
        <f>IF(GlobGuiMedDisc!H30&lt;&gt;"",GlobGuiMedDisc!H30,"")</f>
        <v/>
      </c>
      <c r="E15" s="184" t="str">
        <f>IF(AND(D15&lt;&gt;"",D15&lt;&gt;"STOP"),GlobBerMedDisc!H14&amp;" "&amp;GlobBerMedDisc!F14,"")</f>
        <v/>
      </c>
      <c r="F15" s="184" t="str">
        <f>IF(AND(D15&lt;&gt;"",D15&lt;&gt;"STOP"),GlobBerMedDisc!L14," ")</f>
        <v xml:space="preserve"> </v>
      </c>
      <c r="G15" s="184" t="str">
        <f>IF(GlobGuiMedDisc!L30&lt;&gt;"",GlobGuiMedDisc!L30&amp;" "&amp;GlobGuiMedDisc!M30&amp;" "&amp;INDEX(GlobBerMedDisc!$B$27:$B$30,GlobBerMedDisc!O14,1)&amp;" in "&amp;GlobGuiMedDisc!$O$30,"")</f>
        <v/>
      </c>
      <c r="H15" s="102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102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102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102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102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102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102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102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102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102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102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102" t="str">
        <f>IF(OR($D15="1 dd",$D15="2 dd",$D15="3 dd",$D15="4 dd",$D15="6 dd",$D15="8 dd",$D15="12 dd",$D15="an",$D15="1 X"),VLOOKUP($D15,PedTblTijden!$A$16:$X$26,PedTblTijden!X$14,FALSE),"")</f>
        <v/>
      </c>
      <c r="AE15" s="16"/>
      <c r="AF15" s="101"/>
      <c r="AG15" s="16"/>
    </row>
    <row r="16" spans="1:33" ht="26.1" customHeight="1" x14ac:dyDescent="0.35">
      <c r="B16" s="103"/>
      <c r="C16" s="182" t="str">
        <f>IF(GlobBerMedDisc!C15&lt;&gt;"",IF(GlobBerMedDisc!C15&gt;1,TRIM(GlobBerMedDisc!C15)&amp;", "&amp;GlobBerOpm!C20&amp;" ("&amp;GlobBerMedDisc!M15&amp;" "&amp;GlobBerMedDisc!F15&amp;"/kg/dag)",TRIM(GlobBerMedDisc!C15)&amp;", "&amp;GlobBerOpm!C20),"")</f>
        <v/>
      </c>
      <c r="D16" s="183" t="str">
        <f>IF(GlobGuiMedDisc!H32&lt;&gt;"",GlobGuiMedDisc!H32,"")</f>
        <v/>
      </c>
      <c r="E16" s="184" t="str">
        <f>IF(AND(D16&lt;&gt;"",D16&lt;&gt;"STOP"),GlobBerMedDisc!H15&amp;" "&amp;GlobBerMedDisc!F15,"")</f>
        <v/>
      </c>
      <c r="F16" s="184" t="str">
        <f>IF(AND(D16&lt;&gt;"",D16&lt;&gt;"STOP"),GlobBerMedDisc!L15," ")</f>
        <v xml:space="preserve"> </v>
      </c>
      <c r="G16" s="184" t="str">
        <f>IF(GlobGuiMedDisc!L32&lt;&gt;"",GlobGuiMedDisc!L32&amp;" "&amp;GlobGuiMedDisc!M32&amp;" "&amp;INDEX(GlobBerMedDisc!$B$27:$B$30,GlobBerMedDisc!O15,1)&amp;" in "&amp;GlobGuiMedDisc!$O$32,"")</f>
        <v/>
      </c>
      <c r="H16" s="102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102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102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102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102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102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102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102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102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102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102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102" t="str">
        <f>IF(OR($D16="1 dd",$D16="2 dd",$D16="3 dd",$D16="4 dd",$D16="6 dd",$D16="8 dd",$D16="12 dd",$D16="an",$D16="1 X"),VLOOKUP($D16,PedTblTijden!$A$16:$X$26,PedTblTijden!X$14,FALSE),"")</f>
        <v/>
      </c>
      <c r="AE16" s="16"/>
      <c r="AF16" s="101"/>
      <c r="AG16" s="16"/>
    </row>
    <row r="17" spans="2:33" ht="26.1" customHeight="1" x14ac:dyDescent="0.35">
      <c r="B17" s="103"/>
      <c r="C17" s="182" t="str">
        <f>IF(GlobBerMedDisc!C16&lt;&gt;"",IF(GlobBerMedDisc!C16&gt;1,TRIM(GlobBerMedDisc!C16)&amp;", "&amp;GlobBerOpm!C21&amp;" ("&amp;GlobBerMedDisc!M16&amp;" "&amp;GlobBerMedDisc!F16&amp;"/kg/dag)",TRIM(GlobBerMedDisc!C16)&amp;", "&amp;GlobBerOpm!C21),"")</f>
        <v/>
      </c>
      <c r="D17" s="183" t="str">
        <f>IF(GlobGuiMedDisc!H34&lt;&gt;"",GlobGuiMedDisc!H34,"")</f>
        <v/>
      </c>
      <c r="E17" s="184" t="str">
        <f>IF(AND(D17&lt;&gt;"",D17&lt;&gt;"STOP"),GlobBerMedDisc!H16&amp;" "&amp;GlobBerMedDisc!F16,"")</f>
        <v/>
      </c>
      <c r="F17" s="184" t="str">
        <f>IF(AND(D17&lt;&gt;"",D17&lt;&gt;"STOP"),GlobBerMedDisc!L16," ")</f>
        <v xml:space="preserve"> </v>
      </c>
      <c r="G17" s="184" t="str">
        <f>IF(GlobGuiMedDisc!L34&lt;&gt;"",GlobGuiMedDisc!L34&amp;" "&amp;GlobGuiMedDisc!M34&amp;" "&amp;INDEX(GlobBerMedDisc!$B$27:$B$30,GlobBerMedDisc!O16,1)&amp;" in "&amp;GlobGuiMedDisc!$O$34,"")</f>
        <v/>
      </c>
      <c r="H17" s="102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102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102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102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102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102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102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102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102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102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102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102" t="str">
        <f>IF(OR($D17="1 dd",$D17="2 dd",$D17="3 dd",$D17="4 dd",$D17="6 dd",$D17="8 dd",$D17="12 dd",$D17="an",$D17="1 X"),VLOOKUP($D17,PedTblTijden!$A$16:$X$26,PedTblTijden!X$14,FALSE),"")</f>
        <v/>
      </c>
      <c r="AE17" s="16"/>
      <c r="AF17" s="101"/>
      <c r="AG17" s="16"/>
    </row>
    <row r="18" spans="2:33" ht="26.1" customHeight="1" x14ac:dyDescent="0.35">
      <c r="B18" s="103"/>
      <c r="C18" s="182" t="str">
        <f>IF(GlobBerMedDisc!C17&lt;&gt;"",IF(GlobBerMedDisc!C17&gt;1,TRIM(GlobBerMedDisc!C17)&amp;", "&amp;GlobBerOpm!C22&amp;" ("&amp;GlobBerMedDisc!M17&amp;" "&amp;GlobBerMedDisc!F17&amp;"/kg/dag)",TRIM(GlobBerMedDisc!C17)&amp;", "&amp;GlobBerOpm!C22),"")</f>
        <v/>
      </c>
      <c r="D18" s="183" t="str">
        <f>IF(GlobGuiMedDisc!H36&lt;&gt;"",GlobGuiMedDisc!H36,"")</f>
        <v/>
      </c>
      <c r="E18" s="184" t="str">
        <f>IF(AND(D18&lt;&gt;"",D18&lt;&gt;"STOP"),GlobBerMedDisc!H17&amp;" "&amp;GlobBerMedDisc!F17,"")</f>
        <v/>
      </c>
      <c r="F18" s="184" t="str">
        <f>IF(AND(D18&lt;&gt;"",D18&lt;&gt;"STOP"),GlobBerMedDisc!L17," ")</f>
        <v xml:space="preserve"> </v>
      </c>
      <c r="G18" s="184" t="str">
        <f>IF(GlobGuiMedDisc!L36&lt;&gt;"",GlobGuiMedDisc!L36&amp;" "&amp;GlobGuiMedDisc!M36&amp;" "&amp;INDEX(GlobBerMedDisc!$B$27:$B$30,GlobBerMedDisc!O17,1)&amp;" in "&amp;GlobGuiMedDisc!$O$36,"")</f>
        <v/>
      </c>
      <c r="H18" s="102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102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102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102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102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102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102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102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102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102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102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102" t="str">
        <f>IF(OR($D18="1 dd",$D18="2 dd",$D18="3 dd",$D18="4 dd",$D18="6 dd",$D18="8 dd",$D18="12 dd",$D18="an",$D18="1 X"),VLOOKUP($D18,PedTblTijden!$A$16:$X$26,PedTblTijden!X$14,FALSE),"")</f>
        <v/>
      </c>
      <c r="AE18" s="16"/>
      <c r="AF18" s="101"/>
      <c r="AG18" s="16"/>
    </row>
    <row r="19" spans="2:33" ht="26.1" customHeight="1" x14ac:dyDescent="0.35">
      <c r="B19" s="103"/>
      <c r="C19" s="182" t="str">
        <f>IF(GlobBerMedDisc!C18&lt;&gt;"",IF(GlobBerMedDisc!C18&gt;1,TRIM(GlobBerMedDisc!C18)&amp;", "&amp;GlobBerOpm!C23&amp;" ("&amp;GlobBerMedDisc!M18&amp;" "&amp;GlobBerMedDisc!F18&amp;"/kg/dag)",TRIM(GlobBerMedDisc!C18)&amp;", "&amp;GlobBerOpm!C23),"")</f>
        <v/>
      </c>
      <c r="D19" s="183" t="str">
        <f>IF(GlobGuiMedDisc!H38&lt;&gt;"",GlobGuiMedDisc!H38,"")</f>
        <v/>
      </c>
      <c r="E19" s="184" t="str">
        <f>IF(AND(D19&lt;&gt;"",D19&lt;&gt;"STOP"),GlobBerMedDisc!H18&amp;" "&amp;GlobBerMedDisc!F18,"")</f>
        <v/>
      </c>
      <c r="F19" s="184" t="str">
        <f>IF(AND(D19&lt;&gt;"",D19&lt;&gt;"STOP"),GlobBerMedDisc!L18," ")</f>
        <v xml:space="preserve"> </v>
      </c>
      <c r="G19" s="184" t="str">
        <f>IF(GlobGuiMedDisc!L38&lt;&gt;"",GlobGuiMedDisc!L38&amp;" "&amp;GlobGuiMedDisc!M38&amp;" "&amp;INDEX(GlobBerMedDisc!$B$27:$B$30,GlobBerMedDisc!O18,1)&amp;" in "&amp;GlobGuiMedDisc!$O$38,"")</f>
        <v/>
      </c>
      <c r="H19" s="102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102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102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102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102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102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102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102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102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102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102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102" t="str">
        <f>IF(OR($D19="1 dd",$D19="2 dd",$D19="3 dd",$D19="4 dd",$D19="6 dd",$D19="8 dd",$D19="12 dd",$D19="an",$D19="1 X"),VLOOKUP($D19,PedTblTijden!$A$16:$X$26,PedTblTijden!X$14,FALSE),"")</f>
        <v/>
      </c>
      <c r="AE19" s="16"/>
      <c r="AF19" s="101"/>
      <c r="AG19" s="16"/>
    </row>
    <row r="20" spans="2:33" ht="26.1" customHeight="1" x14ac:dyDescent="0.35">
      <c r="B20" s="103"/>
      <c r="C20" s="182" t="str">
        <f>IF(GlobBerMedDisc!C19&lt;&gt;"",IF(GlobBerMedDisc!C19&gt;1,TRIM(GlobBerMedDisc!C19)&amp;", "&amp;GlobBerOpm!C24&amp;" ("&amp;GlobBerMedDisc!M19&amp;" "&amp;GlobBerMedDisc!F19&amp;"/kg/dag)",TRIM(GlobBerMedDisc!C19)&amp;", "&amp;GlobBerOpm!C24),"")</f>
        <v/>
      </c>
      <c r="D20" s="183" t="str">
        <f>IF(GlobGuiMedDisc!H40&lt;&gt;"",GlobGuiMedDisc!H40,"")</f>
        <v/>
      </c>
      <c r="E20" s="184" t="str">
        <f>IF(AND(D20&lt;&gt;"",D20&lt;&gt;"STOP"),GlobBerMedDisc!H19&amp;" "&amp;GlobBerMedDisc!F19,"")</f>
        <v/>
      </c>
      <c r="F20" s="184" t="str">
        <f>IF(AND(D20&lt;&gt;"",D20&lt;&gt;"STOP"),GlobBerMedDisc!L19," ")</f>
        <v xml:space="preserve"> </v>
      </c>
      <c r="G20" s="184" t="str">
        <f>IF(GlobGuiMedDisc!L40&lt;&gt;"",GlobGuiMedDisc!L40&amp;" "&amp;GlobGuiMedDisc!M40&amp;" "&amp;INDEX(GlobBerMedDisc!$B$27:$B$30,GlobBerMedDisc!O19,1)&amp;" in "&amp;GlobGuiMedDisc!$O$40,"")</f>
        <v/>
      </c>
      <c r="H20" s="102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102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102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102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102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102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102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102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102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102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102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102" t="str">
        <f>IF(OR($D20="1 dd",$D20="2 dd",$D20="3 dd",$D20="4 dd",$D20="6 dd",$D20="8 dd",$D20="12 dd",$D20="an",$D20="1 X"),VLOOKUP($D20,PedTblTijden!$A$16:$X$26,PedTblTijden!X$14,FALSE),"")</f>
        <v/>
      </c>
      <c r="AE20" s="16"/>
      <c r="AF20" s="101"/>
      <c r="AG20" s="16"/>
    </row>
    <row r="21" spans="2:33" ht="26.1" customHeight="1" x14ac:dyDescent="0.35">
      <c r="B21" s="103"/>
      <c r="C21" s="182" t="str">
        <f>IF(GlobBerMedDisc!C20&lt;&gt;"",IF(GlobBerMedDisc!C20&gt;1,TRIM(GlobBerMedDisc!C20)&amp;", "&amp;GlobBerOpm!C25&amp;" ("&amp;GlobBerMedDisc!M20&amp;" "&amp;GlobBerMedDisc!F20&amp;"/kg/dag)",TRIM(GlobBerMedDisc!C20)&amp;", "&amp;GlobBerOpm!C25),"")</f>
        <v/>
      </c>
      <c r="D21" s="183" t="str">
        <f>IF(GlobGuiMedDisc!H42&lt;&gt;"",GlobGuiMedDisc!H42,"")</f>
        <v/>
      </c>
      <c r="E21" s="184" t="str">
        <f>IF(AND(D21&lt;&gt;"",D21&lt;&gt;"STOP"),GlobBerMedDisc!H20&amp;" "&amp;GlobBerMedDisc!F20,"")</f>
        <v/>
      </c>
      <c r="F21" s="184" t="str">
        <f>IF(AND(D21&lt;&gt;"",D21&lt;&gt;"STOP"),GlobBerMedDisc!L20," ")</f>
        <v xml:space="preserve"> </v>
      </c>
      <c r="G21" s="184" t="str">
        <f>IF(GlobGuiMedDisc!L42&lt;&gt;"",GlobGuiMedDisc!L42&amp;" "&amp;GlobGuiMedDisc!M42&amp;" "&amp;INDEX(GlobBerMedDisc!$B$27:$B$30,GlobBerMedDisc!O20,1)&amp;" in "&amp;GlobGuiMedDisc!$O$42,"")</f>
        <v/>
      </c>
      <c r="H21" s="102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102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102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102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102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102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102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102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102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102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102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102" t="str">
        <f>IF(OR($D21="1 dd",$D21="2 dd",$D21="3 dd",$D21="4 dd",$D21="6 dd",$D21="8 dd",$D21="12 dd",$D21="an",$D21="1 X"),VLOOKUP($D21,PedTblTijden!$A$16:$X$26,PedTblTijden!X$14,FALSE),"")</f>
        <v/>
      </c>
      <c r="AE21" s="16"/>
      <c r="AF21" s="101"/>
      <c r="AG21" s="16"/>
    </row>
    <row r="22" spans="2:33" ht="26.1" customHeight="1" x14ac:dyDescent="0.35">
      <c r="B22" s="103"/>
      <c r="C22" s="182" t="str">
        <f>IF(GlobBerMedDisc!C21&lt;&gt;"",IF(GlobBerMedDisc!C21&gt;1,TRIM(GlobBerMedDisc!C21)&amp;", "&amp;GlobBerOpm!C26&amp;" ("&amp;GlobBerMedDisc!M21&amp;" "&amp;GlobBerMedDisc!F21&amp;"/kg/dag)",TRIM(GlobBerMedDisc!C21)&amp;", "&amp;GlobBerOpm!C26),"")</f>
        <v/>
      </c>
      <c r="D22" s="183" t="str">
        <f>IF(GlobGuiMedDisc!H44&lt;&gt;"",GlobGuiMedDisc!H44,"")</f>
        <v/>
      </c>
      <c r="E22" s="184" t="str">
        <f>IF(AND(D22&lt;&gt;"",D22&lt;&gt;"STOP"),GlobBerMedDisc!H21&amp;" "&amp;GlobBerMedDisc!F21,"")</f>
        <v/>
      </c>
      <c r="F22" s="184" t="str">
        <f>IF(AND(D22&lt;&gt;"",D22&lt;&gt;"STOP"),GlobBerMedDisc!L21," ")</f>
        <v xml:space="preserve"> </v>
      </c>
      <c r="G22" s="184" t="str">
        <f>IF(GlobGuiMedDisc!L44&lt;&gt;"",GlobGuiMedDisc!L44&amp;" "&amp;GlobGuiMedDisc!M44&amp;" "&amp;INDEX(GlobBerMedDisc!$B$27:$B$30,GlobBerMedDisc!O21,1)&amp;" in "&amp;GlobGuiMedDisc!$O$44,"")</f>
        <v/>
      </c>
      <c r="H22" s="102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102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102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102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102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102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102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102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102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102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102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102" t="str">
        <f>IF(OR($D22="1 dd",$D22="2 dd",$D22="3 dd",$D22="4 dd",$D22="6 dd",$D22="8 dd",$D22="12 dd",$D22="an",$D22="1 X"),VLOOKUP($D22,PedTblTijden!$A$16:$X$26,PedTblTijden!X$14,FALSE),"")</f>
        <v/>
      </c>
      <c r="AE22" s="16"/>
      <c r="AF22" s="101"/>
      <c r="AG22" s="16"/>
    </row>
  </sheetData>
  <sheetProtection algorithmName="SHA-512" hashValue="MYd7AzLngmMjvKjm0v7vJ+J+5slR5AoTdp5y1dkhUZiDP/YxqoCBpBg8dzjjs45QGn7lx95yBflSBAKqzDWOtg==" saltValue="gtom8SV9/YVv7DLI2ASE1Q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383"/>
    <col min="2" max="25" width="4.73046875" style="383" customWidth="1"/>
    <col min="26" max="16384" width="9.1328125" style="383"/>
  </cols>
  <sheetData>
    <row r="1" spans="1:25" x14ac:dyDescent="0.35">
      <c r="A1" s="435" t="s">
        <v>417</v>
      </c>
    </row>
    <row r="2" spans="1:25" x14ac:dyDescent="0.35">
      <c r="A2" s="383" t="s">
        <v>408</v>
      </c>
      <c r="B2" s="383">
        <v>20</v>
      </c>
    </row>
    <row r="3" spans="1:25" x14ac:dyDescent="0.35">
      <c r="A3" s="383" t="s">
        <v>418</v>
      </c>
      <c r="B3" s="383">
        <v>9</v>
      </c>
    </row>
    <row r="4" spans="1:25" x14ac:dyDescent="0.35">
      <c r="A4" s="383" t="s">
        <v>419</v>
      </c>
      <c r="B4" s="383">
        <v>9</v>
      </c>
      <c r="C4" s="383">
        <v>21</v>
      </c>
    </row>
    <row r="5" spans="1:25" x14ac:dyDescent="0.35">
      <c r="A5" s="383" t="s">
        <v>420</v>
      </c>
      <c r="B5" s="383">
        <v>9</v>
      </c>
      <c r="C5" s="383">
        <v>17</v>
      </c>
      <c r="D5" s="383">
        <v>1</v>
      </c>
    </row>
    <row r="6" spans="1:25" x14ac:dyDescent="0.35">
      <c r="A6" s="435" t="s">
        <v>421</v>
      </c>
      <c r="B6" s="383">
        <v>9</v>
      </c>
      <c r="C6" s="383">
        <v>15</v>
      </c>
      <c r="D6" s="383">
        <v>21</v>
      </c>
      <c r="E6" s="383">
        <v>3</v>
      </c>
    </row>
    <row r="7" spans="1:25" x14ac:dyDescent="0.35">
      <c r="A7" s="441" t="s">
        <v>467</v>
      </c>
      <c r="B7" s="383">
        <v>9</v>
      </c>
      <c r="C7" s="383">
        <v>12</v>
      </c>
      <c r="D7" s="383">
        <v>15</v>
      </c>
      <c r="E7" s="383">
        <v>18</v>
      </c>
      <c r="F7" s="383">
        <v>22</v>
      </c>
    </row>
    <row r="8" spans="1:25" x14ac:dyDescent="0.35">
      <c r="A8" s="383" t="s">
        <v>196</v>
      </c>
      <c r="B8" s="383">
        <v>9</v>
      </c>
      <c r="C8" s="383">
        <v>13</v>
      </c>
      <c r="D8" s="383">
        <v>17</v>
      </c>
      <c r="E8" s="383">
        <v>21</v>
      </c>
      <c r="F8" s="383">
        <v>1</v>
      </c>
      <c r="G8" s="383">
        <v>5</v>
      </c>
    </row>
    <row r="9" spans="1:25" x14ac:dyDescent="0.35">
      <c r="A9" s="383" t="s">
        <v>197</v>
      </c>
      <c r="B9" s="383">
        <v>11</v>
      </c>
      <c r="C9" s="383">
        <v>14</v>
      </c>
      <c r="D9" s="383">
        <v>17</v>
      </c>
      <c r="E9" s="383">
        <v>20</v>
      </c>
      <c r="F9" s="383">
        <v>23</v>
      </c>
      <c r="G9" s="383">
        <v>2</v>
      </c>
      <c r="H9" s="383">
        <v>5</v>
      </c>
      <c r="I9" s="383">
        <v>8</v>
      </c>
    </row>
    <row r="10" spans="1:25" x14ac:dyDescent="0.35">
      <c r="A10" s="383" t="s">
        <v>198</v>
      </c>
      <c r="B10" s="383">
        <v>9</v>
      </c>
      <c r="C10" s="383">
        <v>11</v>
      </c>
      <c r="D10" s="383">
        <v>13</v>
      </c>
      <c r="E10" s="383">
        <v>15</v>
      </c>
      <c r="F10" s="383">
        <v>17</v>
      </c>
      <c r="G10" s="383">
        <v>19</v>
      </c>
      <c r="H10" s="383">
        <v>21</v>
      </c>
      <c r="I10" s="383">
        <v>23</v>
      </c>
      <c r="J10" s="383">
        <v>1</v>
      </c>
      <c r="K10" s="383">
        <v>3</v>
      </c>
      <c r="L10" s="383">
        <v>5</v>
      </c>
      <c r="M10" s="383">
        <v>7</v>
      </c>
    </row>
    <row r="11" spans="1:25" x14ac:dyDescent="0.35">
      <c r="A11" s="383" t="s">
        <v>26</v>
      </c>
      <c r="B11" s="383">
        <v>9</v>
      </c>
      <c r="C11" s="383">
        <v>10</v>
      </c>
      <c r="D11" s="383">
        <v>11</v>
      </c>
      <c r="E11" s="383">
        <v>12</v>
      </c>
      <c r="F11" s="383">
        <v>13</v>
      </c>
      <c r="G11" s="383">
        <v>14</v>
      </c>
      <c r="H11" s="383">
        <v>15</v>
      </c>
      <c r="I11" s="383">
        <v>16</v>
      </c>
      <c r="J11" s="383">
        <v>17</v>
      </c>
      <c r="K11" s="383">
        <v>18</v>
      </c>
      <c r="L11" s="383">
        <v>19</v>
      </c>
      <c r="M11" s="383">
        <v>20</v>
      </c>
      <c r="N11" s="383">
        <v>21</v>
      </c>
      <c r="O11" s="383">
        <v>22</v>
      </c>
      <c r="P11" s="383">
        <v>23</v>
      </c>
      <c r="Q11" s="383">
        <v>24</v>
      </c>
      <c r="R11" s="383">
        <v>1</v>
      </c>
      <c r="S11" s="383">
        <v>2</v>
      </c>
      <c r="T11" s="383">
        <v>3</v>
      </c>
      <c r="U11" s="383">
        <v>4</v>
      </c>
      <c r="V11" s="383">
        <v>5</v>
      </c>
      <c r="W11" s="383">
        <v>6</v>
      </c>
      <c r="X11" s="383">
        <v>7</v>
      </c>
      <c r="Y11" s="383">
        <v>8</v>
      </c>
    </row>
    <row r="13" spans="1:25" x14ac:dyDescent="0.35">
      <c r="A13" s="383">
        <v>10</v>
      </c>
      <c r="B13" s="383" t="s">
        <v>418</v>
      </c>
      <c r="C13" s="383" t="s">
        <v>419</v>
      </c>
      <c r="D13" s="383" t="s">
        <v>420</v>
      </c>
      <c r="E13" s="383" t="s">
        <v>421</v>
      </c>
      <c r="F13" s="384" t="s">
        <v>467</v>
      </c>
      <c r="G13" s="384" t="s">
        <v>196</v>
      </c>
      <c r="H13" s="384" t="s">
        <v>197</v>
      </c>
      <c r="I13" s="384" t="s">
        <v>198</v>
      </c>
      <c r="J13" s="384" t="s">
        <v>26</v>
      </c>
    </row>
    <row r="15" spans="1:25" x14ac:dyDescent="0.35">
      <c r="B15" s="383">
        <v>2</v>
      </c>
      <c r="C15" s="383">
        <v>3</v>
      </c>
      <c r="D15" s="383">
        <v>4</v>
      </c>
      <c r="E15" s="383">
        <v>5</v>
      </c>
      <c r="F15" s="383">
        <v>6</v>
      </c>
      <c r="G15" s="383">
        <v>7</v>
      </c>
      <c r="H15" s="383">
        <v>8</v>
      </c>
      <c r="I15" s="383">
        <v>9</v>
      </c>
      <c r="J15" s="383">
        <v>10</v>
      </c>
      <c r="K15" s="383">
        <v>11</v>
      </c>
      <c r="L15" s="383">
        <v>12</v>
      </c>
      <c r="M15" s="383">
        <v>13</v>
      </c>
      <c r="N15" s="383">
        <v>14</v>
      </c>
      <c r="O15" s="383">
        <v>15</v>
      </c>
      <c r="P15" s="383">
        <v>16</v>
      </c>
      <c r="Q15" s="383">
        <v>17</v>
      </c>
      <c r="R15" s="383">
        <v>18</v>
      </c>
      <c r="S15" s="383">
        <v>19</v>
      </c>
      <c r="T15" s="383">
        <v>20</v>
      </c>
      <c r="U15" s="383">
        <v>21</v>
      </c>
      <c r="V15" s="383">
        <v>22</v>
      </c>
      <c r="W15" s="383">
        <v>23</v>
      </c>
      <c r="X15" s="383">
        <v>24</v>
      </c>
      <c r="Y15" s="383">
        <v>25</v>
      </c>
    </row>
    <row r="16" spans="1:25" x14ac:dyDescent="0.35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35">
      <c r="A17" s="383" t="s">
        <v>418</v>
      </c>
      <c r="B17" s="14" t="s">
        <v>199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35">
      <c r="A18" s="383" t="s">
        <v>419</v>
      </c>
      <c r="B18" s="14" t="s">
        <v>199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199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35">
      <c r="A19" s="383" t="s">
        <v>420</v>
      </c>
      <c r="B19" s="14" t="s">
        <v>199</v>
      </c>
      <c r="C19" s="14"/>
      <c r="D19" s="14"/>
      <c r="E19" s="14"/>
      <c r="F19" s="14"/>
      <c r="G19" s="14"/>
      <c r="H19" s="14"/>
      <c r="I19" s="14"/>
      <c r="J19" s="14" t="s">
        <v>199</v>
      </c>
      <c r="K19" s="14"/>
      <c r="L19" s="14"/>
      <c r="M19" s="14"/>
      <c r="N19" s="14"/>
      <c r="O19" s="14"/>
      <c r="P19" s="14"/>
      <c r="Q19" s="14"/>
      <c r="R19" s="14" t="s">
        <v>199</v>
      </c>
      <c r="S19" s="14"/>
      <c r="T19" s="14"/>
      <c r="U19" s="14"/>
      <c r="V19" s="14"/>
      <c r="W19" s="14"/>
      <c r="X19" s="14"/>
      <c r="Y19" s="14"/>
    </row>
    <row r="20" spans="1:25" x14ac:dyDescent="0.35">
      <c r="A20" s="383" t="s">
        <v>421</v>
      </c>
      <c r="B20" s="14" t="s">
        <v>199</v>
      </c>
      <c r="C20" s="14"/>
      <c r="D20" s="14"/>
      <c r="E20" s="14"/>
      <c r="F20" s="14"/>
      <c r="G20" s="14"/>
      <c r="H20" s="14" t="s">
        <v>199</v>
      </c>
      <c r="I20" s="14"/>
      <c r="J20" s="14"/>
      <c r="K20" s="14"/>
      <c r="L20" s="14"/>
      <c r="M20" s="14"/>
      <c r="N20" s="14" t="s">
        <v>199</v>
      </c>
      <c r="O20" s="14"/>
      <c r="P20" s="14"/>
      <c r="Q20" s="14"/>
      <c r="R20" s="14"/>
      <c r="S20" s="14"/>
      <c r="T20" s="14" t="s">
        <v>199</v>
      </c>
      <c r="U20" s="14"/>
      <c r="V20" s="14"/>
      <c r="W20" s="14"/>
      <c r="X20" s="14"/>
      <c r="Y20" s="14"/>
    </row>
    <row r="21" spans="1:25" x14ac:dyDescent="0.35">
      <c r="A21" s="383" t="s">
        <v>467</v>
      </c>
      <c r="B21" s="14" t="s">
        <v>199</v>
      </c>
      <c r="C21" s="14"/>
      <c r="D21" s="14"/>
      <c r="E21" s="14" t="s">
        <v>199</v>
      </c>
      <c r="F21" s="14"/>
      <c r="G21" s="14"/>
      <c r="H21" s="14" t="s">
        <v>199</v>
      </c>
      <c r="I21" s="14"/>
      <c r="J21" s="14"/>
      <c r="K21" s="14" t="s">
        <v>199</v>
      </c>
      <c r="L21" s="14"/>
      <c r="M21" s="14"/>
      <c r="N21" s="14"/>
      <c r="O21" s="14" t="s">
        <v>199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35">
      <c r="A22" s="383" t="s">
        <v>196</v>
      </c>
      <c r="B22" s="14" t="s">
        <v>199</v>
      </c>
      <c r="C22" s="14"/>
      <c r="D22" s="14"/>
      <c r="E22" s="14"/>
      <c r="F22" s="14" t="s">
        <v>199</v>
      </c>
      <c r="G22" s="14"/>
      <c r="H22" s="14"/>
      <c r="I22" s="14"/>
      <c r="J22" s="14" t="s">
        <v>199</v>
      </c>
      <c r="K22" s="14"/>
      <c r="L22" s="14"/>
      <c r="M22" s="14"/>
      <c r="N22" s="14" t="s">
        <v>199</v>
      </c>
      <c r="O22" s="14"/>
      <c r="P22" s="14"/>
      <c r="Q22" s="14"/>
      <c r="R22" s="14" t="s">
        <v>199</v>
      </c>
      <c r="S22" s="14"/>
      <c r="T22" s="14"/>
      <c r="U22" s="14"/>
      <c r="V22" s="14" t="s">
        <v>199</v>
      </c>
      <c r="X22" s="14"/>
      <c r="Y22" s="14"/>
    </row>
    <row r="23" spans="1:25" x14ac:dyDescent="0.35">
      <c r="A23" s="384" t="s">
        <v>197</v>
      </c>
      <c r="B23" s="14"/>
      <c r="C23" s="14"/>
      <c r="D23" s="14" t="s">
        <v>199</v>
      </c>
      <c r="E23" s="14"/>
      <c r="F23" s="14"/>
      <c r="G23" s="14" t="s">
        <v>199</v>
      </c>
      <c r="H23" s="14"/>
      <c r="I23" s="14"/>
      <c r="J23" s="14" t="s">
        <v>199</v>
      </c>
      <c r="K23" s="14"/>
      <c r="L23" s="14"/>
      <c r="M23" s="14" t="s">
        <v>199</v>
      </c>
      <c r="N23" s="14"/>
      <c r="O23" s="14"/>
      <c r="P23" s="14" t="s">
        <v>199</v>
      </c>
      <c r="Q23" s="14"/>
      <c r="R23" s="14"/>
      <c r="S23" s="14" t="s">
        <v>199</v>
      </c>
      <c r="T23" s="14"/>
      <c r="U23" s="14"/>
      <c r="V23" s="14" t="s">
        <v>199</v>
      </c>
      <c r="W23" s="14"/>
      <c r="X23" s="14"/>
      <c r="Y23" s="14" t="s">
        <v>199</v>
      </c>
    </row>
    <row r="24" spans="1:25" x14ac:dyDescent="0.35">
      <c r="A24" s="384" t="s">
        <v>198</v>
      </c>
      <c r="B24" s="14" t="s">
        <v>199</v>
      </c>
      <c r="C24" s="14"/>
      <c r="D24" s="14" t="s">
        <v>199</v>
      </c>
      <c r="E24" s="14"/>
      <c r="F24" s="14" t="s">
        <v>199</v>
      </c>
      <c r="G24" s="14"/>
      <c r="H24" s="14" t="s">
        <v>199</v>
      </c>
      <c r="I24" s="14"/>
      <c r="J24" s="14" t="s">
        <v>199</v>
      </c>
      <c r="K24" s="14"/>
      <c r="L24" s="14" t="s">
        <v>199</v>
      </c>
      <c r="M24" s="14"/>
      <c r="N24" s="14" t="s">
        <v>199</v>
      </c>
      <c r="O24" s="14"/>
      <c r="P24" s="14" t="s">
        <v>199</v>
      </c>
      <c r="Q24" s="14"/>
      <c r="R24" s="14" t="s">
        <v>199</v>
      </c>
      <c r="S24" s="14"/>
      <c r="T24" s="14" t="s">
        <v>199</v>
      </c>
      <c r="U24" s="14"/>
      <c r="V24" s="14" t="s">
        <v>199</v>
      </c>
      <c r="W24" s="14"/>
      <c r="X24" s="14" t="s">
        <v>199</v>
      </c>
      <c r="Y24" s="14"/>
    </row>
    <row r="25" spans="1:25" x14ac:dyDescent="0.35">
      <c r="A25" s="384" t="s">
        <v>26</v>
      </c>
      <c r="B25" s="14" t="s">
        <v>199</v>
      </c>
      <c r="C25" s="14" t="s">
        <v>199</v>
      </c>
      <c r="D25" s="14" t="s">
        <v>199</v>
      </c>
      <c r="E25" s="14" t="s">
        <v>199</v>
      </c>
      <c r="F25" s="14" t="s">
        <v>199</v>
      </c>
      <c r="G25" s="14" t="s">
        <v>199</v>
      </c>
      <c r="H25" s="14" t="s">
        <v>199</v>
      </c>
      <c r="I25" s="14" t="s">
        <v>199</v>
      </c>
      <c r="J25" s="14" t="s">
        <v>199</v>
      </c>
      <c r="K25" s="14" t="s">
        <v>199</v>
      </c>
      <c r="L25" s="14" t="s">
        <v>199</v>
      </c>
      <c r="M25" s="14" t="s">
        <v>199</v>
      </c>
      <c r="N25" s="14" t="s">
        <v>199</v>
      </c>
      <c r="O25" s="14" t="s">
        <v>199</v>
      </c>
      <c r="P25" s="14" t="s">
        <v>199</v>
      </c>
      <c r="Q25" s="14" t="s">
        <v>199</v>
      </c>
      <c r="R25" s="14" t="s">
        <v>199</v>
      </c>
      <c r="S25" s="14" t="s">
        <v>199</v>
      </c>
      <c r="T25" s="14" t="s">
        <v>199</v>
      </c>
      <c r="U25" s="14" t="s">
        <v>199</v>
      </c>
      <c r="V25" s="14" t="s">
        <v>199</v>
      </c>
      <c r="W25" s="14" t="s">
        <v>199</v>
      </c>
      <c r="X25" s="14" t="s">
        <v>199</v>
      </c>
      <c r="Y25" s="14" t="s">
        <v>199</v>
      </c>
    </row>
    <row r="26" spans="1:25" x14ac:dyDescent="0.35">
      <c r="A26" s="384" t="s">
        <v>398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199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35">
      <c r="A27" s="384" t="s">
        <v>468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28" activePane="bottomLeft" state="frozen"/>
      <selection pane="bottomLeft" activeCell="G35" sqref="G35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06" customFormat="1" x14ac:dyDescent="0.35">
      <c r="A1" s="447"/>
    </row>
    <row r="2" spans="1:17" s="106" customFormat="1" ht="17.25" customHeight="1" x14ac:dyDescent="0.4">
      <c r="B2" s="107" t="s">
        <v>326</v>
      </c>
      <c r="C2" s="108">
        <f ca="1">Var_AfspraakDatum</f>
        <v>42739</v>
      </c>
      <c r="D2" s="109"/>
      <c r="E2" s="107" t="s">
        <v>327</v>
      </c>
      <c r="F2" s="110">
        <f>_Pat_OpnDatum</f>
        <v>42370</v>
      </c>
      <c r="G2" s="107" t="str">
        <f ca="1">"ICU-dag: "&amp;Var_AfspraakDatum-_Pat_OpnDatum+1</f>
        <v>ICU-dag: 370</v>
      </c>
      <c r="H2" s="107"/>
      <c r="I2" s="218" t="s">
        <v>549</v>
      </c>
      <c r="J2" s="112">
        <f>__1_Bed</f>
        <v>0</v>
      </c>
    </row>
    <row r="3" spans="1:17" s="106" customFormat="1" ht="17.25" customHeight="1" x14ac:dyDescent="0.4">
      <c r="B3" s="107" t="s">
        <v>28</v>
      </c>
      <c r="C3" s="111" t="str">
        <f>__2_AchterNaam&amp;", "&amp;__3_VoorNaam</f>
        <v xml:space="preserve">, </v>
      </c>
      <c r="D3" s="111"/>
      <c r="E3" s="107" t="s">
        <v>334</v>
      </c>
      <c r="F3" s="110">
        <f>__4_GebDatum</f>
        <v>0</v>
      </c>
      <c r="G3" s="112" t="str">
        <f>"Gewicht: "&amp;_Pat_Gewicht/10&amp;" kg"</f>
        <v>Gewicht: 10 kg</v>
      </c>
      <c r="H3" s="107"/>
      <c r="I3" s="112" t="str">
        <f>"Lengte: "&amp;_Pat_Lengte&amp;" cm"</f>
        <v>Lengte: 80 cm</v>
      </c>
      <c r="J3" s="107"/>
    </row>
    <row r="4" spans="1:17" s="106" customFormat="1" ht="17.25" customHeight="1" x14ac:dyDescent="0.4">
      <c r="A4" s="122"/>
      <c r="B4" s="107" t="s">
        <v>369</v>
      </c>
      <c r="C4" s="112">
        <f>__0_PatNum</f>
        <v>0</v>
      </c>
      <c r="D4" s="109"/>
      <c r="E4" s="107" t="s">
        <v>296</v>
      </c>
      <c r="F4" s="114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07"/>
      <c r="I4" s="107" t="str">
        <f>"Lichamelijk oppervlak: "&amp;ROUND(POWER(_Pat_Gewicht/10,0.425)*POWER(((_Pat_Lengte/100)*100),0.725)*0.007184,2)&amp;" m2"</f>
        <v>Lichamelijk oppervlak: 0,46 m2</v>
      </c>
      <c r="J4" s="107"/>
    </row>
    <row r="5" spans="1:17" x14ac:dyDescent="0.35">
      <c r="G5" s="383"/>
      <c r="H5" s="383"/>
    </row>
    <row r="6" spans="1:17" ht="13.2" x14ac:dyDescent="0.4">
      <c r="A6" s="435"/>
      <c r="B6" s="2" t="s">
        <v>778</v>
      </c>
      <c r="F6" s="2" t="s">
        <v>716</v>
      </c>
      <c r="G6" s="383"/>
      <c r="H6" s="2"/>
      <c r="I6" s="2" t="s">
        <v>785</v>
      </c>
      <c r="J6" s="383"/>
      <c r="K6" s="383"/>
      <c r="Q6" s="388"/>
    </row>
    <row r="7" spans="1:17" ht="18" customHeight="1" x14ac:dyDescent="0.35">
      <c r="G7" s="383"/>
      <c r="H7" s="383"/>
      <c r="I7" s="383"/>
      <c r="J7" s="383"/>
      <c r="K7" s="383"/>
      <c r="Q7" s="384"/>
    </row>
    <row r="8" spans="1:17" ht="18" customHeight="1" x14ac:dyDescent="0.35">
      <c r="C8" s="467" t="str">
        <f>IF(_Neo_AfsprD_GewichtFrequentie=0,"",_Neo_AfsprD_GewichtFrequentie)</f>
        <v/>
      </c>
      <c r="D8" s="416"/>
      <c r="G8" s="383"/>
      <c r="H8" s="383"/>
      <c r="I8" s="383"/>
      <c r="J8" s="467" t="str">
        <f>IF(_Neo_AfsprD_AantalLampen=0,"0 lamp(en)",CONCATENATE(_Neo_AfsprD_AantalLampen, " lamp(en)"))</f>
        <v>0 lamp(en)</v>
      </c>
      <c r="Q8" s="384"/>
    </row>
    <row r="9" spans="1:17" ht="18" customHeight="1" x14ac:dyDescent="0.35">
      <c r="C9" s="467" t="str">
        <f>IF(_Neo_AfsprD_LengteFrequentie=0,"",_Neo_AfsprD_LengteFrequentie)</f>
        <v/>
      </c>
      <c r="D9" s="416"/>
      <c r="G9" s="383"/>
      <c r="H9" s="383"/>
      <c r="I9" s="383"/>
      <c r="J9" s="383"/>
      <c r="K9" s="383"/>
      <c r="M9" s="383"/>
      <c r="N9" s="383"/>
      <c r="Q9" s="383"/>
    </row>
    <row r="10" spans="1:17" ht="18" customHeight="1" x14ac:dyDescent="0.35">
      <c r="A10" s="383"/>
      <c r="B10" s="383"/>
      <c r="C10" s="467" t="str">
        <f>IF(_Neo_AfsprD_SchedelFrequentie=0,"",_Neo_AfsprD_SchedelFrequentie)</f>
        <v/>
      </c>
      <c r="D10" s="416"/>
      <c r="G10" s="383"/>
      <c r="H10" s="383"/>
      <c r="I10" s="383"/>
      <c r="J10" s="383"/>
      <c r="K10" s="383"/>
      <c r="M10" s="383"/>
      <c r="N10" s="383"/>
      <c r="Q10" s="383"/>
    </row>
    <row r="11" spans="1:17" ht="18" customHeight="1" x14ac:dyDescent="0.35">
      <c r="G11" s="383"/>
      <c r="H11" s="383"/>
      <c r="I11" s="383"/>
      <c r="J11" s="383"/>
      <c r="K11" s="383"/>
      <c r="M11" s="383"/>
      <c r="N11" s="383"/>
    </row>
    <row r="12" spans="1:17" ht="18" customHeight="1" x14ac:dyDescent="0.35">
      <c r="C12" s="407" t="str">
        <f>CONCATENATE(NeoBerAfspr!$B$12," dd")</f>
        <v xml:space="preserve"> dd</v>
      </c>
      <c r="D12" s="406"/>
      <c r="G12" s="383"/>
      <c r="H12" s="383"/>
      <c r="I12" s="383"/>
      <c r="J12" s="383"/>
      <c r="K12" s="383"/>
      <c r="M12" s="383"/>
    </row>
    <row r="13" spans="1:17" ht="18" customHeight="1" x14ac:dyDescent="0.35">
      <c r="G13" s="383"/>
      <c r="H13" s="383"/>
      <c r="I13" s="383"/>
      <c r="J13" s="383"/>
      <c r="K13" s="383"/>
      <c r="M13" s="383"/>
    </row>
    <row r="14" spans="1:17" ht="18" customHeight="1" x14ac:dyDescent="0.35">
      <c r="G14" s="383"/>
      <c r="H14" s="383"/>
      <c r="I14" s="383"/>
      <c r="J14" s="383"/>
      <c r="K14" s="383"/>
      <c r="M14" s="384"/>
    </row>
    <row r="15" spans="1:17" ht="18" customHeight="1" x14ac:dyDescent="0.35">
      <c r="G15" s="383"/>
      <c r="H15" s="383"/>
      <c r="I15" s="383"/>
      <c r="J15" s="383"/>
      <c r="K15" s="383"/>
      <c r="M15" s="384"/>
    </row>
    <row r="16" spans="1:17" ht="18" customHeight="1" x14ac:dyDescent="0.35">
      <c r="G16" s="383"/>
      <c r="H16" s="383"/>
      <c r="I16" s="383"/>
      <c r="J16" s="383"/>
      <c r="K16" s="383"/>
      <c r="M16" s="383"/>
    </row>
    <row r="17" spans="1:14" ht="18" customHeight="1" x14ac:dyDescent="0.35">
      <c r="G17" s="383"/>
      <c r="H17" s="383"/>
      <c r="I17" s="383"/>
      <c r="J17" s="407" t="str">
        <f>CONCATENATE(NeoBerAfspr!$K$17," dd")</f>
        <v xml:space="preserve"> dd</v>
      </c>
      <c r="K17" s="407" t="str">
        <f>CONCATENATE(NeoBerAfspr!$L$17," ml")</f>
        <v xml:space="preserve"> ml</v>
      </c>
      <c r="M17" s="384"/>
      <c r="N17" s="383"/>
    </row>
    <row r="18" spans="1:14" ht="18" customHeight="1" x14ac:dyDescent="0.35">
      <c r="G18" s="383"/>
      <c r="H18" s="383"/>
      <c r="I18" s="383"/>
      <c r="J18" s="406"/>
      <c r="K18" s="406"/>
      <c r="M18" s="384"/>
      <c r="N18" s="383"/>
    </row>
    <row r="19" spans="1:14" ht="18" customHeight="1" x14ac:dyDescent="0.35">
      <c r="G19" s="383"/>
      <c r="H19" s="383"/>
      <c r="I19" s="383"/>
      <c r="J19" s="407" t="str">
        <f>CONCATENATE("à ",_Neo_AfsprD_VerliezenFrequentie," uur")</f>
        <v>à  uur</v>
      </c>
      <c r="K19" s="383"/>
      <c r="M19" s="384"/>
      <c r="N19" s="384"/>
    </row>
    <row r="20" spans="1:14" ht="18" customHeight="1" x14ac:dyDescent="0.35">
      <c r="G20" s="383"/>
      <c r="H20" s="383"/>
      <c r="I20" s="383"/>
      <c r="J20" s="383"/>
      <c r="K20" s="383"/>
      <c r="M20" s="384"/>
      <c r="N20" s="383"/>
    </row>
    <row r="21" spans="1:14" ht="18" customHeight="1" x14ac:dyDescent="0.4">
      <c r="B21" s="2" t="s">
        <v>784</v>
      </c>
      <c r="G21" s="383"/>
      <c r="H21" s="383"/>
      <c r="I21" s="383"/>
      <c r="J21" s="383"/>
      <c r="K21" s="383"/>
      <c r="M21" s="383"/>
      <c r="N21" s="384"/>
    </row>
    <row r="22" spans="1:14" ht="18" customHeight="1" x14ac:dyDescent="0.35">
      <c r="G22" s="383"/>
      <c r="H22" s="383"/>
      <c r="I22" s="383"/>
      <c r="J22" s="383"/>
      <c r="K22" s="383"/>
      <c r="M22" s="384"/>
      <c r="N22" s="384"/>
    </row>
    <row r="23" spans="1:14" ht="18" customHeight="1" x14ac:dyDescent="0.35">
      <c r="G23" s="383"/>
      <c r="H23" s="383"/>
      <c r="I23" s="383"/>
      <c r="J23" s="383"/>
      <c r="K23" s="383"/>
      <c r="M23" s="383"/>
      <c r="N23" s="383"/>
    </row>
    <row r="24" spans="1:14" ht="18" customHeight="1" x14ac:dyDescent="0.35">
      <c r="G24" s="383"/>
      <c r="H24" s="383"/>
      <c r="I24" s="383"/>
      <c r="J24" s="383"/>
      <c r="K24" s="383"/>
      <c r="M24" s="384"/>
      <c r="N24" s="384"/>
    </row>
    <row r="25" spans="1:14" ht="18" customHeight="1" x14ac:dyDescent="0.35">
      <c r="G25" s="383"/>
      <c r="H25" s="383"/>
      <c r="I25" s="383"/>
      <c r="J25" s="383"/>
      <c r="K25" s="383"/>
      <c r="M25" s="384"/>
      <c r="N25" s="384"/>
    </row>
    <row r="26" spans="1:14" ht="18" customHeight="1" x14ac:dyDescent="0.35">
      <c r="G26" s="383"/>
      <c r="H26" s="383"/>
      <c r="I26" s="383"/>
      <c r="J26" s="383"/>
      <c r="K26" s="383"/>
      <c r="M26" s="388"/>
      <c r="N26" s="384"/>
    </row>
    <row r="27" spans="1:14" ht="18" customHeight="1" x14ac:dyDescent="0.35">
      <c r="C27" s="384" t="s">
        <v>791</v>
      </c>
      <c r="D27" s="407" t="str">
        <f>CONCATENATE(NeoBerAfspr!C27," uur")</f>
        <v>12:00 uur</v>
      </c>
      <c r="G27" s="383"/>
      <c r="H27" s="383"/>
      <c r="I27" s="383"/>
      <c r="J27" s="383"/>
      <c r="K27" s="383"/>
      <c r="M27" s="384"/>
      <c r="N27" s="384"/>
    </row>
    <row r="28" spans="1:14" ht="18" customHeight="1" x14ac:dyDescent="0.35">
      <c r="G28" s="383"/>
      <c r="H28" s="383"/>
      <c r="I28" s="383"/>
      <c r="J28" s="383"/>
      <c r="K28" s="383"/>
      <c r="M28" s="384"/>
    </row>
    <row r="29" spans="1:14" ht="18" customHeight="1" x14ac:dyDescent="0.35">
      <c r="A29" s="383"/>
      <c r="B29" s="383"/>
      <c r="C29" s="383"/>
      <c r="D29" s="383"/>
      <c r="G29" s="383"/>
      <c r="H29" s="383"/>
      <c r="I29" s="383"/>
      <c r="J29" s="383"/>
      <c r="K29" s="383"/>
      <c r="M29" s="384"/>
    </row>
    <row r="30" spans="1:14" ht="18" customHeight="1" x14ac:dyDescent="0.35">
      <c r="A30" s="383"/>
      <c r="B30" s="383"/>
      <c r="C30" s="383"/>
      <c r="D30" s="383"/>
      <c r="G30" s="383"/>
      <c r="H30" s="383"/>
      <c r="I30" s="383"/>
      <c r="J30" s="383"/>
      <c r="K30" s="383"/>
      <c r="M30" s="383"/>
    </row>
    <row r="31" spans="1:14" ht="18" customHeight="1" x14ac:dyDescent="0.35">
      <c r="B31" s="383"/>
      <c r="C31" s="383"/>
      <c r="D31" s="383"/>
      <c r="G31" s="956" t="str">
        <f>IF(_Neo_AfsprB_WondkweekTekst=0,"",_Neo_AfsprB_WondkweekTekst)</f>
        <v/>
      </c>
      <c r="H31" s="956"/>
      <c r="L31" s="383"/>
      <c r="M31" s="383"/>
    </row>
    <row r="32" spans="1:14" ht="18" customHeight="1" x14ac:dyDescent="0.35">
      <c r="G32" s="956"/>
      <c r="H32" s="956"/>
      <c r="L32" s="383"/>
      <c r="M32" s="383"/>
    </row>
    <row r="33" spans="1:13" s="383" customFormat="1" ht="18" customHeight="1" x14ac:dyDescent="0.35">
      <c r="A33"/>
      <c r="B33"/>
      <c r="C33"/>
      <c r="D33"/>
      <c r="E33"/>
      <c r="G33" s="956"/>
      <c r="H33" s="956"/>
      <c r="L33"/>
    </row>
    <row r="34" spans="1:13" s="383" customFormat="1" ht="18" customHeight="1" x14ac:dyDescent="0.4">
      <c r="A34"/>
      <c r="B34" s="2" t="s">
        <v>1022</v>
      </c>
      <c r="C34"/>
      <c r="D34"/>
      <c r="E34"/>
      <c r="L34"/>
    </row>
    <row r="35" spans="1:13" ht="18" customHeight="1" x14ac:dyDescent="0.35">
      <c r="L35" s="383"/>
      <c r="M35" s="384"/>
    </row>
    <row r="36" spans="1:13" ht="18" customHeight="1" x14ac:dyDescent="0.35">
      <c r="E36" s="383"/>
      <c r="I36" s="383"/>
      <c r="J36" s="383"/>
      <c r="K36" s="383"/>
      <c r="L36" s="383"/>
      <c r="M36" s="384"/>
    </row>
    <row r="37" spans="1:13" s="383" customFormat="1" ht="18" customHeight="1" x14ac:dyDescent="0.35">
      <c r="L37"/>
      <c r="M37" s="384"/>
    </row>
    <row r="38" spans="1:13" s="383" customFormat="1" ht="18" customHeight="1" x14ac:dyDescent="0.35">
      <c r="B38" s="384"/>
      <c r="C38" s="384"/>
      <c r="M38" s="384"/>
    </row>
    <row r="39" spans="1:13" ht="18" customHeight="1" x14ac:dyDescent="0.35">
      <c r="A39" s="383"/>
      <c r="B39" s="384"/>
      <c r="C39" s="384"/>
      <c r="D39" s="383"/>
      <c r="E39" s="383"/>
      <c r="L39" s="383"/>
      <c r="M39" s="384"/>
    </row>
    <row r="40" spans="1:13" s="383" customFormat="1" ht="18" customHeight="1" x14ac:dyDescent="0.35">
      <c r="B40" s="384"/>
      <c r="C40" s="384"/>
      <c r="D40"/>
      <c r="E40"/>
      <c r="I40"/>
      <c r="J40"/>
      <c r="K40"/>
      <c r="M40" s="384"/>
    </row>
    <row r="41" spans="1:13" s="383" customFormat="1" ht="18" customHeight="1" x14ac:dyDescent="0.35">
      <c r="B41" s="384"/>
      <c r="C41" s="384"/>
      <c r="D41" s="468">
        <f>NeoBerAfspr!D47</f>
        <v>0</v>
      </c>
      <c r="E41" s="383" t="s">
        <v>1024</v>
      </c>
      <c r="I41"/>
      <c r="J41"/>
      <c r="K41"/>
      <c r="L41"/>
      <c r="M41" s="384"/>
    </row>
    <row r="42" spans="1:13" s="383" customFormat="1" ht="18" customHeight="1" x14ac:dyDescent="0.35">
      <c r="B42" s="384"/>
      <c r="I42"/>
      <c r="J42"/>
      <c r="K42"/>
      <c r="L42"/>
      <c r="M42" s="384"/>
    </row>
    <row r="43" spans="1:13" ht="18" customHeight="1" x14ac:dyDescent="0.35">
      <c r="A43" s="383"/>
      <c r="B43" s="384"/>
      <c r="C43" s="383"/>
      <c r="D43" s="383"/>
      <c r="E43" s="383"/>
      <c r="M43" s="384"/>
    </row>
    <row r="44" spans="1:13" ht="18" customHeight="1" x14ac:dyDescent="0.4">
      <c r="B44" s="2" t="s">
        <v>749</v>
      </c>
      <c r="M44" s="384"/>
    </row>
    <row r="45" spans="1:13" ht="18" customHeight="1" x14ac:dyDescent="0.35">
      <c r="B45" s="384" t="s">
        <v>778</v>
      </c>
      <c r="C45" s="383" t="str">
        <f>IFERROR(LEFT(Var_Neo_AfsprControles,LEN(Var_Neo_AfsprControles)-3),"")</f>
        <v/>
      </c>
      <c r="M45" s="384"/>
    </row>
    <row r="46" spans="1:13" ht="18" customHeight="1" x14ac:dyDescent="0.35">
      <c r="B46" s="384" t="s">
        <v>784</v>
      </c>
      <c r="C46" s="383" t="str">
        <f>IFERROR(LEFT(Var_Neo_AfsprOnderzoek,LEN(Var_Neo_AfsprOnderzoek)-3),"")</f>
        <v/>
      </c>
      <c r="M46" s="384"/>
    </row>
    <row r="47" spans="1:13" ht="18" customHeight="1" x14ac:dyDescent="0.35">
      <c r="B47" s="384" t="s">
        <v>1022</v>
      </c>
      <c r="C47" s="383" t="str">
        <f>IFERROR(LEFT(Var_Neo_AfsprInstellingen,LEN(Var_Neo_AfsprInstellingen)-3),"")</f>
        <v/>
      </c>
      <c r="M47" s="384"/>
    </row>
    <row r="48" spans="1:13" ht="18" customHeight="1" x14ac:dyDescent="0.35">
      <c r="B48" s="384" t="s">
        <v>716</v>
      </c>
      <c r="C48" t="str">
        <f>IFERROR(LEFT(Var_Neo_AfsprKweken,LEN(Var_Neo_AfsprKweken)-3),"")</f>
        <v/>
      </c>
      <c r="M48" s="384"/>
    </row>
    <row r="49" spans="2:13" ht="18" customHeight="1" x14ac:dyDescent="0.35">
      <c r="B49" s="384" t="s">
        <v>762</v>
      </c>
      <c r="C49" s="383" t="str">
        <f>IFERROR(LEFT(Var_Neo_AfsprOverig,LEN(Var_Neo_AfsprOverig)-3),"")</f>
        <v/>
      </c>
      <c r="M49" s="384"/>
    </row>
    <row r="50" spans="2:13" ht="18" customHeight="1" x14ac:dyDescent="0.35">
      <c r="M50" s="383"/>
    </row>
    <row r="51" spans="2:13" ht="18" customHeight="1" x14ac:dyDescent="0.35">
      <c r="M51" s="384"/>
    </row>
    <row r="52" spans="2:13" ht="18" customHeight="1" x14ac:dyDescent="0.35">
      <c r="M52" s="384"/>
    </row>
    <row r="53" spans="2:13" ht="18" customHeight="1" x14ac:dyDescent="0.35">
      <c r="M53" s="384"/>
    </row>
    <row r="54" spans="2:13" ht="18" customHeight="1" x14ac:dyDescent="0.35">
      <c r="M54" s="384"/>
    </row>
    <row r="55" spans="2:13" ht="18" customHeight="1" x14ac:dyDescent="0.35">
      <c r="M55" s="384"/>
    </row>
    <row r="56" spans="2:13" ht="18" customHeight="1" x14ac:dyDescent="0.35">
      <c r="M56" s="383"/>
    </row>
    <row r="57" spans="2:13" ht="18" customHeight="1" x14ac:dyDescent="0.35">
      <c r="M57" s="383"/>
    </row>
    <row r="58" spans="2:13" ht="18" customHeight="1" x14ac:dyDescent="0.35">
      <c r="M58" s="390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BO9M+41nJ2THg9o9R/Q35xx0SERG/Zuvb1o7u3rytgK36vjk/0ddvqJPHnWozh3kVzvmayIW3IkYuZtpJOIPvg==" saltValue="IkkXcrmKozCD0P+IcyFX+Q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389"/>
    <col min="5" max="5" width="17.86328125" customWidth="1"/>
    <col min="7" max="7" width="37.3984375" bestFit="1" customWidth="1"/>
    <col min="8" max="8" width="9.1328125" style="383" customWidth="1"/>
    <col min="9" max="9" width="28" style="414" bestFit="1" customWidth="1"/>
    <col min="11" max="11" width="13.59765625" customWidth="1"/>
  </cols>
  <sheetData>
    <row r="1" spans="1:13" x14ac:dyDescent="0.35">
      <c r="A1" s="435"/>
    </row>
    <row r="6" spans="1:13" ht="13.2" x14ac:dyDescent="0.4">
      <c r="A6" s="448" t="s">
        <v>778</v>
      </c>
      <c r="E6" s="2" t="s">
        <v>716</v>
      </c>
      <c r="I6" s="412" t="s">
        <v>762</v>
      </c>
    </row>
    <row r="7" spans="1:13" x14ac:dyDescent="0.35">
      <c r="A7" s="384" t="s">
        <v>711</v>
      </c>
      <c r="B7" s="435"/>
      <c r="E7" t="s">
        <v>718</v>
      </c>
      <c r="F7" s="435"/>
      <c r="I7" s="413" t="s">
        <v>748</v>
      </c>
      <c r="J7" s="435"/>
    </row>
    <row r="8" spans="1:13" x14ac:dyDescent="0.35">
      <c r="A8" s="384" t="s">
        <v>295</v>
      </c>
      <c r="B8" s="435"/>
      <c r="C8" s="441"/>
      <c r="D8" s="612"/>
      <c r="E8" t="s">
        <v>719</v>
      </c>
      <c r="F8" s="435"/>
      <c r="G8" t="s">
        <v>720</v>
      </c>
      <c r="H8" s="435"/>
      <c r="I8" s="413" t="s">
        <v>940</v>
      </c>
      <c r="J8" s="435"/>
      <c r="M8" s="383"/>
    </row>
    <row r="9" spans="1:13" x14ac:dyDescent="0.35">
      <c r="A9" s="384" t="s">
        <v>142</v>
      </c>
      <c r="B9" s="435"/>
      <c r="C9" s="435"/>
      <c r="D9" s="436"/>
      <c r="G9" t="s">
        <v>721</v>
      </c>
      <c r="H9" s="435"/>
      <c r="I9" s="413" t="s">
        <v>756</v>
      </c>
      <c r="J9" s="435"/>
      <c r="M9" s="383"/>
    </row>
    <row r="10" spans="1:13" x14ac:dyDescent="0.35">
      <c r="A10" s="384" t="s">
        <v>702</v>
      </c>
      <c r="B10" s="435"/>
      <c r="G10" t="s">
        <v>722</v>
      </c>
      <c r="H10" s="435"/>
      <c r="I10" s="413" t="s">
        <v>712</v>
      </c>
      <c r="J10" s="435"/>
      <c r="M10" s="383"/>
    </row>
    <row r="11" spans="1:13" x14ac:dyDescent="0.35">
      <c r="A11" s="384" t="s">
        <v>836</v>
      </c>
      <c r="B11" s="435"/>
      <c r="C11" s="384" t="s">
        <v>780</v>
      </c>
      <c r="D11" s="436"/>
      <c r="G11" t="s">
        <v>723</v>
      </c>
      <c r="H11" s="435"/>
      <c r="I11" s="413"/>
      <c r="J11" s="435"/>
      <c r="M11" s="383"/>
    </row>
    <row r="12" spans="1:13" x14ac:dyDescent="0.35">
      <c r="A12" s="384" t="s">
        <v>838</v>
      </c>
      <c r="B12" s="557"/>
      <c r="C12" s="409" t="s">
        <v>781</v>
      </c>
      <c r="D12" s="436"/>
      <c r="E12" s="384" t="s">
        <v>724</v>
      </c>
      <c r="F12" s="435"/>
      <c r="I12" s="413" t="s">
        <v>757</v>
      </c>
      <c r="J12" s="435"/>
      <c r="M12" s="383"/>
    </row>
    <row r="13" spans="1:13" x14ac:dyDescent="0.35">
      <c r="C13" s="384" t="s">
        <v>782</v>
      </c>
      <c r="D13" s="436"/>
      <c r="E13" s="384" t="s">
        <v>725</v>
      </c>
      <c r="F13" s="435"/>
      <c r="G13" t="s">
        <v>732</v>
      </c>
      <c r="H13" s="435"/>
      <c r="I13" s="413" t="s">
        <v>708</v>
      </c>
      <c r="J13" s="435"/>
      <c r="M13" s="383"/>
    </row>
    <row r="14" spans="1:13" x14ac:dyDescent="0.35">
      <c r="C14" s="384" t="s">
        <v>783</v>
      </c>
      <c r="D14" s="436"/>
      <c r="E14" s="384" t="s">
        <v>726</v>
      </c>
      <c r="F14" s="435"/>
      <c r="I14" s="413" t="s">
        <v>709</v>
      </c>
      <c r="J14" s="435"/>
      <c r="M14" s="383"/>
    </row>
    <row r="15" spans="1:13" x14ac:dyDescent="0.35">
      <c r="A15" s="384" t="s">
        <v>837</v>
      </c>
      <c r="B15" s="435"/>
      <c r="E15" s="384" t="s">
        <v>727</v>
      </c>
      <c r="F15" s="435"/>
      <c r="G15" t="s">
        <v>733</v>
      </c>
      <c r="H15" s="435"/>
      <c r="I15" s="413" t="s">
        <v>710</v>
      </c>
      <c r="J15" s="435"/>
      <c r="M15" s="383"/>
    </row>
    <row r="16" spans="1:13" x14ac:dyDescent="0.35">
      <c r="A16" t="s">
        <v>704</v>
      </c>
      <c r="B16" s="435"/>
      <c r="E16" s="383"/>
      <c r="G16" t="s">
        <v>734</v>
      </c>
      <c r="H16" s="435"/>
      <c r="I16" s="413" t="s">
        <v>761</v>
      </c>
      <c r="J16" s="435"/>
      <c r="M16" s="383"/>
    </row>
    <row r="17" spans="1:13" x14ac:dyDescent="0.35">
      <c r="A17" s="384" t="s">
        <v>703</v>
      </c>
      <c r="B17" s="435"/>
      <c r="E17" s="384" t="s">
        <v>422</v>
      </c>
      <c r="F17" s="435"/>
      <c r="I17" s="413" t="s">
        <v>941</v>
      </c>
      <c r="J17" s="435"/>
      <c r="K17" s="441"/>
      <c r="L17" s="441"/>
      <c r="M17" s="383"/>
    </row>
    <row r="18" spans="1:13" x14ac:dyDescent="0.35">
      <c r="A18" s="384" t="s">
        <v>707</v>
      </c>
      <c r="B18" s="435"/>
      <c r="C18" s="435"/>
      <c r="D18" s="436"/>
      <c r="E18" s="384" t="s">
        <v>728</v>
      </c>
      <c r="F18" s="435"/>
      <c r="G18" t="s">
        <v>735</v>
      </c>
      <c r="H18" s="435"/>
      <c r="I18" s="413" t="s">
        <v>422</v>
      </c>
      <c r="J18" s="435"/>
      <c r="M18" s="383"/>
    </row>
    <row r="19" spans="1:13" x14ac:dyDescent="0.35">
      <c r="A19" s="384" t="s">
        <v>705</v>
      </c>
      <c r="B19" s="435"/>
      <c r="E19" s="383"/>
      <c r="G19" t="s">
        <v>736</v>
      </c>
      <c r="H19" s="435"/>
      <c r="I19" s="413" t="s">
        <v>758</v>
      </c>
      <c r="J19" s="435"/>
      <c r="M19" s="383"/>
    </row>
    <row r="20" spans="1:13" x14ac:dyDescent="0.35">
      <c r="E20" s="383"/>
      <c r="G20" t="s">
        <v>737</v>
      </c>
      <c r="H20" s="435"/>
      <c r="I20" s="413" t="s">
        <v>942</v>
      </c>
      <c r="J20" s="435"/>
      <c r="K20" s="613"/>
      <c r="L20" s="441"/>
      <c r="M20" s="383"/>
    </row>
    <row r="21" spans="1:13" ht="13.2" x14ac:dyDescent="0.4">
      <c r="A21" s="2" t="s">
        <v>784</v>
      </c>
      <c r="B21" s="435"/>
      <c r="E21" s="384" t="s">
        <v>729</v>
      </c>
      <c r="F21" s="435"/>
      <c r="I21" s="413"/>
      <c r="J21" s="383"/>
      <c r="K21" s="384" t="s">
        <v>943</v>
      </c>
      <c r="L21" s="435"/>
      <c r="M21" s="383"/>
    </row>
    <row r="22" spans="1:13" x14ac:dyDescent="0.35">
      <c r="A22" s="384" t="s">
        <v>717</v>
      </c>
      <c r="B22" s="435"/>
      <c r="C22" t="str">
        <f>IF(OR(D22=0,D22=1,D22=""),"",INDEX(tbl_Ped_aEEG,D22,1))</f>
        <v/>
      </c>
      <c r="D22" s="436"/>
      <c r="E22" s="384" t="s">
        <v>730</v>
      </c>
      <c r="F22" s="435"/>
      <c r="G22" t="s">
        <v>738</v>
      </c>
      <c r="H22" s="435"/>
      <c r="I22" s="413"/>
      <c r="J22" s="383"/>
      <c r="K22" s="384" t="s">
        <v>331</v>
      </c>
      <c r="L22" s="435"/>
      <c r="M22" s="383"/>
    </row>
    <row r="23" spans="1:13" x14ac:dyDescent="0.35">
      <c r="A23" s="384" t="s">
        <v>423</v>
      </c>
      <c r="B23" s="435"/>
      <c r="E23" s="384" t="s">
        <v>731</v>
      </c>
      <c r="F23" s="435"/>
      <c r="G23" t="s">
        <v>739</v>
      </c>
      <c r="H23" s="435"/>
      <c r="I23" s="413"/>
      <c r="J23" s="383"/>
      <c r="K23" s="384" t="s">
        <v>944</v>
      </c>
      <c r="L23" s="435"/>
      <c r="M23" s="383"/>
    </row>
    <row r="24" spans="1:13" x14ac:dyDescent="0.35">
      <c r="A24" s="384" t="s">
        <v>33</v>
      </c>
      <c r="B24" s="435"/>
      <c r="E24" s="383"/>
      <c r="G24" t="s">
        <v>740</v>
      </c>
      <c r="H24" s="435"/>
      <c r="I24" s="413" t="s">
        <v>786</v>
      </c>
      <c r="J24" s="435"/>
      <c r="K24" s="384" t="s">
        <v>787</v>
      </c>
      <c r="L24" s="435"/>
      <c r="M24" s="383"/>
    </row>
    <row r="25" spans="1:13" x14ac:dyDescent="0.35">
      <c r="A25" s="384" t="s">
        <v>754</v>
      </c>
      <c r="B25" s="435"/>
      <c r="E25" s="383"/>
      <c r="G25" t="s">
        <v>741</v>
      </c>
      <c r="H25" s="435"/>
      <c r="I25" s="413"/>
      <c r="K25" s="384" t="s">
        <v>788</v>
      </c>
      <c r="L25" s="435"/>
      <c r="M25" s="383"/>
    </row>
    <row r="26" spans="1:13" x14ac:dyDescent="0.35">
      <c r="A26" s="384" t="s">
        <v>755</v>
      </c>
      <c r="B26" s="435"/>
      <c r="E26" s="383"/>
      <c r="G26" t="s">
        <v>742</v>
      </c>
      <c r="H26" s="435"/>
      <c r="I26" s="413"/>
      <c r="K26" s="384" t="s">
        <v>789</v>
      </c>
      <c r="L26" s="435"/>
      <c r="M26" s="383"/>
    </row>
    <row r="27" spans="1:13" x14ac:dyDescent="0.35">
      <c r="A27" s="384" t="s">
        <v>424</v>
      </c>
      <c r="B27" s="435"/>
      <c r="C27" t="str">
        <f>REPLACE(INDEX(tbl_Ped_VertrekTijden,D27,2),1,1,"")</f>
        <v>12:00</v>
      </c>
      <c r="D27" s="436">
        <v>50</v>
      </c>
      <c r="E27" s="383"/>
      <c r="G27" t="s">
        <v>743</v>
      </c>
      <c r="H27" s="435"/>
      <c r="I27" s="413"/>
      <c r="K27" s="384" t="s">
        <v>790</v>
      </c>
      <c r="L27" s="435"/>
      <c r="M27" s="383"/>
    </row>
    <row r="28" spans="1:13" x14ac:dyDescent="0.35">
      <c r="A28" s="384" t="s">
        <v>839</v>
      </c>
      <c r="B28" s="435"/>
      <c r="E28" s="383"/>
      <c r="G28" t="s">
        <v>744</v>
      </c>
      <c r="H28" s="435"/>
      <c r="I28" s="413"/>
      <c r="K28" s="384" t="s">
        <v>306</v>
      </c>
      <c r="L28" s="435"/>
    </row>
    <row r="29" spans="1:13" x14ac:dyDescent="0.35">
      <c r="A29" s="384" t="s">
        <v>840</v>
      </c>
      <c r="B29" s="435"/>
      <c r="E29" s="383"/>
      <c r="G29" t="s">
        <v>745</v>
      </c>
      <c r="H29" s="435"/>
      <c r="I29" s="413" t="s">
        <v>603</v>
      </c>
      <c r="J29" s="435"/>
      <c r="K29" s="435"/>
    </row>
    <row r="30" spans="1:13" x14ac:dyDescent="0.35">
      <c r="A30" s="384" t="s">
        <v>706</v>
      </c>
      <c r="B30" s="435"/>
      <c r="E30" s="383"/>
      <c r="G30" t="s">
        <v>746</v>
      </c>
      <c r="H30" s="435"/>
      <c r="I30" s="413"/>
    </row>
    <row r="31" spans="1:13" x14ac:dyDescent="0.35">
      <c r="A31" s="384" t="s">
        <v>32</v>
      </c>
      <c r="B31" s="435"/>
      <c r="E31" s="384" t="s">
        <v>747</v>
      </c>
      <c r="F31" s="435"/>
      <c r="G31" s="441"/>
      <c r="H31" s="384"/>
      <c r="I31" s="413"/>
    </row>
    <row r="32" spans="1:13" ht="13.2" x14ac:dyDescent="0.4">
      <c r="A32" s="384" t="s">
        <v>19</v>
      </c>
      <c r="B32" s="435"/>
      <c r="E32" s="2"/>
      <c r="I32" s="413"/>
    </row>
    <row r="33" spans="1:9" ht="13.2" x14ac:dyDescent="0.4">
      <c r="A33" s="2" t="s">
        <v>1022</v>
      </c>
      <c r="B33" s="383"/>
      <c r="C33" s="383"/>
      <c r="E33" s="383"/>
      <c r="F33" s="383"/>
      <c r="G33" s="383"/>
      <c r="I33" s="413"/>
    </row>
    <row r="34" spans="1:9" x14ac:dyDescent="0.35">
      <c r="A34" s="384" t="s">
        <v>841</v>
      </c>
      <c r="B34" s="435"/>
      <c r="C34" s="383" t="str">
        <f>IF(OR(D34=0,D34=1,D34=""),"",INDEX(tbl_Ped_DrainLokatie,D34,0))</f>
        <v/>
      </c>
      <c r="D34" s="436"/>
      <c r="E34" t="str">
        <f>IF(OR(D22=0,D22=""),"",INDEX(tbl_Ped_aEEG,D22,1))</f>
        <v/>
      </c>
      <c r="I34" s="413"/>
    </row>
    <row r="35" spans="1:9" x14ac:dyDescent="0.35">
      <c r="C35" s="383" t="str">
        <f>IF(OR(D35=0,D35=1,D35=""),"",INDEX(tbl_Ped_DrainModus,D35,0))</f>
        <v/>
      </c>
      <c r="D35" s="436"/>
      <c r="I35" s="413"/>
    </row>
    <row r="36" spans="1:9" x14ac:dyDescent="0.35">
      <c r="C36" s="383" t="str">
        <f>IF(OR(D36=0,D36=1,D36=""),"",INDEX(tbl_Ped_DrainZuig,D36,0))</f>
        <v/>
      </c>
      <c r="D36" s="436"/>
      <c r="I36" s="413"/>
    </row>
    <row r="37" spans="1:9" x14ac:dyDescent="0.35">
      <c r="A37" s="384" t="s">
        <v>939</v>
      </c>
      <c r="B37" s="435"/>
      <c r="C37" s="383" t="str">
        <f>IF(OR(D37=0,D37=1,D37=""),"",INDEX(tbl_Ped_DrainLokatie,D37,0))</f>
        <v/>
      </c>
      <c r="D37" s="436"/>
      <c r="E37" s="383"/>
    </row>
    <row r="38" spans="1:9" x14ac:dyDescent="0.35">
      <c r="A38" s="383"/>
      <c r="B38" s="383"/>
      <c r="C38" s="383" t="str">
        <f>IF(OR(D38=0,D38=1,D38=""),"",INDEX(tbl_Ped_DrainModus,D38,0))</f>
        <v/>
      </c>
      <c r="D38" s="436"/>
    </row>
    <row r="39" spans="1:9" x14ac:dyDescent="0.35">
      <c r="A39" s="383"/>
      <c r="B39" s="383"/>
      <c r="C39" s="383" t="str">
        <f>IF(OR(D39=0,D39=1,D39=""),"",INDEX(tbl_Ped_DrainZuig,D39,0))</f>
        <v/>
      </c>
      <c r="D39" s="436"/>
    </row>
    <row r="40" spans="1:9" x14ac:dyDescent="0.35">
      <c r="A40" s="384" t="s">
        <v>1025</v>
      </c>
      <c r="B40" s="435"/>
      <c r="C40" s="383" t="str">
        <f>IF(OR(D40=0,D40=1,D40=""),"",INDEX(tbl_Ped_DrainLokatie,D40,0))</f>
        <v/>
      </c>
      <c r="D40" s="436"/>
      <c r="E40" s="383"/>
    </row>
    <row r="41" spans="1:9" x14ac:dyDescent="0.35">
      <c r="C41" s="383" t="str">
        <f>IF(OR(D41=0,D41=1,D41=""),"",INDEX(tbl_Ped_DrainModus,D41,0))</f>
        <v/>
      </c>
      <c r="D41" s="436"/>
    </row>
    <row r="42" spans="1:9" x14ac:dyDescent="0.35">
      <c r="C42" s="383" t="str">
        <f>IF(OR(D42=0,D42=1,D42=""),"",INDEX(tbl_Ped_DrainZuig,D42,0))</f>
        <v/>
      </c>
      <c r="D42" s="436"/>
    </row>
    <row r="43" spans="1:9" x14ac:dyDescent="0.35">
      <c r="A43" s="413" t="s">
        <v>760</v>
      </c>
      <c r="B43" s="435"/>
      <c r="C43" s="384" t="s">
        <v>1026</v>
      </c>
      <c r="D43" s="436"/>
      <c r="E43" s="383"/>
    </row>
    <row r="44" spans="1:9" x14ac:dyDescent="0.35">
      <c r="A44" s="384" t="s">
        <v>958</v>
      </c>
      <c r="B44" s="435"/>
      <c r="C44" s="384" t="s">
        <v>1026</v>
      </c>
      <c r="D44" s="436"/>
      <c r="E44" s="383"/>
    </row>
    <row r="45" spans="1:9" x14ac:dyDescent="0.35">
      <c r="A45" s="413" t="s">
        <v>759</v>
      </c>
      <c r="B45" s="435"/>
      <c r="C45" s="384" t="s">
        <v>1026</v>
      </c>
      <c r="D45" s="436"/>
      <c r="E45" s="383"/>
    </row>
    <row r="46" spans="1:9" x14ac:dyDescent="0.35">
      <c r="A46" s="384" t="s">
        <v>1023</v>
      </c>
      <c r="B46" s="435"/>
      <c r="C46" t="str">
        <f>IF(OR(D46=0,D46=1,D46=""),"",INDEX(tbl_Ped_LiquorDrain,D46,0))</f>
        <v/>
      </c>
      <c r="D46" s="436"/>
      <c r="E46" s="383"/>
    </row>
    <row r="47" spans="1:9" x14ac:dyDescent="0.35">
      <c r="C47" s="383" t="s">
        <v>1024</v>
      </c>
      <c r="D47" s="436"/>
    </row>
    <row r="55" spans="1:3" ht="13.2" x14ac:dyDescent="0.4">
      <c r="A55" s="2" t="s">
        <v>749</v>
      </c>
    </row>
    <row r="56" spans="1:3" x14ac:dyDescent="0.35">
      <c r="A56" s="384" t="s">
        <v>778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384" t="s">
        <v>784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384" t="s">
        <v>1022</v>
      </c>
      <c r="B58" s="383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83"/>
    </row>
    <row r="59" spans="1:3" x14ac:dyDescent="0.35">
      <c r="A59" s="384" t="s">
        <v>716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384" t="s">
        <v>762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384"/>
    </row>
    <row r="69" spans="1:1" x14ac:dyDescent="0.35">
      <c r="A69" s="384"/>
    </row>
    <row r="70" spans="1:1" x14ac:dyDescent="0.35">
      <c r="A70" s="383"/>
    </row>
    <row r="71" spans="1:1" x14ac:dyDescent="0.35">
      <c r="A71" s="384"/>
    </row>
    <row r="72" spans="1:1" x14ac:dyDescent="0.35">
      <c r="A72" s="384"/>
    </row>
    <row r="73" spans="1:1" x14ac:dyDescent="0.35">
      <c r="A73" s="384"/>
    </row>
    <row r="74" spans="1:1" x14ac:dyDescent="0.35">
      <c r="A74" s="384"/>
    </row>
    <row r="75" spans="1:1" x14ac:dyDescent="0.35">
      <c r="A75" s="384"/>
    </row>
    <row r="76" spans="1:1" x14ac:dyDescent="0.35">
      <c r="A76" s="384"/>
    </row>
    <row r="77" spans="1:1" x14ac:dyDescent="0.35">
      <c r="A77" s="384"/>
    </row>
    <row r="78" spans="1:1" x14ac:dyDescent="0.35">
      <c r="A78" s="384"/>
    </row>
    <row r="79" spans="1:1" x14ac:dyDescent="0.35">
      <c r="A79" s="384"/>
    </row>
    <row r="80" spans="1:1" x14ac:dyDescent="0.35">
      <c r="A80" s="384"/>
    </row>
    <row r="81" spans="1:1" x14ac:dyDescent="0.35">
      <c r="A81" s="384"/>
    </row>
    <row r="82" spans="1:1" x14ac:dyDescent="0.35">
      <c r="A82" s="384"/>
    </row>
    <row r="83" spans="1:1" x14ac:dyDescent="0.35">
      <c r="A83" s="383"/>
    </row>
    <row r="84" spans="1:1" x14ac:dyDescent="0.35">
      <c r="A84" s="384"/>
    </row>
    <row r="85" spans="1:1" x14ac:dyDescent="0.35">
      <c r="A85" s="384"/>
    </row>
    <row r="86" spans="1:1" x14ac:dyDescent="0.35">
      <c r="A86" s="388"/>
    </row>
    <row r="87" spans="1:1" x14ac:dyDescent="0.35">
      <c r="A87" s="384"/>
    </row>
    <row r="88" spans="1:1" x14ac:dyDescent="0.35">
      <c r="A88" s="384"/>
    </row>
    <row r="89" spans="1:1" x14ac:dyDescent="0.35">
      <c r="A89" s="384"/>
    </row>
    <row r="90" spans="1:1" x14ac:dyDescent="0.35">
      <c r="A90" s="384"/>
    </row>
    <row r="91" spans="1:1" x14ac:dyDescent="0.35">
      <c r="A91" s="384"/>
    </row>
    <row r="92" spans="1:1" x14ac:dyDescent="0.35">
      <c r="A92" s="384"/>
    </row>
    <row r="93" spans="1:1" x14ac:dyDescent="0.35">
      <c r="A93" s="384"/>
    </row>
    <row r="94" spans="1:1" x14ac:dyDescent="0.35">
      <c r="A94" s="384"/>
    </row>
    <row r="95" spans="1:1" x14ac:dyDescent="0.35">
      <c r="A95" s="384"/>
    </row>
    <row r="96" spans="1:1" x14ac:dyDescent="0.35">
      <c r="A96" s="384"/>
    </row>
    <row r="97" spans="1:1" x14ac:dyDescent="0.35">
      <c r="A97" s="384"/>
    </row>
    <row r="98" spans="1:1" x14ac:dyDescent="0.35">
      <c r="A98" s="384"/>
    </row>
    <row r="99" spans="1:1" x14ac:dyDescent="0.35">
      <c r="A99" s="384"/>
    </row>
    <row r="100" spans="1:1" x14ac:dyDescent="0.35">
      <c r="A100" s="384"/>
    </row>
    <row r="101" spans="1:1" x14ac:dyDescent="0.35">
      <c r="A101" s="384"/>
    </row>
    <row r="102" spans="1:1" x14ac:dyDescent="0.35">
      <c r="A102" s="384"/>
    </row>
    <row r="103" spans="1:1" x14ac:dyDescent="0.35">
      <c r="A103" s="384"/>
    </row>
    <row r="104" spans="1:1" x14ac:dyDescent="0.35">
      <c r="A104" s="384"/>
    </row>
    <row r="105" spans="1:1" x14ac:dyDescent="0.35">
      <c r="A105" s="384"/>
    </row>
    <row r="106" spans="1:1" x14ac:dyDescent="0.35">
      <c r="A106" s="384"/>
    </row>
    <row r="107" spans="1:1" x14ac:dyDescent="0.35">
      <c r="A107" s="383"/>
    </row>
    <row r="108" spans="1:1" x14ac:dyDescent="0.35">
      <c r="A108" s="383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F44" sqref="F44"/>
    </sheetView>
  </sheetViews>
  <sheetFormatPr defaultColWidth="9.1328125" defaultRowHeight="12.85" x14ac:dyDescent="0.35"/>
  <cols>
    <col min="1" max="1" width="3.73046875" style="397" customWidth="1"/>
    <col min="2" max="13" width="10.73046875" style="397" customWidth="1"/>
    <col min="14" max="15" width="2.1328125" style="397" customWidth="1"/>
    <col min="16" max="21" width="10.73046875" style="397" customWidth="1"/>
    <col min="22" max="16384" width="9.1328125" style="397"/>
  </cols>
  <sheetData>
    <row r="1" spans="1:82" s="200" customFormat="1" ht="7.55" customHeight="1" x14ac:dyDescent="0.35">
      <c r="A1" s="445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N1" s="199"/>
      <c r="S1" s="199"/>
      <c r="T1" s="199"/>
      <c r="U1" s="199"/>
      <c r="V1" s="199"/>
      <c r="W1" s="199"/>
      <c r="X1" s="199"/>
      <c r="Y1" s="199"/>
    </row>
    <row r="2" spans="1:82" s="200" customFormat="1" ht="17.25" customHeight="1" x14ac:dyDescent="0.4">
      <c r="A2" s="199"/>
      <c r="B2" s="199"/>
      <c r="C2" s="201" t="s">
        <v>326</v>
      </c>
      <c r="D2" s="202">
        <f ca="1">Var_AfspraakDatum</f>
        <v>42739</v>
      </c>
      <c r="E2" s="203"/>
      <c r="F2" s="201" t="s">
        <v>327</v>
      </c>
      <c r="G2" s="199"/>
      <c r="H2" s="204">
        <f>_Pat_OpnDatum</f>
        <v>42370</v>
      </c>
      <c r="I2" s="201" t="str">
        <f ca="1">"ICU-dag: "&amp;Var_AfspraakDatum-_Pat_OpnDatum+1</f>
        <v>ICU-dag: 370</v>
      </c>
      <c r="J2" s="207" t="str">
        <f>"Gewicht: "&amp;_Pat_Gewicht/10&amp;" kg"</f>
        <v>Gewicht: 10 kg</v>
      </c>
      <c r="L2" s="199"/>
      <c r="N2" s="199"/>
      <c r="S2" s="199"/>
      <c r="T2" s="199"/>
      <c r="U2" s="199"/>
      <c r="V2" s="199"/>
      <c r="W2" s="199"/>
      <c r="X2" s="199"/>
      <c r="Y2" s="199"/>
    </row>
    <row r="3" spans="1:82" s="200" customFormat="1" ht="17.25" customHeight="1" x14ac:dyDescent="0.4">
      <c r="A3" s="199"/>
      <c r="B3" s="205"/>
      <c r="C3" s="201" t="s">
        <v>28</v>
      </c>
      <c r="D3" s="206" t="str">
        <f>__2_AchterNaam&amp;", "&amp;__3_VoorNaam</f>
        <v xml:space="preserve">, </v>
      </c>
      <c r="E3" s="206"/>
      <c r="F3" s="201" t="s">
        <v>334</v>
      </c>
      <c r="G3" s="199"/>
      <c r="H3" s="204">
        <f>__4_GebDatum</f>
        <v>0</v>
      </c>
      <c r="J3" s="207" t="str">
        <f>"Lengte: "&amp;_Pat_Lengte&amp;" cm"</f>
        <v>Lengte: 80 cm</v>
      </c>
      <c r="K3" s="201"/>
      <c r="L3" s="199"/>
      <c r="N3" s="382"/>
      <c r="S3" s="199"/>
      <c r="T3" s="199"/>
      <c r="U3" s="199"/>
      <c r="V3" s="199"/>
      <c r="W3" s="199"/>
      <c r="X3" s="199"/>
      <c r="Y3" s="199"/>
    </row>
    <row r="4" spans="1:82" s="200" customFormat="1" ht="17.25" customHeight="1" x14ac:dyDescent="0.4">
      <c r="A4" s="208"/>
      <c r="B4" s="208"/>
      <c r="C4" s="201" t="s">
        <v>369</v>
      </c>
      <c r="D4" s="207">
        <f>__0_PatNum</f>
        <v>0</v>
      </c>
      <c r="E4" s="203"/>
      <c r="F4" s="201" t="s">
        <v>296</v>
      </c>
      <c r="G4" s="208"/>
      <c r="H4" s="209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01"/>
      <c r="J4" s="201" t="str">
        <f>"Lichamelijk oppervlak: "&amp;ROUND(POWER(_Pat_Gewicht/10,0.425)*POWER(((_Pat_Lengte/100)*100),0.725)*0.007184,2)&amp;" m2"</f>
        <v>Lichamelijk oppervlak: 0,46 m2</v>
      </c>
      <c r="K4" s="201"/>
      <c r="L4" s="208"/>
      <c r="N4" s="208"/>
      <c r="S4" s="208"/>
      <c r="T4" s="208"/>
      <c r="U4" s="208"/>
      <c r="V4" s="208"/>
      <c r="W4" s="208"/>
      <c r="X4" s="208"/>
      <c r="Y4" s="208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</row>
    <row r="5" spans="1:82" s="200" customFormat="1" ht="17.25" customHeight="1" x14ac:dyDescent="0.4">
      <c r="A5" s="208"/>
      <c r="B5" s="208"/>
      <c r="C5" s="217" t="s">
        <v>549</v>
      </c>
      <c r="D5" s="217">
        <f>__1_Bed</f>
        <v>0</v>
      </c>
      <c r="E5" s="203"/>
      <c r="F5" s="201"/>
      <c r="G5" s="208"/>
      <c r="H5" s="209"/>
      <c r="I5" s="201"/>
      <c r="J5" s="201"/>
      <c r="K5" s="201"/>
      <c r="L5" s="208"/>
      <c r="N5" s="208"/>
      <c r="S5" s="208"/>
      <c r="T5" s="208"/>
      <c r="U5" s="208"/>
      <c r="V5" s="208"/>
      <c r="W5" s="208"/>
      <c r="X5" s="208"/>
      <c r="Y5" s="208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</row>
    <row r="6" spans="1:82" s="631" customFormat="1" ht="13.2" x14ac:dyDescent="0.4">
      <c r="A6" s="632"/>
      <c r="B6" s="398"/>
    </row>
    <row r="7" spans="1:82" s="631" customFormat="1" ht="13.2" x14ac:dyDescent="0.4">
      <c r="A7" s="632"/>
      <c r="B7" s="398"/>
    </row>
    <row r="8" spans="1:82" ht="11.25" customHeight="1" x14ac:dyDescent="0.4">
      <c r="A8" s="450"/>
      <c r="B8" s="393" t="s">
        <v>159</v>
      </c>
      <c r="C8" s="394"/>
      <c r="D8" s="395" t="s">
        <v>767</v>
      </c>
      <c r="E8" s="394"/>
      <c r="F8" s="394"/>
      <c r="G8" s="392"/>
      <c r="H8" s="396"/>
      <c r="I8" s="392"/>
      <c r="J8" s="392"/>
      <c r="K8" s="392"/>
      <c r="L8" s="392"/>
      <c r="M8" s="392"/>
      <c r="N8" s="392"/>
    </row>
    <row r="9" spans="1:82" ht="13.2" x14ac:dyDescent="0.4">
      <c r="A9" s="392"/>
      <c r="B9" s="398"/>
    </row>
    <row r="10" spans="1:82" ht="18.75" customHeight="1" x14ac:dyDescent="0.4">
      <c r="A10" s="392"/>
      <c r="B10" s="330" t="s">
        <v>765</v>
      </c>
      <c r="C10" s="399"/>
      <c r="D10" s="330" t="s">
        <v>768</v>
      </c>
      <c r="E10" s="399"/>
      <c r="F10" s="330" t="s">
        <v>769</v>
      </c>
      <c r="G10" s="399"/>
      <c r="H10" s="330" t="s">
        <v>770</v>
      </c>
      <c r="I10" s="399"/>
      <c r="J10" s="330" t="s">
        <v>160</v>
      </c>
      <c r="K10" s="399"/>
      <c r="L10" s="330" t="s">
        <v>771</v>
      </c>
      <c r="M10" s="399"/>
      <c r="N10" s="330"/>
      <c r="O10" s="399"/>
      <c r="P10" s="330" t="s">
        <v>1175</v>
      </c>
      <c r="Q10" s="330" t="s">
        <v>775</v>
      </c>
      <c r="R10" s="330" t="s">
        <v>1173</v>
      </c>
      <c r="S10" s="330" t="s">
        <v>775</v>
      </c>
      <c r="T10" s="330" t="s">
        <v>1176</v>
      </c>
      <c r="U10" s="330" t="s">
        <v>775</v>
      </c>
    </row>
    <row r="11" spans="1:82" ht="26.3" customHeight="1" x14ac:dyDescent="0.35">
      <c r="B11" s="400"/>
      <c r="C11" s="401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400"/>
      <c r="O11" s="400"/>
      <c r="P11" s="400"/>
      <c r="Q11" s="400"/>
      <c r="R11" s="400"/>
      <c r="S11" s="400"/>
      <c r="T11" s="400"/>
      <c r="U11" s="400"/>
    </row>
    <row r="12" spans="1:82" ht="26.3" customHeight="1" x14ac:dyDescent="0.35">
      <c r="B12" s="400"/>
      <c r="C12" s="401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0"/>
      <c r="S12" s="400"/>
      <c r="T12" s="400"/>
      <c r="U12" s="400"/>
    </row>
    <row r="13" spans="1:82" ht="26.3" customHeight="1" x14ac:dyDescent="0.35">
      <c r="A13" s="457"/>
      <c r="B13" s="400"/>
      <c r="C13" s="401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0"/>
      <c r="O13" s="400"/>
      <c r="P13" s="400"/>
      <c r="Q13" s="400"/>
      <c r="R13" s="400"/>
      <c r="S13" s="400"/>
      <c r="T13" s="400"/>
      <c r="U13" s="400"/>
    </row>
    <row r="14" spans="1:82" ht="26.3" customHeight="1" x14ac:dyDescent="0.35">
      <c r="B14" s="400"/>
      <c r="C14" s="401"/>
      <c r="D14" s="400"/>
      <c r="E14" s="400"/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0"/>
      <c r="S14" s="400"/>
      <c r="T14" s="400"/>
      <c r="U14" s="400"/>
    </row>
    <row r="15" spans="1:82" ht="26.3" customHeight="1" x14ac:dyDescent="0.35">
      <c r="B15" s="400"/>
      <c r="C15" s="401"/>
      <c r="D15" s="400"/>
      <c r="E15" s="400"/>
      <c r="F15" s="400"/>
      <c r="G15" s="400"/>
      <c r="H15" s="400"/>
      <c r="I15" s="400"/>
      <c r="J15" s="400"/>
      <c r="K15" s="400"/>
      <c r="L15" s="400"/>
      <c r="M15" s="400"/>
      <c r="N15" s="400"/>
      <c r="O15" s="400"/>
      <c r="P15" s="400"/>
      <c r="Q15" s="400"/>
      <c r="R15" s="400"/>
      <c r="S15" s="400"/>
      <c r="T15" s="400"/>
      <c r="U15" s="400"/>
    </row>
    <row r="16" spans="1:82" ht="26.3" customHeight="1" x14ac:dyDescent="0.35">
      <c r="B16" s="400"/>
      <c r="C16" s="401"/>
      <c r="D16" s="400"/>
      <c r="E16" s="400"/>
      <c r="F16" s="400"/>
      <c r="G16" s="400"/>
      <c r="H16" s="400"/>
      <c r="I16" s="400"/>
      <c r="J16" s="400"/>
      <c r="K16" s="400"/>
      <c r="L16" s="400"/>
      <c r="M16" s="400"/>
      <c r="N16" s="400"/>
      <c r="O16" s="400"/>
      <c r="P16" s="400"/>
      <c r="Q16" s="400"/>
      <c r="R16" s="400"/>
      <c r="S16" s="400"/>
      <c r="T16" s="400"/>
      <c r="U16" s="400"/>
    </row>
    <row r="17" spans="2:21" ht="26.3" customHeight="1" x14ac:dyDescent="0.35">
      <c r="B17" s="400"/>
      <c r="C17" s="401"/>
      <c r="D17" s="400"/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0"/>
    </row>
    <row r="18" spans="2:21" ht="26.3" customHeight="1" x14ac:dyDescent="0.35">
      <c r="B18" s="400"/>
      <c r="C18" s="401"/>
      <c r="D18" s="400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</row>
    <row r="19" spans="2:21" ht="26.3" customHeight="1" x14ac:dyDescent="0.35">
      <c r="B19" s="400"/>
      <c r="C19" s="401"/>
      <c r="D19" s="400"/>
      <c r="E19" s="400"/>
      <c r="F19" s="400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0"/>
    </row>
    <row r="20" spans="2:21" ht="26.3" customHeight="1" x14ac:dyDescent="0.35">
      <c r="B20" s="400"/>
      <c r="C20" s="401"/>
      <c r="D20" s="400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</row>
    <row r="21" spans="2:21" ht="26.3" customHeight="1" x14ac:dyDescent="0.35">
      <c r="B21" s="400"/>
      <c r="C21" s="401"/>
      <c r="D21" s="400"/>
      <c r="E21" s="400"/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</row>
    <row r="22" spans="2:21" ht="26.3" customHeight="1" x14ac:dyDescent="0.35">
      <c r="B22" s="400"/>
      <c r="C22" s="401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</row>
    <row r="23" spans="2:21" ht="26.3" customHeight="1" x14ac:dyDescent="0.35">
      <c r="B23" s="400"/>
      <c r="C23" s="40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</row>
    <row r="24" spans="2:21" ht="26.3" customHeight="1" x14ac:dyDescent="0.35">
      <c r="B24" s="400"/>
      <c r="C24" s="401"/>
      <c r="D24" s="400"/>
      <c r="E24" s="400"/>
      <c r="F24" s="400"/>
      <c r="G24" s="400"/>
      <c r="H24" s="400"/>
      <c r="I24" s="400"/>
      <c r="J24" s="400"/>
      <c r="K24" s="400"/>
      <c r="L24" s="400"/>
      <c r="M24" s="400"/>
      <c r="N24" s="400"/>
      <c r="O24" s="400"/>
      <c r="P24" s="400"/>
      <c r="Q24" s="400"/>
      <c r="R24" s="400"/>
      <c r="S24" s="400"/>
      <c r="T24" s="400"/>
      <c r="U24" s="400"/>
    </row>
    <row r="25" spans="2:21" ht="26.3" customHeight="1" x14ac:dyDescent="0.35">
      <c r="B25" s="400"/>
      <c r="C25" s="401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</row>
    <row r="26" spans="2:21" ht="26.3" customHeight="1" x14ac:dyDescent="0.35">
      <c r="B26" s="400"/>
      <c r="C26" s="401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</row>
    <row r="27" spans="2:21" ht="26.3" customHeight="1" x14ac:dyDescent="0.35">
      <c r="B27" s="400"/>
      <c r="C27" s="401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</row>
    <row r="28" spans="2:21" ht="26.3" customHeight="1" x14ac:dyDescent="0.35">
      <c r="B28" s="400"/>
      <c r="C28" s="401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</row>
    <row r="29" spans="2:21" ht="26.3" customHeight="1" x14ac:dyDescent="0.35">
      <c r="B29" s="400"/>
      <c r="C29" s="401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</row>
    <row r="30" spans="2:21" ht="26.3" customHeight="1" x14ac:dyDescent="0.35">
      <c r="B30" s="400"/>
      <c r="C30" s="401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</row>
    <row r="31" spans="2:21" ht="26.3" customHeight="1" x14ac:dyDescent="0.35">
      <c r="B31" s="400"/>
      <c r="C31" s="401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</row>
    <row r="32" spans="2:21" ht="26.3" customHeight="1" x14ac:dyDescent="0.35">
      <c r="B32" s="400"/>
      <c r="C32" s="401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</row>
    <row r="33" spans="2:21" ht="26.3" customHeight="1" x14ac:dyDescent="0.35">
      <c r="B33" s="400"/>
      <c r="C33" s="401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00"/>
    </row>
    <row r="34" spans="2:21" ht="26.3" customHeight="1" x14ac:dyDescent="0.35">
      <c r="B34" s="400"/>
      <c r="C34" s="401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</row>
    <row r="35" spans="2:21" ht="26.3" customHeight="1" x14ac:dyDescent="0.35">
      <c r="B35" s="400"/>
      <c r="C35" s="401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</row>
    <row r="36" spans="2:21" ht="26.3" customHeight="1" x14ac:dyDescent="0.35">
      <c r="B36" s="400"/>
      <c r="C36" s="401"/>
      <c r="D36" s="400"/>
      <c r="E36" s="400"/>
      <c r="F36" s="400"/>
      <c r="G36" s="400"/>
      <c r="H36" s="400"/>
      <c r="I36" s="400"/>
      <c r="J36" s="400"/>
      <c r="K36" s="400"/>
      <c r="L36" s="400"/>
      <c r="M36" s="400"/>
      <c r="N36" s="400"/>
      <c r="O36" s="400"/>
      <c r="P36" s="400"/>
      <c r="Q36" s="400"/>
      <c r="R36" s="400"/>
      <c r="S36" s="400"/>
      <c r="T36" s="400"/>
      <c r="U36" s="400"/>
    </row>
    <row r="37" spans="2:21" ht="26.3" customHeight="1" x14ac:dyDescent="0.35">
      <c r="B37" s="400"/>
      <c r="C37" s="401"/>
      <c r="D37" s="400"/>
      <c r="E37" s="400"/>
      <c r="F37" s="400"/>
      <c r="G37" s="400"/>
      <c r="H37" s="400"/>
      <c r="I37" s="400"/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400"/>
      <c r="U37" s="400"/>
    </row>
    <row r="38" spans="2:21" ht="26.3" customHeight="1" x14ac:dyDescent="0.35">
      <c r="B38" s="400"/>
      <c r="C38" s="401"/>
      <c r="D38" s="400"/>
      <c r="E38" s="400"/>
      <c r="F38" s="400"/>
      <c r="G38" s="400"/>
      <c r="H38" s="400"/>
      <c r="I38" s="400"/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400"/>
      <c r="U38" s="400"/>
    </row>
    <row r="39" spans="2:21" ht="26.3" customHeight="1" x14ac:dyDescent="0.35">
      <c r="B39" s="400"/>
      <c r="C39" s="401"/>
      <c r="D39" s="400"/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400"/>
      <c r="U39" s="400"/>
    </row>
    <row r="40" spans="2:21" ht="26.3" customHeight="1" x14ac:dyDescent="0.35">
      <c r="B40" s="400"/>
      <c r="C40" s="401"/>
      <c r="D40" s="400"/>
      <c r="E40" s="400"/>
      <c r="F40" s="400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0"/>
    </row>
    <row r="41" spans="2:21" ht="26.3" customHeight="1" x14ac:dyDescent="0.35">
      <c r="B41" s="400"/>
      <c r="C41" s="401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0"/>
    </row>
    <row r="42" spans="2:21" ht="26.3" customHeight="1" x14ac:dyDescent="0.35">
      <c r="B42" s="400"/>
      <c r="C42" s="401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0"/>
    </row>
    <row r="43" spans="2:21" x14ac:dyDescent="0.35">
      <c r="B43" s="402" t="s">
        <v>313</v>
      </c>
      <c r="C43" s="397" t="str">
        <f>IF(_Neo_Lab_Opm=0,"",_Neo_Lab_Opm)</f>
        <v/>
      </c>
    </row>
  </sheetData>
  <sheetProtection algorithmName="SHA-512" hashValue="kniWnGXDr82EU6eVpne4Im/VKh6pJyO0huA+k5KaEuGNQRPbp57omOEiiWqvdaslpBULhAPZaHuuf3QmwOOnFw==" saltValue="2yX9cWp/mSsRlTLlUFrFnw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19"/>
  </cols>
  <sheetData>
    <row r="1" spans="1:21" x14ac:dyDescent="0.35">
      <c r="A1" s="451"/>
      <c r="D1" s="235"/>
      <c r="F1" s="235"/>
      <c r="H1" s="235"/>
      <c r="J1" s="235"/>
      <c r="L1" s="235"/>
      <c r="N1" s="235"/>
      <c r="P1" s="235"/>
      <c r="R1" s="235"/>
    </row>
    <row r="2" spans="1:21" x14ac:dyDescent="0.35">
      <c r="A2" s="235"/>
      <c r="D2" s="235"/>
      <c r="F2" s="235"/>
      <c r="H2" s="235"/>
      <c r="L2" s="235"/>
    </row>
    <row r="3" spans="1:21" x14ac:dyDescent="0.35">
      <c r="A3" s="235" t="s">
        <v>764</v>
      </c>
      <c r="B3" s="219" t="s">
        <v>765</v>
      </c>
      <c r="D3" s="219" t="s">
        <v>768</v>
      </c>
      <c r="F3" s="219" t="s">
        <v>769</v>
      </c>
      <c r="H3" s="219" t="s">
        <v>770</v>
      </c>
      <c r="J3" s="219" t="s">
        <v>160</v>
      </c>
      <c r="L3" s="235" t="s">
        <v>771</v>
      </c>
      <c r="N3" s="219" t="s">
        <v>772</v>
      </c>
      <c r="P3" s="219" t="s">
        <v>773</v>
      </c>
      <c r="R3" s="219" t="s">
        <v>774</v>
      </c>
    </row>
    <row r="4" spans="1:21" x14ac:dyDescent="0.35">
      <c r="B4" s="219" t="str">
        <f>IF(C4,"A","")</f>
        <v/>
      </c>
      <c r="C4" s="654"/>
      <c r="D4" s="219" t="str">
        <f>IF(E4,"A","")</f>
        <v/>
      </c>
      <c r="E4" s="654"/>
      <c r="F4" s="219" t="str">
        <f>IF(G4,"A","")</f>
        <v/>
      </c>
      <c r="G4" s="654"/>
      <c r="H4" s="219" t="str">
        <f>IF(I4,"A","")</f>
        <v/>
      </c>
      <c r="I4" s="654"/>
      <c r="J4" s="219" t="str">
        <f>IF(K4,"A","")</f>
        <v/>
      </c>
      <c r="K4" s="654"/>
      <c r="L4" s="219" t="str">
        <f>IF(M4,"A","")</f>
        <v/>
      </c>
      <c r="M4" s="654"/>
      <c r="N4" s="219" t="str">
        <f>IF(O4,"A","")</f>
        <v/>
      </c>
      <c r="O4" s="654"/>
      <c r="P4" s="219" t="str">
        <f>IF(Q4,"A","")</f>
        <v/>
      </c>
      <c r="Q4" s="654"/>
      <c r="R4" s="219" t="str">
        <f>IF(S4,"A","")</f>
        <v/>
      </c>
      <c r="S4" s="654"/>
      <c r="U4" s="269"/>
    </row>
    <row r="5" spans="1:21" x14ac:dyDescent="0.35">
      <c r="B5" s="219" t="str">
        <f>IF(C5,"Na K","")</f>
        <v/>
      </c>
      <c r="C5" s="654"/>
      <c r="D5" s="219" t="str">
        <f>IF(E5,"Na K","")</f>
        <v/>
      </c>
      <c r="E5" s="654"/>
      <c r="F5" s="219" t="str">
        <f>IF(G5,"Na K","")</f>
        <v/>
      </c>
      <c r="G5" s="654"/>
      <c r="H5" s="219" t="str">
        <f>IF(I5,"Na K","")</f>
        <v/>
      </c>
      <c r="I5" s="654"/>
      <c r="J5" s="219" t="str">
        <f>IF(K5,"Na K","")</f>
        <v/>
      </c>
      <c r="K5" s="654"/>
      <c r="L5" s="219" t="str">
        <f>IF(M5,"Na K","")</f>
        <v/>
      </c>
      <c r="M5" s="654"/>
      <c r="N5" s="219" t="str">
        <f>IF(O5,"Na K","")</f>
        <v/>
      </c>
      <c r="O5" s="654"/>
      <c r="P5" s="219" t="str">
        <f>IF(Q5,"Na K","")</f>
        <v/>
      </c>
      <c r="Q5" s="654"/>
      <c r="R5" s="219" t="str">
        <f>IF(S5,"Na K","")</f>
        <v/>
      </c>
      <c r="S5" s="654"/>
      <c r="U5" s="269"/>
    </row>
    <row r="6" spans="1:21" x14ac:dyDescent="0.35">
      <c r="A6" s="434"/>
      <c r="B6" s="219" t="str">
        <f>IF(C6,"Cl","")</f>
        <v/>
      </c>
      <c r="C6" s="654"/>
      <c r="D6" s="219" t="str">
        <f>IF(E6,"Cl","")</f>
        <v/>
      </c>
      <c r="E6" s="654"/>
      <c r="F6" s="219" t="str">
        <f>IF(G6,"Cl","")</f>
        <v/>
      </c>
      <c r="G6" s="654"/>
      <c r="H6" s="219" t="str">
        <f>IF(I6,"Cl","")</f>
        <v/>
      </c>
      <c r="I6" s="654"/>
      <c r="J6" s="219" t="str">
        <f>IF(K6,"Cl","")</f>
        <v/>
      </c>
      <c r="K6" s="654"/>
      <c r="L6" s="219" t="str">
        <f>IF(M6,"Cl","")</f>
        <v/>
      </c>
      <c r="M6" s="654"/>
      <c r="N6" s="219" t="str">
        <f>IF(O6,"Cl","")</f>
        <v/>
      </c>
      <c r="O6" s="654"/>
      <c r="P6" s="219" t="str">
        <f>IF(Q6,"Cl","")</f>
        <v/>
      </c>
      <c r="Q6" s="654"/>
      <c r="R6" s="219" t="str">
        <f>IF(S6,"Cl","")</f>
        <v/>
      </c>
      <c r="S6" s="654"/>
      <c r="U6" s="269"/>
    </row>
    <row r="7" spans="1:21" x14ac:dyDescent="0.35">
      <c r="B7" s="219" t="str">
        <f>IF(C7,"Gluc","")</f>
        <v/>
      </c>
      <c r="C7" s="654"/>
      <c r="D7" s="219" t="str">
        <f>IF(E7,"Gluc","")</f>
        <v/>
      </c>
      <c r="E7" s="654"/>
      <c r="F7" s="219" t="str">
        <f>IF(G7,"Gluc","")</f>
        <v/>
      </c>
      <c r="G7" s="654"/>
      <c r="H7" s="219" t="str">
        <f>IF(I7,"Gluc","")</f>
        <v/>
      </c>
      <c r="I7" s="654"/>
      <c r="J7" s="219" t="str">
        <f>IF(K7,"Gluc","")</f>
        <v/>
      </c>
      <c r="K7" s="654"/>
      <c r="L7" s="219" t="str">
        <f>IF(M7,"Gluc","")</f>
        <v/>
      </c>
      <c r="M7" s="654"/>
      <c r="N7" s="219" t="str">
        <f>IF(O7,"Gluc","")</f>
        <v/>
      </c>
      <c r="O7" s="654"/>
      <c r="P7" s="219" t="str">
        <f>IF(Q7,"Gluc","")</f>
        <v/>
      </c>
      <c r="Q7" s="654"/>
      <c r="R7" s="219" t="str">
        <f>IF(S7,"Gluc","")</f>
        <v/>
      </c>
      <c r="S7" s="654"/>
      <c r="U7" s="269"/>
    </row>
    <row r="8" spans="1:21" x14ac:dyDescent="0.35">
      <c r="B8" s="219" t="str">
        <f>IF(C8,"Hb Ht","")</f>
        <v/>
      </c>
      <c r="C8" s="654"/>
      <c r="D8" s="219" t="str">
        <f>IF(E8,"Hb Ht","")</f>
        <v/>
      </c>
      <c r="E8" s="654"/>
      <c r="F8" s="219" t="str">
        <f>IF(G8,"Hb Ht","")</f>
        <v/>
      </c>
      <c r="G8" s="654"/>
      <c r="H8" s="219" t="str">
        <f>IF(I8,"Hb Ht","")</f>
        <v/>
      </c>
      <c r="I8" s="654"/>
      <c r="J8" s="219" t="str">
        <f>IF(K8,"Hb Ht","")</f>
        <v/>
      </c>
      <c r="K8" s="654"/>
      <c r="L8" s="219" t="str">
        <f>IF(M8,"Hb Ht","")</f>
        <v/>
      </c>
      <c r="M8" s="654"/>
      <c r="N8" s="219" t="str">
        <f>IF(O8,"Hb Ht","")</f>
        <v/>
      </c>
      <c r="O8" s="654"/>
      <c r="P8" s="219" t="str">
        <f>IF(Q8,"Hb Ht","")</f>
        <v/>
      </c>
      <c r="Q8" s="654"/>
      <c r="R8" s="219" t="str">
        <f>IF(S8,"Hb Ht","")</f>
        <v/>
      </c>
      <c r="S8" s="654"/>
      <c r="U8" s="269"/>
    </row>
    <row r="9" spans="1:21" x14ac:dyDescent="0.35">
      <c r="B9" s="219" t="str">
        <f>IF(C9,"L","")</f>
        <v/>
      </c>
      <c r="C9" s="654"/>
      <c r="D9" s="219" t="str">
        <f>IF(E9,"L","")</f>
        <v/>
      </c>
      <c r="E9" s="654"/>
      <c r="F9" s="219" t="str">
        <f>IF(G9,"L","")</f>
        <v/>
      </c>
      <c r="G9" s="654"/>
      <c r="H9" s="219" t="str">
        <f>IF(I9,"L","")</f>
        <v/>
      </c>
      <c r="I9" s="654"/>
      <c r="J9" s="219" t="str">
        <f>IF(K9,"L","")</f>
        <v/>
      </c>
      <c r="K9" s="654"/>
      <c r="L9" s="219" t="str">
        <f>IF(M9,"L","")</f>
        <v/>
      </c>
      <c r="M9" s="654"/>
      <c r="N9" s="219" t="str">
        <f>IF(O9,"L","")</f>
        <v/>
      </c>
      <c r="O9" s="654"/>
      <c r="P9" s="219" t="str">
        <f>IF(Q9,"L","")</f>
        <v/>
      </c>
      <c r="Q9" s="654"/>
      <c r="R9" s="219" t="str">
        <f>IF(S9,"L","")</f>
        <v/>
      </c>
      <c r="S9" s="654"/>
      <c r="U9" s="269"/>
    </row>
    <row r="10" spans="1:21" x14ac:dyDescent="0.35">
      <c r="B10" s="219" t="str">
        <f>IF(C10,"L+diff","")</f>
        <v/>
      </c>
      <c r="C10" s="654"/>
      <c r="D10" s="219" t="str">
        <f>IF(E10,"L+diff","")</f>
        <v/>
      </c>
      <c r="E10" s="654"/>
      <c r="F10" s="219" t="str">
        <f>IF(G10,"L+diff","")</f>
        <v/>
      </c>
      <c r="G10" s="654"/>
      <c r="H10" s="219" t="str">
        <f>IF(I10,"L+diff","")</f>
        <v/>
      </c>
      <c r="I10" s="654"/>
      <c r="J10" s="219" t="str">
        <f>IF(K10,"L+diff","")</f>
        <v/>
      </c>
      <c r="K10" s="654"/>
      <c r="L10" s="219" t="str">
        <f>IF(M10,"L+diff","")</f>
        <v/>
      </c>
      <c r="M10" s="654"/>
      <c r="N10" s="219" t="str">
        <f>IF(O10,"L+diff","")</f>
        <v/>
      </c>
      <c r="O10" s="654"/>
      <c r="P10" s="219" t="str">
        <f>IF(Q10,"L+diff","")</f>
        <v/>
      </c>
      <c r="Q10" s="654"/>
      <c r="R10" s="219" t="str">
        <f>IF(S10,"L+diff","")</f>
        <v/>
      </c>
      <c r="S10" s="654"/>
      <c r="U10" s="269"/>
    </row>
    <row r="11" spans="1:21" x14ac:dyDescent="0.35">
      <c r="B11" s="219" t="str">
        <f>IF(C11,"T","")</f>
        <v/>
      </c>
      <c r="C11" s="654"/>
      <c r="D11" s="219" t="str">
        <f>IF(E11,"T","")</f>
        <v/>
      </c>
      <c r="E11" s="654"/>
      <c r="F11" s="219" t="str">
        <f>IF(G11,"T","")</f>
        <v/>
      </c>
      <c r="G11" s="654"/>
      <c r="H11" s="219" t="str">
        <f>IF(I11,"T","")</f>
        <v/>
      </c>
      <c r="I11" s="654"/>
      <c r="J11" s="219" t="str">
        <f>IF(K11,"T","")</f>
        <v/>
      </c>
      <c r="K11" s="654"/>
      <c r="L11" s="219" t="str">
        <f>IF(M11,"T","")</f>
        <v/>
      </c>
      <c r="M11" s="654"/>
      <c r="N11" s="219" t="str">
        <f>IF(O11,"T","")</f>
        <v/>
      </c>
      <c r="O11" s="654"/>
      <c r="P11" s="219" t="str">
        <f>IF(Q11,"T","")</f>
        <v/>
      </c>
      <c r="Q11" s="654"/>
      <c r="R11" s="219" t="str">
        <f>IF(S11,"T","")</f>
        <v/>
      </c>
      <c r="S11" s="654"/>
      <c r="U11" s="269"/>
    </row>
    <row r="12" spans="1:21" x14ac:dyDescent="0.35">
      <c r="B12" s="219" t="str">
        <f>IF(C12,"CRP","")</f>
        <v/>
      </c>
      <c r="C12" s="654"/>
      <c r="D12" s="219" t="str">
        <f>IF(E12,"CRP","")</f>
        <v/>
      </c>
      <c r="E12" s="654"/>
      <c r="F12" s="219" t="str">
        <f>IF(G12,"CRP","")</f>
        <v/>
      </c>
      <c r="G12" s="654"/>
      <c r="H12" s="219" t="str">
        <f>IF(I12,"CRP","")</f>
        <v/>
      </c>
      <c r="I12" s="654"/>
      <c r="J12" s="219" t="str">
        <f>IF(K12,"CRP","")</f>
        <v/>
      </c>
      <c r="K12" s="654"/>
      <c r="L12" s="219" t="str">
        <f>IF(M12,"CRP","")</f>
        <v/>
      </c>
      <c r="M12" s="654"/>
      <c r="N12" s="219" t="str">
        <f>IF(O12,"CRP","")</f>
        <v/>
      </c>
      <c r="O12" s="654"/>
      <c r="P12" s="219" t="str">
        <f>IF(Q12,"CRP","")</f>
        <v/>
      </c>
      <c r="Q12" s="654"/>
      <c r="R12" s="219" t="str">
        <f>IF(S12,"CRP","")</f>
        <v/>
      </c>
      <c r="S12" s="654"/>
      <c r="U12" s="269"/>
    </row>
    <row r="13" spans="1:21" x14ac:dyDescent="0.35">
      <c r="B13" s="219" t="str">
        <f>IF(C13,"Lac","")</f>
        <v/>
      </c>
      <c r="C13" s="654"/>
      <c r="D13" s="219" t="str">
        <f>IF(E13,"Lac","")</f>
        <v/>
      </c>
      <c r="E13" s="654"/>
      <c r="F13" s="219" t="str">
        <f>IF(G13,"Lac","")</f>
        <v/>
      </c>
      <c r="G13" s="654"/>
      <c r="H13" s="219" t="str">
        <f>IF(I13,"Lac","")</f>
        <v/>
      </c>
      <c r="I13" s="654"/>
      <c r="J13" s="219" t="str">
        <f>IF(K13,"Lac","")</f>
        <v/>
      </c>
      <c r="K13" s="654"/>
      <c r="L13" s="219" t="str">
        <f>IF(M13,"Lac","")</f>
        <v/>
      </c>
      <c r="M13" s="654"/>
      <c r="N13" s="219" t="str">
        <f>IF(O13,"Lac","")</f>
        <v/>
      </c>
      <c r="O13" s="654"/>
      <c r="P13" s="219" t="str">
        <f>IF(Q13,"Lac","")</f>
        <v/>
      </c>
      <c r="Q13" s="654"/>
      <c r="R13" s="219" t="str">
        <f>IF(S13,"Lac","")</f>
        <v/>
      </c>
      <c r="S13" s="654"/>
      <c r="U13" s="269"/>
    </row>
    <row r="14" spans="1:21" x14ac:dyDescent="0.35">
      <c r="B14" s="219" t="str">
        <f>IF(C14,"Ur","")</f>
        <v/>
      </c>
      <c r="C14" s="654"/>
      <c r="D14" s="219" t="str">
        <f>IF(E14,"Ur","")</f>
        <v/>
      </c>
      <c r="E14" s="654"/>
      <c r="F14" s="219" t="str">
        <f>IF(G14,"Ur","")</f>
        <v/>
      </c>
      <c r="G14" s="654"/>
      <c r="H14" s="219" t="str">
        <f>IF(I14,"Ur","")</f>
        <v/>
      </c>
      <c r="I14" s="654"/>
      <c r="J14" s="219" t="str">
        <f>IF(K14,"Ur","")</f>
        <v/>
      </c>
      <c r="K14" s="654"/>
      <c r="L14" s="219" t="str">
        <f>IF(M14,"Ur","")</f>
        <v/>
      </c>
      <c r="M14" s="654"/>
      <c r="N14" s="219" t="str">
        <f>IF(O14,"Ur","")</f>
        <v/>
      </c>
      <c r="O14" s="654"/>
      <c r="P14" s="219" t="str">
        <f>IF(Q14,"Ur","")</f>
        <v/>
      </c>
      <c r="Q14" s="654"/>
      <c r="R14" s="219" t="str">
        <f>IF(S14,"Ur","")</f>
        <v/>
      </c>
      <c r="S14" s="654"/>
      <c r="U14" s="269"/>
    </row>
    <row r="15" spans="1:21" x14ac:dyDescent="0.35">
      <c r="B15" s="219" t="str">
        <f>IF(C15,"Kr","")</f>
        <v/>
      </c>
      <c r="C15" s="654"/>
      <c r="D15" s="219" t="str">
        <f>IF(E15,"Kr++","")</f>
        <v/>
      </c>
      <c r="E15" s="654"/>
      <c r="F15" s="219" t="str">
        <f>IF(G15,"Kr","")</f>
        <v/>
      </c>
      <c r="G15" s="654"/>
      <c r="H15" s="219" t="str">
        <f>IF(I15,"Kr","")</f>
        <v/>
      </c>
      <c r="I15" s="654"/>
      <c r="J15" s="219" t="str">
        <f>IF(K15,"Kr","")</f>
        <v/>
      </c>
      <c r="K15" s="654"/>
      <c r="L15" s="219" t="str">
        <f>IF(M15,"Kr","")</f>
        <v/>
      </c>
      <c r="M15" s="654"/>
      <c r="N15" s="219" t="str">
        <f>IF(O15,"Kr","")</f>
        <v/>
      </c>
      <c r="O15" s="654"/>
      <c r="P15" s="219" t="str">
        <f>IF(Q15,"Kr","")</f>
        <v/>
      </c>
      <c r="Q15" s="654"/>
      <c r="R15" s="219" t="str">
        <f>IF(S15,"Kr","")</f>
        <v/>
      </c>
      <c r="S15" s="654"/>
      <c r="U15" s="269"/>
    </row>
    <row r="16" spans="1:21" x14ac:dyDescent="0.35">
      <c r="B16" s="219" t="str">
        <f>IF(C16,"Ca++","")</f>
        <v/>
      </c>
      <c r="C16" s="654"/>
      <c r="D16" s="219" t="str">
        <f>IF(E16,"Ca++","")</f>
        <v/>
      </c>
      <c r="E16" s="654"/>
      <c r="F16" s="219" t="str">
        <f>IF(G16,"Ca++","")</f>
        <v/>
      </c>
      <c r="G16" s="654"/>
      <c r="H16" s="219" t="str">
        <f>IF(I16,"Ca++","")</f>
        <v/>
      </c>
      <c r="I16" s="654"/>
      <c r="J16" s="219" t="str">
        <f>IF(K16,"Ca++","")</f>
        <v/>
      </c>
      <c r="K16" s="654"/>
      <c r="L16" s="219" t="str">
        <f>IF(M16,"Ca++","")</f>
        <v/>
      </c>
      <c r="M16" s="654"/>
      <c r="N16" s="219" t="str">
        <f>IF(O16,"Ca++","")</f>
        <v/>
      </c>
      <c r="O16" s="654"/>
      <c r="P16" s="219" t="str">
        <f>IF(Q16,"Ca++","")</f>
        <v/>
      </c>
      <c r="Q16" s="654"/>
      <c r="R16" s="219" t="str">
        <f>IF(S16,"Ca++","")</f>
        <v/>
      </c>
      <c r="S16" s="654"/>
      <c r="U16" s="269"/>
    </row>
    <row r="17" spans="2:21" x14ac:dyDescent="0.35">
      <c r="B17" s="219" t="str">
        <f>IF(C17,"Mg++","")</f>
        <v/>
      </c>
      <c r="C17" s="654"/>
      <c r="D17" s="219" t="str">
        <f>IF(E17,"Mg++","")</f>
        <v/>
      </c>
      <c r="E17" s="654"/>
      <c r="F17" s="219" t="str">
        <f>IF(G17,"Mg++","")</f>
        <v/>
      </c>
      <c r="G17" s="654"/>
      <c r="H17" s="219" t="str">
        <f>IF(I17,"Mg++","")</f>
        <v/>
      </c>
      <c r="I17" s="654"/>
      <c r="J17" s="219" t="str">
        <f>IF(K17,"Mg++","")</f>
        <v/>
      </c>
      <c r="K17" s="654"/>
      <c r="L17" s="219" t="str">
        <f>IF(M17,"Mg++","")</f>
        <v/>
      </c>
      <c r="M17" s="654"/>
      <c r="N17" s="219" t="str">
        <f>IF(O17,"Mg++","")</f>
        <v/>
      </c>
      <c r="O17" s="654"/>
      <c r="P17" s="219" t="str">
        <f>IF(Q17,"Mg++","")</f>
        <v/>
      </c>
      <c r="Q17" s="654"/>
      <c r="R17" s="219" t="str">
        <f>IF(S17,"Mg++","")</f>
        <v/>
      </c>
      <c r="S17" s="654"/>
      <c r="U17" s="269"/>
    </row>
    <row r="18" spans="2:21" x14ac:dyDescent="0.35">
      <c r="B18" s="219" t="str">
        <f>IF(C18,"Fosfaat","")</f>
        <v/>
      </c>
      <c r="C18" s="654"/>
      <c r="D18" s="219" t="str">
        <f>IF(E18,"Fosfaat","")</f>
        <v/>
      </c>
      <c r="E18" s="654"/>
      <c r="F18" s="219" t="str">
        <f>IF(G18,"Fosfaat","")</f>
        <v/>
      </c>
      <c r="G18" s="654"/>
      <c r="H18" s="219" t="str">
        <f>IF(I18,"Fosfaat","")</f>
        <v/>
      </c>
      <c r="I18" s="654"/>
      <c r="J18" s="219" t="str">
        <f>IF(K18,"Fosfaat","")</f>
        <v/>
      </c>
      <c r="K18" s="654"/>
      <c r="L18" s="219" t="str">
        <f>IF(M18,"Fosfaat","")</f>
        <v/>
      </c>
      <c r="M18" s="654"/>
      <c r="N18" s="219" t="str">
        <f>IF(O18,"Fosfaat","")</f>
        <v/>
      </c>
      <c r="O18" s="654"/>
      <c r="P18" s="219" t="str">
        <f>IF(Q18,"Fosfaat","")</f>
        <v/>
      </c>
      <c r="Q18" s="654"/>
      <c r="R18" s="219" t="str">
        <f>IF(S18,"Fosfaat","")</f>
        <v/>
      </c>
      <c r="S18" s="654"/>
      <c r="U18" s="269"/>
    </row>
    <row r="19" spans="2:21" x14ac:dyDescent="0.35">
      <c r="B19" s="219" t="str">
        <f>IF(C19,"Alb","")</f>
        <v/>
      </c>
      <c r="C19" s="654"/>
      <c r="D19" s="219" t="str">
        <f>IF(E19,"Alb","")</f>
        <v/>
      </c>
      <c r="E19" s="654"/>
      <c r="F19" s="219" t="str">
        <f>IF(G19,"Alb","")</f>
        <v/>
      </c>
      <c r="G19" s="654"/>
      <c r="H19" s="219" t="str">
        <f>IF(I19,"Alb","")</f>
        <v/>
      </c>
      <c r="I19" s="654"/>
      <c r="J19" s="219" t="str">
        <f>IF(K19,"Alb","")</f>
        <v/>
      </c>
      <c r="K19" s="654"/>
      <c r="L19" s="219" t="str">
        <f>IF(M19,"Alb","")</f>
        <v/>
      </c>
      <c r="M19" s="654"/>
      <c r="N19" s="219" t="str">
        <f>IF(O19,"Alb","")</f>
        <v/>
      </c>
      <c r="O19" s="654"/>
      <c r="P19" s="219" t="str">
        <f>IF(Q19,"Alb","")</f>
        <v/>
      </c>
      <c r="Q19" s="654"/>
      <c r="R19" s="219" t="str">
        <f>IF(S19,"Alb","")</f>
        <v/>
      </c>
      <c r="S19" s="654"/>
      <c r="U19" s="269"/>
    </row>
    <row r="20" spans="2:21" x14ac:dyDescent="0.35">
      <c r="B20" s="219" t="str">
        <f>IF(C20,"Ca","")</f>
        <v/>
      </c>
      <c r="C20" s="654"/>
      <c r="D20" s="219" t="str">
        <f>IF(E20,"Ca","")</f>
        <v/>
      </c>
      <c r="E20" s="654"/>
      <c r="F20" s="219" t="str">
        <f>IF(G20,"Ca","")</f>
        <v/>
      </c>
      <c r="G20" s="654"/>
      <c r="H20" s="219" t="str">
        <f>IF(I20,"Ca","")</f>
        <v/>
      </c>
      <c r="I20" s="654"/>
      <c r="J20" s="219" t="str">
        <f>IF(K20,"Ca","")</f>
        <v/>
      </c>
      <c r="K20" s="654"/>
      <c r="L20" s="219" t="str">
        <f>IF(M20,"Ca","")</f>
        <v/>
      </c>
      <c r="M20" s="654"/>
      <c r="N20" s="219" t="str">
        <f>IF(O20,"Ca","")</f>
        <v/>
      </c>
      <c r="O20" s="654"/>
      <c r="P20" s="219" t="str">
        <f>IF(Q20,"Ca","")</f>
        <v/>
      </c>
      <c r="Q20" s="654"/>
      <c r="R20" s="219" t="str">
        <f>IF(S20,"Ca","")</f>
        <v/>
      </c>
      <c r="S20" s="654"/>
      <c r="U20" s="269"/>
    </row>
    <row r="21" spans="2:21" x14ac:dyDescent="0.35">
      <c r="B21" s="219" t="str">
        <f>IF(C21,"ASAT","")</f>
        <v/>
      </c>
      <c r="C21" s="654"/>
      <c r="D21" s="219" t="str">
        <f>IF(E21,"ASAT","")</f>
        <v/>
      </c>
      <c r="E21" s="654"/>
      <c r="F21" s="219" t="str">
        <f>IF(G21,"ASAT","")</f>
        <v/>
      </c>
      <c r="G21" s="654"/>
      <c r="H21" s="219" t="str">
        <f>IF(I21,"ASAT","")</f>
        <v/>
      </c>
      <c r="I21" s="654"/>
      <c r="J21" s="219" t="str">
        <f>IF(K21,"ASAT","")</f>
        <v/>
      </c>
      <c r="K21" s="654"/>
      <c r="L21" s="219" t="str">
        <f>IF(M21,"ASAT","")</f>
        <v/>
      </c>
      <c r="M21" s="654"/>
      <c r="N21" s="219" t="str">
        <f>IF(O21,"ASAT","")</f>
        <v/>
      </c>
      <c r="O21" s="654"/>
      <c r="P21" s="219" t="str">
        <f>IF(Q21,"ASAT","")</f>
        <v/>
      </c>
      <c r="Q21" s="654"/>
      <c r="R21" s="219" t="str">
        <f>IF(S21,"ASAT","")</f>
        <v/>
      </c>
      <c r="S21" s="654"/>
      <c r="U21" s="269"/>
    </row>
    <row r="22" spans="2:21" x14ac:dyDescent="0.35">
      <c r="B22" s="219" t="str">
        <f>IF(C22,"ALAT","")</f>
        <v/>
      </c>
      <c r="C22" s="654"/>
      <c r="D22" s="219" t="str">
        <f>IF(E22,"ALAT","")</f>
        <v/>
      </c>
      <c r="E22" s="654"/>
      <c r="F22" s="219" t="str">
        <f>IF(G22,"ALAT","")</f>
        <v/>
      </c>
      <c r="G22" s="654"/>
      <c r="H22" s="219" t="str">
        <f>IF(I22,"ALAT","")</f>
        <v/>
      </c>
      <c r="I22" s="654"/>
      <c r="J22" s="219" t="str">
        <f>IF(K22,"ALAT","")</f>
        <v/>
      </c>
      <c r="K22" s="654"/>
      <c r="L22" s="219" t="str">
        <f>IF(M22,"ALAT","")</f>
        <v/>
      </c>
      <c r="M22" s="654"/>
      <c r="N22" s="219" t="str">
        <f>IF(O22,"ALAT","")</f>
        <v/>
      </c>
      <c r="O22" s="654"/>
      <c r="P22" s="219" t="str">
        <f>IF(Q22,"ALAT","")</f>
        <v/>
      </c>
      <c r="Q22" s="654"/>
      <c r="R22" s="219" t="str">
        <f>IF(S22,"ALAT","")</f>
        <v/>
      </c>
      <c r="S22" s="654"/>
      <c r="U22" s="269"/>
    </row>
    <row r="23" spans="2:21" x14ac:dyDescent="0.35">
      <c r="B23" s="219" t="str">
        <f>IF(C23,"GGT","")</f>
        <v/>
      </c>
      <c r="C23" s="654"/>
      <c r="D23" s="219" t="str">
        <f>IF(E23,"GGT","")</f>
        <v/>
      </c>
      <c r="E23" s="654"/>
      <c r="F23" s="219" t="str">
        <f>IF(G23,"GGT","")</f>
        <v/>
      </c>
      <c r="G23" s="654"/>
      <c r="H23" s="219" t="str">
        <f>IF(I23,"GGT","")</f>
        <v/>
      </c>
      <c r="I23" s="654"/>
      <c r="J23" s="219" t="str">
        <f>IF(K23,"GGT","")</f>
        <v/>
      </c>
      <c r="K23" s="654"/>
      <c r="L23" s="219" t="str">
        <f>IF(M23,"GGT","")</f>
        <v/>
      </c>
      <c r="M23" s="654"/>
      <c r="N23" s="219" t="str">
        <f>IF(O23,"GGT","")</f>
        <v/>
      </c>
      <c r="O23" s="654"/>
      <c r="P23" s="219" t="str">
        <f>IF(Q23,"GGT","")</f>
        <v/>
      </c>
      <c r="Q23" s="654"/>
      <c r="R23" s="219" t="str">
        <f>IF(S23,"GGT","")</f>
        <v/>
      </c>
      <c r="S23" s="654"/>
      <c r="U23" s="269"/>
    </row>
    <row r="24" spans="2:21" x14ac:dyDescent="0.35">
      <c r="B24" s="219" t="str">
        <f>IF(C24,"AF","")</f>
        <v/>
      </c>
      <c r="C24" s="654"/>
      <c r="D24" s="219" t="str">
        <f>IF(E24,"AF","")</f>
        <v/>
      </c>
      <c r="E24" s="654"/>
      <c r="F24" s="219" t="str">
        <f>IF(G24,"AF","")</f>
        <v/>
      </c>
      <c r="G24" s="654"/>
      <c r="H24" s="219" t="str">
        <f>IF(I24,"AF","")</f>
        <v/>
      </c>
      <c r="I24" s="654"/>
      <c r="J24" s="219" t="str">
        <f>IF(K24,"AF","")</f>
        <v/>
      </c>
      <c r="K24" s="654"/>
      <c r="L24" s="219" t="str">
        <f>IF(M24,"AF","")</f>
        <v/>
      </c>
      <c r="M24" s="654"/>
      <c r="N24" s="219" t="str">
        <f>IF(O24,"AF","")</f>
        <v/>
      </c>
      <c r="O24" s="654"/>
      <c r="P24" s="219" t="str">
        <f>IF(Q24,"AF","")</f>
        <v/>
      </c>
      <c r="Q24" s="654"/>
      <c r="R24" s="219" t="str">
        <f>IF(S24,"AF","")</f>
        <v/>
      </c>
      <c r="S24" s="654"/>
      <c r="U24" s="269"/>
    </row>
    <row r="25" spans="2:21" x14ac:dyDescent="0.35">
      <c r="B25" s="219" t="str">
        <f>IF(C25,"LDH","")</f>
        <v/>
      </c>
      <c r="C25" s="654"/>
      <c r="D25" s="219" t="str">
        <f>IF(E25,"LDH","")</f>
        <v/>
      </c>
      <c r="E25" s="654"/>
      <c r="F25" s="219" t="str">
        <f>IF(G25,"LDH","")</f>
        <v/>
      </c>
      <c r="G25" s="654"/>
      <c r="H25" s="219" t="str">
        <f>IF(I25,"LDH","")</f>
        <v/>
      </c>
      <c r="I25" s="654"/>
      <c r="J25" s="219" t="str">
        <f>IF(K25,"LDH","")</f>
        <v/>
      </c>
      <c r="K25" s="654"/>
      <c r="L25" s="219" t="str">
        <f>IF(M25,"LDH","")</f>
        <v/>
      </c>
      <c r="M25" s="654"/>
      <c r="N25" s="219" t="str">
        <f>IF(O25,"LDH","")</f>
        <v/>
      </c>
      <c r="O25" s="654"/>
      <c r="P25" s="219" t="str">
        <f>IF(Q25,"LDH","")</f>
        <v/>
      </c>
      <c r="Q25" s="654"/>
      <c r="R25" s="219" t="str">
        <f>IF(S25,"LDH","")</f>
        <v/>
      </c>
      <c r="S25" s="654"/>
      <c r="U25" s="269"/>
    </row>
    <row r="26" spans="2:21" x14ac:dyDescent="0.35">
      <c r="B26" s="219" t="str">
        <f>IF(C26,"Bili","")</f>
        <v/>
      </c>
      <c r="C26" s="654"/>
      <c r="D26" s="219" t="str">
        <f>IF(E26,"Bili","")</f>
        <v/>
      </c>
      <c r="E26" s="654"/>
      <c r="F26" s="219" t="str">
        <f>IF(G26,"Bili","")</f>
        <v/>
      </c>
      <c r="G26" s="654"/>
      <c r="H26" s="219" t="str">
        <f>IF(I26,"Bili","")</f>
        <v/>
      </c>
      <c r="I26" s="654"/>
      <c r="J26" s="219" t="str">
        <f>IF(K26,"Bili","")</f>
        <v/>
      </c>
      <c r="K26" s="654"/>
      <c r="L26" s="219" t="str">
        <f>IF(M26,"Bili","")</f>
        <v/>
      </c>
      <c r="M26" s="654"/>
      <c r="N26" s="219" t="str">
        <f>IF(O26,"Bili","")</f>
        <v/>
      </c>
      <c r="O26" s="654"/>
      <c r="P26" s="219" t="str">
        <f>IF(Q26,"Bili","")</f>
        <v/>
      </c>
      <c r="Q26" s="654"/>
      <c r="R26" s="219" t="str">
        <f>IF(S26,"Bili","")</f>
        <v/>
      </c>
      <c r="S26" s="654"/>
      <c r="U26" s="269"/>
    </row>
    <row r="27" spans="2:21" x14ac:dyDescent="0.35">
      <c r="B27" s="219" t="str">
        <f>IF(C27,"TG","")</f>
        <v/>
      </c>
      <c r="C27" s="654"/>
      <c r="D27" s="219" t="str">
        <f>IF(E27,"TG","")</f>
        <v/>
      </c>
      <c r="E27" s="654"/>
      <c r="F27" s="219" t="str">
        <f>IF(G27,"TG","")</f>
        <v/>
      </c>
      <c r="G27" s="654"/>
      <c r="H27" s="219" t="str">
        <f>IF(I27,"TG","")</f>
        <v/>
      </c>
      <c r="I27" s="654"/>
      <c r="J27" s="219" t="str">
        <f>IF(K27,"TG","")</f>
        <v/>
      </c>
      <c r="K27" s="654"/>
      <c r="L27" s="219" t="str">
        <f>IF(M27,"TG","")</f>
        <v/>
      </c>
      <c r="M27" s="654"/>
      <c r="N27" s="219" t="str">
        <f>IF(O27,"TG","")</f>
        <v/>
      </c>
      <c r="O27" s="654"/>
      <c r="P27" s="219" t="str">
        <f>IF(Q27,"TG","")</f>
        <v/>
      </c>
      <c r="Q27" s="654"/>
      <c r="R27" s="219" t="str">
        <f>IF(S27,"TG","")</f>
        <v/>
      </c>
      <c r="S27" s="654"/>
      <c r="U27" s="269"/>
    </row>
    <row r="28" spans="2:21" x14ac:dyDescent="0.35">
      <c r="B28" s="219" t="str">
        <f>IF(C28,"PT","")</f>
        <v/>
      </c>
      <c r="C28" s="654"/>
      <c r="D28" s="219" t="str">
        <f>IF(E28,"PT","")</f>
        <v/>
      </c>
      <c r="E28" s="654"/>
      <c r="F28" s="219" t="str">
        <f>IF(G28,"PT","")</f>
        <v/>
      </c>
      <c r="G28" s="654"/>
      <c r="H28" s="219" t="str">
        <f>IF(I28,"PT","")</f>
        <v/>
      </c>
      <c r="I28" s="654"/>
      <c r="J28" s="219" t="str">
        <f>IF(K28,"PT","")</f>
        <v/>
      </c>
      <c r="K28" s="654"/>
      <c r="L28" s="219" t="str">
        <f>IF(M28,"PT","")</f>
        <v/>
      </c>
      <c r="M28" s="654"/>
      <c r="N28" s="219" t="str">
        <f>IF(O28,"PT","")</f>
        <v/>
      </c>
      <c r="O28" s="654"/>
      <c r="P28" s="219" t="str">
        <f>IF(Q28,"PT","")</f>
        <v/>
      </c>
      <c r="Q28" s="654"/>
      <c r="R28" s="219" t="str">
        <f>IF(S28,"PT","")</f>
        <v/>
      </c>
      <c r="S28" s="654"/>
      <c r="U28" s="269"/>
    </row>
    <row r="29" spans="2:21" x14ac:dyDescent="0.35">
      <c r="B29" s="219" t="str">
        <f>IF(C29,"APPT","")</f>
        <v/>
      </c>
      <c r="C29" s="654"/>
      <c r="D29" s="219" t="str">
        <f>IF(E29,"APPT","")</f>
        <v/>
      </c>
      <c r="E29" s="654"/>
      <c r="F29" s="219" t="str">
        <f>IF(G29,"APPT","")</f>
        <v/>
      </c>
      <c r="G29" s="654"/>
      <c r="H29" s="219" t="str">
        <f>IF(I29,"APPT","")</f>
        <v/>
      </c>
      <c r="I29" s="654"/>
      <c r="J29" s="219" t="str">
        <f>IF(K29,"APPT","")</f>
        <v/>
      </c>
      <c r="K29" s="654"/>
      <c r="L29" s="219" t="str">
        <f>IF(M29,"APPT","")</f>
        <v/>
      </c>
      <c r="M29" s="654"/>
      <c r="N29" s="219" t="str">
        <f>IF(O29,"APPT","")</f>
        <v/>
      </c>
      <c r="O29" s="654"/>
      <c r="P29" s="219" t="str">
        <f>IF(Q29,"APPT","")</f>
        <v/>
      </c>
      <c r="Q29" s="654"/>
      <c r="R29" s="219" t="str">
        <f>IF(S29,"APPT","")</f>
        <v/>
      </c>
      <c r="S29" s="654"/>
      <c r="U29" s="269"/>
    </row>
    <row r="30" spans="2:21" x14ac:dyDescent="0.35">
      <c r="B30" s="219" t="str">
        <f>IF(C30,"NICU APPT","")</f>
        <v/>
      </c>
      <c r="C30" s="654"/>
      <c r="D30" s="219" t="str">
        <f>IF(E30,"NICU APPT","")</f>
        <v/>
      </c>
      <c r="E30" s="654"/>
      <c r="F30" s="219" t="str">
        <f>IF(G30,"NICU APPT","")</f>
        <v/>
      </c>
      <c r="G30" s="654"/>
      <c r="H30" s="219" t="str">
        <f>IF(I30,"NICU APPT","")</f>
        <v/>
      </c>
      <c r="I30" s="654"/>
      <c r="J30" s="219" t="str">
        <f>IF(K30,"NICU APPT","")</f>
        <v/>
      </c>
      <c r="K30" s="654"/>
      <c r="L30" s="219" t="str">
        <f>IF(M30,"NICU APPT","")</f>
        <v/>
      </c>
      <c r="M30" s="654"/>
      <c r="N30" s="219" t="str">
        <f>IF(O30,"NICU APPT","")</f>
        <v/>
      </c>
      <c r="O30" s="654"/>
      <c r="P30" s="219" t="str">
        <f>IF(Q30,"NICU APPT","")</f>
        <v/>
      </c>
      <c r="Q30" s="654"/>
      <c r="R30" s="219" t="str">
        <f>IF(S30,"NICU APPT","")</f>
        <v/>
      </c>
      <c r="S30" s="654"/>
      <c r="U30" s="269"/>
    </row>
    <row r="31" spans="2:21" x14ac:dyDescent="0.35">
      <c r="B31" s="219" t="str">
        <f>IF(C31,"BG","")</f>
        <v/>
      </c>
      <c r="C31" s="654"/>
      <c r="D31" s="219" t="str">
        <f>IF(E31,"BG","")</f>
        <v/>
      </c>
      <c r="E31" s="654"/>
      <c r="F31" s="219" t="str">
        <f>IF(G31,"BG","")</f>
        <v/>
      </c>
      <c r="G31" s="654"/>
      <c r="H31" s="219" t="str">
        <f>IF(I31,"BG","")</f>
        <v/>
      </c>
      <c r="I31" s="654"/>
      <c r="J31" s="219" t="str">
        <f>IF(K31,"BG","")</f>
        <v/>
      </c>
      <c r="K31" s="654"/>
      <c r="L31" s="219" t="str">
        <f>IF(M31,"BG","")</f>
        <v/>
      </c>
      <c r="M31" s="654"/>
      <c r="N31" s="219" t="str">
        <f>IF(O31,"BG","")</f>
        <v/>
      </c>
      <c r="O31" s="654"/>
      <c r="P31" s="219" t="str">
        <f>IF(Q31,"BG","")</f>
        <v/>
      </c>
      <c r="Q31" s="654"/>
      <c r="R31" s="219" t="str">
        <f>IF(S31,"BG","")</f>
        <v/>
      </c>
      <c r="S31" s="654"/>
      <c r="U31" s="269"/>
    </row>
    <row r="32" spans="2:21" x14ac:dyDescent="0.35">
      <c r="B32" s="219" t="str">
        <f>IF(C32,"antiAx","")</f>
        <v/>
      </c>
      <c r="C32" s="654"/>
      <c r="D32" s="219" t="str">
        <f>IF(E32,"antiAx","")</f>
        <v/>
      </c>
      <c r="E32" s="654"/>
      <c r="F32" s="219" t="str">
        <f>IF(G32,"antiAx","")</f>
        <v/>
      </c>
      <c r="G32" s="654"/>
      <c r="H32" s="219" t="str">
        <f>IF(I32,"antiAx","")</f>
        <v/>
      </c>
      <c r="I32" s="654"/>
      <c r="J32" s="219" t="str">
        <f>IF(K32,"antiAx","")</f>
        <v/>
      </c>
      <c r="K32" s="654"/>
      <c r="L32" s="219" t="str">
        <f>IF(M32,"antiAx","")</f>
        <v/>
      </c>
      <c r="M32" s="654"/>
      <c r="N32" s="219" t="str">
        <f>IF(O32,"antiAx","")</f>
        <v/>
      </c>
      <c r="O32" s="654"/>
      <c r="P32" s="219" t="str">
        <f>IF(Q32,"antiAx","")</f>
        <v/>
      </c>
      <c r="Q32" s="654"/>
      <c r="R32" s="219" t="str">
        <f>IF(S32,"antiAx","")</f>
        <v/>
      </c>
      <c r="S32" s="654"/>
      <c r="U32" s="269"/>
    </row>
    <row r="33" spans="2:21" x14ac:dyDescent="0.35">
      <c r="B33" s="219" t="str">
        <f>IF(C33,"BNP","")</f>
        <v/>
      </c>
      <c r="C33" s="654"/>
      <c r="D33" s="219" t="str">
        <f>IF(E33,"BNP","")</f>
        <v/>
      </c>
      <c r="E33" s="654"/>
      <c r="F33" s="219" t="str">
        <f>IF(G33,"BNP","")</f>
        <v/>
      </c>
      <c r="G33" s="654"/>
      <c r="H33" s="219" t="str">
        <f>IF(I33,"BNP","")</f>
        <v/>
      </c>
      <c r="I33" s="654"/>
      <c r="J33" s="219" t="str">
        <f>IF(K33,"BNP","")</f>
        <v/>
      </c>
      <c r="K33" s="654"/>
      <c r="L33" s="219" t="str">
        <f>IF(M33,"BNP","")</f>
        <v/>
      </c>
      <c r="M33" s="654"/>
      <c r="N33" s="219" t="str">
        <f>IF(O33,"BNP","")</f>
        <v/>
      </c>
      <c r="O33" s="654"/>
      <c r="P33" s="219" t="str">
        <f>IF(Q33,"BNP","")</f>
        <v/>
      </c>
      <c r="Q33" s="654"/>
      <c r="R33" s="219" t="str">
        <f>IF(S33,"BNP","")</f>
        <v/>
      </c>
      <c r="S33" s="654"/>
      <c r="U33" s="269"/>
    </row>
    <row r="34" spans="2:21" x14ac:dyDescent="0.35">
      <c r="B34" s="219" t="str">
        <f>IF(C34,"Troponine","")</f>
        <v/>
      </c>
      <c r="C34" s="654"/>
      <c r="D34" s="219" t="str">
        <f>IF(E34,"Troponine","")</f>
        <v/>
      </c>
      <c r="E34" s="654"/>
      <c r="F34" s="219" t="str">
        <f>IF(G34,"Troponine","")</f>
        <v/>
      </c>
      <c r="G34" s="654"/>
      <c r="H34" s="219" t="str">
        <f>IF(I34,"Troponine","")</f>
        <v/>
      </c>
      <c r="I34" s="654"/>
      <c r="J34" s="219" t="str">
        <f>IF(K34,"Troponine","")</f>
        <v/>
      </c>
      <c r="K34" s="654"/>
      <c r="L34" s="219" t="str">
        <f>IF(M34,"Troponine","")</f>
        <v/>
      </c>
      <c r="M34" s="654"/>
      <c r="N34" s="219" t="str">
        <f>IF(O34,"Troponine","")</f>
        <v/>
      </c>
      <c r="O34" s="654"/>
      <c r="P34" s="219" t="str">
        <f>IF(Q34,"Troponine","")</f>
        <v/>
      </c>
      <c r="Q34" s="654"/>
      <c r="R34" s="219" t="str">
        <f>IF(S34,"Troponine","")</f>
        <v/>
      </c>
      <c r="S34" s="654"/>
      <c r="U34" s="269"/>
    </row>
    <row r="35" spans="2:21" x14ac:dyDescent="0.35">
      <c r="B35" s="219" t="str">
        <f>IF(C35,"Coombs-test","")</f>
        <v/>
      </c>
      <c r="C35" s="654"/>
    </row>
    <row r="38" spans="2:21" x14ac:dyDescent="0.35">
      <c r="B38" s="219" t="s">
        <v>945</v>
      </c>
      <c r="D38" s="434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1"/>
    <col min="2" max="2" width="10.265625" style="8" customWidth="1"/>
    <col min="3" max="3" width="19.73046875" style="41" customWidth="1"/>
    <col min="4" max="4" width="28.86328125" style="41" bestFit="1" customWidth="1"/>
    <col min="5" max="5" width="17.73046875" style="41" customWidth="1"/>
    <col min="6" max="7" width="18.73046875" style="41" customWidth="1"/>
    <col min="8" max="11" width="9.1328125" style="41"/>
    <col min="12" max="21" width="9.1328125" style="41" hidden="1" customWidth="1"/>
    <col min="22" max="22" width="0" style="41" hidden="1" customWidth="1"/>
    <col min="23" max="16384" width="9.1328125" style="41"/>
  </cols>
  <sheetData>
    <row r="1" spans="1:25 4305:4305" x14ac:dyDescent="0.35">
      <c r="A1" s="443"/>
      <c r="J1" s="403"/>
      <c r="K1" s="403"/>
      <c r="L1" s="403" t="s">
        <v>825</v>
      </c>
      <c r="M1" s="403" t="s">
        <v>833</v>
      </c>
      <c r="N1" s="403" t="s">
        <v>826</v>
      </c>
      <c r="O1" s="403"/>
      <c r="P1" s="403"/>
      <c r="Q1" s="403"/>
      <c r="R1" s="403"/>
      <c r="S1" s="403" t="s">
        <v>834</v>
      </c>
      <c r="T1" s="403" t="s">
        <v>835</v>
      </c>
      <c r="U1" s="403"/>
      <c r="V1" s="403"/>
      <c r="W1" s="403"/>
      <c r="X1" s="403"/>
      <c r="Y1" s="139"/>
    </row>
    <row r="2" spans="1:25 4305:4305" ht="15" customHeight="1" x14ac:dyDescent="0.4">
      <c r="B2" s="130" t="str">
        <f>"Patient: "&amp;__2_AchterNaam&amp;", "&amp;__3_VoorNaam</f>
        <v xml:space="preserve">Patient: , </v>
      </c>
      <c r="C2" s="128"/>
      <c r="D2" s="105"/>
      <c r="E2" s="131"/>
      <c r="F2" s="105"/>
      <c r="G2" s="113"/>
      <c r="H2" s="42"/>
      <c r="I2" s="42"/>
      <c r="J2" s="403"/>
      <c r="K2" s="403"/>
      <c r="L2" s="403">
        <v>0</v>
      </c>
      <c r="M2" s="403">
        <v>40</v>
      </c>
      <c r="N2" s="403">
        <v>3.5</v>
      </c>
      <c r="O2" s="403">
        <v>0</v>
      </c>
      <c r="P2" s="403">
        <v>3.5</v>
      </c>
      <c r="Q2" s="403">
        <v>51</v>
      </c>
      <c r="R2" s="403"/>
      <c r="S2" s="403">
        <v>1</v>
      </c>
      <c r="T2" s="403">
        <v>1</v>
      </c>
      <c r="U2" s="403">
        <v>1</v>
      </c>
      <c r="V2" s="403"/>
      <c r="W2" s="403"/>
      <c r="X2" s="403"/>
      <c r="Y2" s="139"/>
      <c r="FIO2" s="41">
        <v>30</v>
      </c>
    </row>
    <row r="3" spans="1:25 4305:4305" ht="15" customHeight="1" x14ac:dyDescent="0.35">
      <c r="B3" s="130" t="str">
        <f>"Geb datum.: "</f>
        <v xml:space="preserve">Geb datum.: </v>
      </c>
      <c r="C3" s="144">
        <f>__4_GebDatum</f>
        <v>0</v>
      </c>
      <c r="D3" s="105"/>
      <c r="E3" s="131"/>
      <c r="F3" s="124"/>
      <c r="G3" s="113"/>
      <c r="H3" s="42"/>
      <c r="I3" s="42"/>
      <c r="J3" s="403"/>
      <c r="K3" s="403"/>
      <c r="L3" s="403">
        <v>1</v>
      </c>
      <c r="M3" s="403">
        <v>30</v>
      </c>
      <c r="N3" s="403">
        <v>4.5</v>
      </c>
      <c r="O3" s="403">
        <v>1</v>
      </c>
      <c r="P3" s="403">
        <v>4.2</v>
      </c>
      <c r="Q3" s="403">
        <v>54</v>
      </c>
      <c r="R3" s="403"/>
      <c r="S3" s="403">
        <v>2</v>
      </c>
      <c r="T3" s="403">
        <v>2</v>
      </c>
      <c r="U3" s="403">
        <v>2</v>
      </c>
      <c r="V3" s="403"/>
      <c r="W3" s="403"/>
      <c r="X3" s="403"/>
      <c r="Y3" s="139"/>
    </row>
    <row r="4" spans="1:25 4305:4305" ht="15.75" customHeight="1" x14ac:dyDescent="0.4">
      <c r="B4" s="122"/>
      <c r="C4" s="126" t="s">
        <v>697</v>
      </c>
      <c r="D4" s="126" t="s">
        <v>698</v>
      </c>
      <c r="E4" s="126" t="s">
        <v>699</v>
      </c>
      <c r="F4" s="126"/>
      <c r="G4" s="126"/>
      <c r="H4" s="42"/>
      <c r="J4" s="404"/>
      <c r="K4" s="404"/>
      <c r="L4" s="403">
        <v>2</v>
      </c>
      <c r="M4" s="403">
        <v>25</v>
      </c>
      <c r="N4" s="403">
        <v>4.5</v>
      </c>
      <c r="O4" s="403">
        <v>2</v>
      </c>
      <c r="P4" s="403">
        <v>5</v>
      </c>
      <c r="Q4" s="403">
        <v>57</v>
      </c>
      <c r="R4" s="403"/>
      <c r="S4" s="403">
        <v>3</v>
      </c>
      <c r="T4" s="403">
        <v>3</v>
      </c>
      <c r="U4" s="403">
        <v>3</v>
      </c>
      <c r="V4" s="403"/>
      <c r="W4" s="403"/>
      <c r="X4" s="403"/>
      <c r="Y4" s="139"/>
    </row>
    <row r="5" spans="1:25 4305:4305" ht="15" customHeight="1" x14ac:dyDescent="0.4">
      <c r="B5" s="122"/>
      <c r="C5" s="126">
        <f>_Pat_Weken</f>
        <v>30</v>
      </c>
      <c r="D5" s="126">
        <f>_Pat_Dagen</f>
        <v>0</v>
      </c>
      <c r="E5" s="126">
        <f>(_Pat_Gewicht/10)</f>
        <v>10</v>
      </c>
      <c r="F5" s="126"/>
      <c r="G5" s="126"/>
      <c r="H5" s="42"/>
      <c r="J5" s="404"/>
      <c r="K5" s="404"/>
      <c r="L5" s="403">
        <v>3</v>
      </c>
      <c r="M5" s="403">
        <v>25</v>
      </c>
      <c r="N5" s="403">
        <v>5</v>
      </c>
      <c r="O5" s="403">
        <v>3</v>
      </c>
      <c r="P5" s="403">
        <v>5.7</v>
      </c>
      <c r="Q5" s="403">
        <v>60</v>
      </c>
      <c r="R5" s="403"/>
      <c r="S5" s="403">
        <v>4</v>
      </c>
      <c r="T5" s="403">
        <v>3</v>
      </c>
      <c r="U5" s="403"/>
      <c r="V5" s="403"/>
      <c r="W5" s="403"/>
      <c r="X5" s="403"/>
      <c r="Y5" s="139"/>
    </row>
    <row r="6" spans="1:25 4305:4305" ht="15" customHeight="1" thickBot="1" x14ac:dyDescent="0.45">
      <c r="A6" s="443"/>
      <c r="B6" s="21"/>
      <c r="C6" s="129"/>
      <c r="D6" s="129"/>
      <c r="E6" s="129"/>
      <c r="F6" s="129"/>
      <c r="G6" s="129"/>
      <c r="H6" s="42"/>
      <c r="J6" s="404"/>
      <c r="K6" s="404"/>
      <c r="L6" s="403">
        <v>4</v>
      </c>
      <c r="M6" s="403">
        <v>25</v>
      </c>
      <c r="N6" s="403">
        <v>5</v>
      </c>
      <c r="O6" s="403">
        <v>4</v>
      </c>
      <c r="P6" s="403">
        <v>6.5</v>
      </c>
      <c r="Q6" s="403">
        <v>63</v>
      </c>
      <c r="R6" s="403"/>
      <c r="S6" s="403">
        <v>5</v>
      </c>
      <c r="T6" s="403">
        <v>5</v>
      </c>
      <c r="U6" s="403">
        <v>5</v>
      </c>
      <c r="V6" s="403"/>
      <c r="W6" s="403"/>
      <c r="X6" s="403"/>
      <c r="Y6" s="139"/>
    </row>
    <row r="7" spans="1:25 4305:4305" ht="20.100000000000001" customHeight="1" x14ac:dyDescent="0.4">
      <c r="B7" s="122" t="s">
        <v>336</v>
      </c>
      <c r="C7" s="132" t="s">
        <v>54</v>
      </c>
      <c r="D7" s="133" t="str">
        <f>"Maat: "&amp;IF((_Pat_Gewicht/10)&lt;1,2.5,IF(AND((_Pat_Gewicht/10)&gt;=1,(_Pat_Gewicht/10)&lt;2),3,3.5))</f>
        <v>Maat: 3,5</v>
      </c>
      <c r="E7" s="134"/>
      <c r="F7" s="134"/>
      <c r="G7" s="190"/>
      <c r="H7" s="42"/>
      <c r="I7" s="42"/>
      <c r="J7" s="403"/>
      <c r="K7" s="403"/>
      <c r="L7" s="403">
        <v>5</v>
      </c>
      <c r="M7" s="403">
        <v>25</v>
      </c>
      <c r="N7" s="403">
        <v>5.5</v>
      </c>
      <c r="O7" s="403">
        <v>5</v>
      </c>
      <c r="P7" s="403">
        <v>7</v>
      </c>
      <c r="Q7" s="403">
        <v>65</v>
      </c>
      <c r="R7" s="403"/>
      <c r="S7" s="403">
        <v>6</v>
      </c>
      <c r="T7" s="403">
        <v>5</v>
      </c>
      <c r="U7" s="403"/>
      <c r="V7" s="403"/>
      <c r="W7" s="403"/>
      <c r="X7" s="403"/>
      <c r="Y7" s="139"/>
    </row>
    <row r="8" spans="1:25 4305:4305" ht="20.100000000000001" customHeight="1" x14ac:dyDescent="0.4">
      <c r="B8" s="122"/>
      <c r="C8" s="121"/>
      <c r="D8" s="43" t="str">
        <f>"Nasaal: "&amp;((_Pat_Gewicht/10)+6)*1.2</f>
        <v>Nasaal: 19,2</v>
      </c>
      <c r="E8" s="42"/>
      <c r="F8" s="42"/>
      <c r="G8" s="191"/>
      <c r="H8" s="42"/>
      <c r="I8" s="42"/>
      <c r="J8" s="403"/>
      <c r="K8" s="403"/>
      <c r="L8" s="403">
        <v>6</v>
      </c>
      <c r="M8" s="403">
        <v>20</v>
      </c>
      <c r="N8" s="403">
        <v>5.5</v>
      </c>
      <c r="O8" s="403">
        <v>6</v>
      </c>
      <c r="P8" s="403">
        <v>7.7</v>
      </c>
      <c r="Q8" s="403">
        <v>67</v>
      </c>
      <c r="R8" s="403"/>
      <c r="S8" s="403">
        <v>7</v>
      </c>
      <c r="T8" s="403">
        <v>7</v>
      </c>
      <c r="U8" s="403">
        <v>7</v>
      </c>
      <c r="V8" s="403"/>
      <c r="W8" s="403"/>
      <c r="X8" s="403"/>
      <c r="Y8" s="139"/>
    </row>
    <row r="9" spans="1:25 4305:4305" ht="20.100000000000001" customHeight="1" x14ac:dyDescent="0.4">
      <c r="B9" s="122"/>
      <c r="C9" s="121"/>
      <c r="D9" s="43" t="str">
        <f>"Oraal: "&amp;((_Pat_Gewicht/10)+6)</f>
        <v>Oraal: 16</v>
      </c>
      <c r="E9" s="42"/>
      <c r="F9" s="42"/>
      <c r="G9" s="191"/>
      <c r="H9" s="42"/>
      <c r="I9" s="42"/>
      <c r="J9" s="403"/>
      <c r="K9" s="403"/>
      <c r="L9" s="403">
        <v>7</v>
      </c>
      <c r="M9" s="403">
        <v>20</v>
      </c>
      <c r="N9" s="403">
        <v>6</v>
      </c>
      <c r="O9" s="403">
        <v>7</v>
      </c>
      <c r="P9" s="403">
        <v>8.1999999999999993</v>
      </c>
      <c r="Q9" s="403">
        <v>69</v>
      </c>
      <c r="R9" s="403"/>
      <c r="S9" s="403">
        <v>8</v>
      </c>
      <c r="T9" s="403">
        <v>7</v>
      </c>
      <c r="U9" s="403"/>
      <c r="V9" s="403"/>
      <c r="W9" s="403"/>
      <c r="X9" s="403"/>
      <c r="Y9" s="139"/>
    </row>
    <row r="10" spans="1:25 4305:4305" ht="20.100000000000001" customHeight="1" x14ac:dyDescent="0.4">
      <c r="B10" s="122"/>
      <c r="C10" s="121" t="s">
        <v>1185</v>
      </c>
      <c r="D10" s="616">
        <f>(1.5*(_Pat_Gewicht/10))+5.5</f>
        <v>20.5</v>
      </c>
      <c r="E10" s="42"/>
      <c r="F10" s="42"/>
      <c r="G10" s="191"/>
      <c r="H10" s="42"/>
      <c r="I10" s="42"/>
      <c r="J10" s="403"/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3"/>
      <c r="X10" s="403"/>
      <c r="Y10" s="139"/>
    </row>
    <row r="11" spans="1:25 4305:4305" ht="20.100000000000001" customHeight="1" x14ac:dyDescent="0.4">
      <c r="B11" s="122"/>
      <c r="C11" s="121" t="s">
        <v>1186</v>
      </c>
      <c r="D11" s="616">
        <f>(4*(_Pat_Gewicht/10))+7</f>
        <v>47</v>
      </c>
      <c r="E11" s="42"/>
      <c r="F11" s="42"/>
      <c r="G11" s="191"/>
      <c r="H11" s="42"/>
      <c r="I11" s="42"/>
      <c r="J11" s="403"/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3"/>
      <c r="X11" s="403"/>
      <c r="Y11" s="139"/>
    </row>
    <row r="12" spans="1:25 4305:4305" ht="20.100000000000001" customHeight="1" x14ac:dyDescent="0.4">
      <c r="B12" s="122"/>
      <c r="C12" s="121" t="s">
        <v>55</v>
      </c>
      <c r="D12" s="43" t="str">
        <f>IF(ROUND((E5)*4,0)&gt;150,150,VLOOKUP(ROUND(E5*4,0),S2:T347,2))&amp;" Joules Asynchroon"</f>
        <v>50 Joules Asynchroon</v>
      </c>
      <c r="E12" s="42"/>
      <c r="F12" s="42"/>
      <c r="G12" s="191" t="s">
        <v>0</v>
      </c>
      <c r="H12" s="42"/>
      <c r="I12" s="42"/>
      <c r="J12" s="403"/>
      <c r="K12" s="403"/>
      <c r="L12" s="403">
        <v>9</v>
      </c>
      <c r="M12" s="403">
        <v>20</v>
      </c>
      <c r="N12" s="403">
        <v>6.5</v>
      </c>
      <c r="O12" s="403">
        <v>9</v>
      </c>
      <c r="P12" s="403">
        <v>9</v>
      </c>
      <c r="Q12" s="403">
        <v>72</v>
      </c>
      <c r="R12" s="403"/>
      <c r="S12" s="403">
        <v>10</v>
      </c>
      <c r="T12" s="403">
        <v>10</v>
      </c>
      <c r="U12" s="403">
        <v>10</v>
      </c>
      <c r="V12" s="403"/>
      <c r="W12" s="403"/>
      <c r="X12" s="403"/>
      <c r="Y12" s="139"/>
    </row>
    <row r="13" spans="1:25 4305:4305" ht="20.100000000000001" customHeight="1" x14ac:dyDescent="0.4">
      <c r="B13" s="122"/>
      <c r="C13" s="121" t="s">
        <v>132</v>
      </c>
      <c r="D13" s="43" t="str">
        <f>IF(OR(ROUND(0.01*(E5),2)&gt;1,C5&gt;=18),"1 mg iv",ROUND(0.01*(E5),2)&amp;" mg iv")</f>
        <v>1 mg iv</v>
      </c>
      <c r="E13" s="42" t="str">
        <f>"= "&amp;IF(ROUND(0.01*(E5),2)&gt;1,"1 ml van 1mg = 10 ml (1:10.000)",ROUND(0.1*(E5),2)&amp;" ml van 1mg = 10 ml (1:10.000)")</f>
        <v>= 1 ml van 1mg = 10 ml (1:10.000)</v>
      </c>
      <c r="F13" s="42"/>
      <c r="G13" s="191" t="s">
        <v>1</v>
      </c>
      <c r="H13" s="42"/>
      <c r="I13" s="42"/>
      <c r="J13" s="403"/>
      <c r="K13" s="403"/>
      <c r="L13" s="403">
        <v>10</v>
      </c>
      <c r="M13" s="403">
        <v>20</v>
      </c>
      <c r="N13" s="403">
        <v>6.5</v>
      </c>
      <c r="O13" s="403">
        <v>10</v>
      </c>
      <c r="P13" s="403">
        <v>9.3000000000000007</v>
      </c>
      <c r="Q13" s="403">
        <v>73</v>
      </c>
      <c r="R13" s="403"/>
      <c r="S13" s="403">
        <v>11</v>
      </c>
      <c r="T13" s="403">
        <v>10</v>
      </c>
      <c r="U13" s="403"/>
      <c r="V13" s="403"/>
      <c r="W13" s="403"/>
      <c r="X13" s="403"/>
      <c r="Y13" s="139"/>
    </row>
    <row r="14" spans="1:25 4305:4305" ht="20.100000000000001" customHeight="1" x14ac:dyDescent="0.4">
      <c r="B14" s="122"/>
      <c r="C14" s="121" t="s">
        <v>591</v>
      </c>
      <c r="D14" s="43" t="str">
        <f>IF(0.2*E5&lt;=25,0.2*E5&amp;" gram iv","25 gram iv")</f>
        <v>2 gram iv</v>
      </c>
      <c r="E14" s="42" t="str">
        <f>"="&amp;" "&amp;IF(2*E5&lt;=250,ROUND(2*E5,2)&amp;" ml Glucose 10%","250 ml Glucose 10%")</f>
        <v>= 20 ml Glucose 10%</v>
      </c>
      <c r="F14" s="42"/>
      <c r="G14" s="191" t="s">
        <v>3</v>
      </c>
      <c r="H14" s="42"/>
      <c r="I14" s="42"/>
      <c r="J14" s="403"/>
      <c r="K14" s="403"/>
      <c r="L14" s="403">
        <v>11</v>
      </c>
      <c r="M14" s="403">
        <v>20</v>
      </c>
      <c r="N14" s="403">
        <v>7</v>
      </c>
      <c r="O14" s="403">
        <v>11</v>
      </c>
      <c r="P14" s="403">
        <v>9.5</v>
      </c>
      <c r="Q14" s="403">
        <v>74</v>
      </c>
      <c r="R14" s="403"/>
      <c r="S14" s="403">
        <v>12</v>
      </c>
      <c r="T14" s="403">
        <v>10</v>
      </c>
      <c r="U14" s="403"/>
      <c r="V14" s="403"/>
      <c r="W14" s="403"/>
      <c r="X14" s="403"/>
      <c r="Y14" s="139"/>
    </row>
    <row r="15" spans="1:25 4305:4305" ht="20.100000000000001" customHeight="1" thickBot="1" x14ac:dyDescent="0.45">
      <c r="B15" s="122"/>
      <c r="C15" s="135" t="s">
        <v>827</v>
      </c>
      <c r="D15" s="136" t="str">
        <f>IF(ROUND(20*E5/10,0)*10&gt;500,500,ROUND(20*E5/10,0)*10)&amp;" ml NaCl 0,9% iv per bolus"</f>
        <v>200 ml NaCl 0,9% iv per bolus</v>
      </c>
      <c r="E15" s="137"/>
      <c r="F15" s="137"/>
      <c r="G15" s="192" t="s">
        <v>4</v>
      </c>
      <c r="H15" s="42"/>
      <c r="I15" s="42"/>
      <c r="J15" s="403"/>
      <c r="K15" s="403"/>
      <c r="L15" s="403">
        <v>12</v>
      </c>
      <c r="M15" s="403">
        <v>15</v>
      </c>
      <c r="N15" s="403">
        <v>7</v>
      </c>
      <c r="O15" s="403">
        <v>12</v>
      </c>
      <c r="P15" s="403">
        <v>10</v>
      </c>
      <c r="Q15" s="403">
        <v>76</v>
      </c>
      <c r="R15" s="403"/>
      <c r="S15" s="403">
        <v>13</v>
      </c>
      <c r="T15" s="403">
        <v>10</v>
      </c>
      <c r="U15" s="403"/>
      <c r="V15" s="403"/>
      <c r="W15" s="403"/>
      <c r="X15" s="403"/>
      <c r="Y15" s="139"/>
    </row>
    <row r="16" spans="1:25 4305:4305" ht="20.100000000000001" customHeight="1" thickBot="1" x14ac:dyDescent="0.45">
      <c r="B16" s="21"/>
      <c r="C16" s="42"/>
      <c r="D16" s="43"/>
      <c r="E16" s="42"/>
      <c r="F16" s="42"/>
      <c r="G16" s="191"/>
      <c r="H16" s="42"/>
      <c r="I16" s="42"/>
      <c r="J16" s="403"/>
      <c r="K16" s="403"/>
      <c r="L16" s="403">
        <v>16</v>
      </c>
      <c r="M16" s="403">
        <v>15</v>
      </c>
      <c r="N16" s="403">
        <v>7</v>
      </c>
      <c r="O16" s="403"/>
      <c r="P16" s="403"/>
      <c r="Q16" s="403"/>
      <c r="R16" s="403"/>
      <c r="S16" s="403">
        <v>17</v>
      </c>
      <c r="T16" s="403">
        <v>20</v>
      </c>
      <c r="U16" s="403"/>
      <c r="V16" s="403"/>
      <c r="W16" s="403"/>
      <c r="X16" s="403"/>
      <c r="Y16" s="139"/>
    </row>
    <row r="17" spans="2:26" ht="20.100000000000001" customHeight="1" x14ac:dyDescent="0.4">
      <c r="B17" s="122" t="s">
        <v>404</v>
      </c>
      <c r="C17" s="132" t="s">
        <v>828</v>
      </c>
      <c r="D17" s="133" t="str">
        <f>IF(0.1*E5&gt;2,"2 mg iv",0.1*E5&amp;" mg iv")</f>
        <v>1 mg iv</v>
      </c>
      <c r="E17" s="134" t="str">
        <f>"= "&amp;IF(0.1*E5&gt;2,"0,1 ml van een 10 mg/ml oplossing",ROUND(0.1*E5,2)&amp;" ml van een 10 mg/ml oplossing")</f>
        <v>= 1 ml van een 10 mg/ml oplossing</v>
      </c>
      <c r="F17" s="134"/>
      <c r="G17" s="190" t="s">
        <v>700</v>
      </c>
      <c r="H17" s="42"/>
      <c r="I17" s="42"/>
      <c r="J17" s="403"/>
      <c r="K17" s="403"/>
      <c r="L17" s="403">
        <v>17</v>
      </c>
      <c r="M17" s="403">
        <v>15</v>
      </c>
      <c r="N17" s="403">
        <v>7</v>
      </c>
      <c r="O17" s="403"/>
      <c r="P17" s="403"/>
      <c r="Q17" s="403"/>
      <c r="R17" s="403"/>
      <c r="S17" s="403">
        <v>18</v>
      </c>
      <c r="T17" s="403">
        <v>20</v>
      </c>
      <c r="U17" s="403"/>
      <c r="V17" s="403"/>
      <c r="W17" s="403"/>
      <c r="X17" s="403"/>
      <c r="Y17" s="139"/>
    </row>
    <row r="18" spans="2:26" ht="15.75" customHeight="1" thickBot="1" x14ac:dyDescent="0.45">
      <c r="B18" s="21"/>
      <c r="C18" s="116"/>
      <c r="D18" s="43"/>
      <c r="E18" s="617"/>
      <c r="F18" s="617"/>
      <c r="G18" s="191"/>
      <c r="H18" s="125"/>
      <c r="I18" s="125"/>
      <c r="J18" s="405"/>
      <c r="K18" s="403"/>
      <c r="L18" s="403">
        <v>18</v>
      </c>
      <c r="M18" s="403">
        <v>15</v>
      </c>
      <c r="N18" s="403">
        <v>7</v>
      </c>
      <c r="O18" s="403"/>
      <c r="P18" s="403"/>
      <c r="Q18" s="403"/>
      <c r="R18" s="403"/>
      <c r="S18" s="403">
        <v>19</v>
      </c>
      <c r="T18" s="403">
        <v>20</v>
      </c>
      <c r="U18" s="403"/>
      <c r="V18" s="403"/>
      <c r="W18" s="403"/>
      <c r="X18" s="403"/>
      <c r="Y18" s="139"/>
    </row>
    <row r="19" spans="2:26" ht="20.100000000000001" customHeight="1" x14ac:dyDescent="0.4">
      <c r="B19" s="122" t="s">
        <v>289</v>
      </c>
      <c r="C19" s="132" t="s">
        <v>829</v>
      </c>
      <c r="D19" s="133" t="str">
        <f>0.1*E5&amp;" mg iv"</f>
        <v>1 mg iv</v>
      </c>
      <c r="E19" s="134" t="str">
        <f>"= "&amp;ROUND((0.1*E5),2)&amp;" ml van Anexate 0,1 mg/ml"</f>
        <v>= 1 ml van Anexate 0,1 mg/ml</v>
      </c>
      <c r="F19" s="134"/>
      <c r="G19" s="190"/>
      <c r="H19" s="125"/>
      <c r="I19" s="125"/>
      <c r="J19" s="405"/>
      <c r="K19" s="403"/>
      <c r="L19" s="403"/>
      <c r="M19" s="403"/>
      <c r="N19" s="403"/>
      <c r="O19" s="403"/>
      <c r="P19" s="403"/>
      <c r="Q19" s="403"/>
      <c r="R19" s="403"/>
      <c r="S19" s="403">
        <v>20</v>
      </c>
      <c r="T19" s="403">
        <v>20</v>
      </c>
      <c r="U19" s="403">
        <v>20</v>
      </c>
      <c r="V19" s="403"/>
      <c r="W19" s="403"/>
      <c r="X19" s="403"/>
      <c r="Y19" s="139"/>
    </row>
    <row r="20" spans="2:26" ht="20.100000000000001" customHeight="1" x14ac:dyDescent="0.4">
      <c r="B20" s="122"/>
      <c r="C20" s="121" t="s">
        <v>830</v>
      </c>
      <c r="D20" s="43" t="str">
        <f>IF(0.01*E5&gt;0.4,"0,4 mg iv",0.01*E5&amp;" mg iv")</f>
        <v>0,1 mg iv</v>
      </c>
      <c r="E20" s="88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86"/>
      <c r="G20" s="191" t="s">
        <v>9</v>
      </c>
      <c r="H20" s="42"/>
      <c r="I20" s="42"/>
      <c r="J20" s="403"/>
      <c r="K20" s="403"/>
      <c r="L20" s="403"/>
      <c r="M20" s="403"/>
      <c r="N20" s="403"/>
      <c r="O20" s="403"/>
      <c r="P20" s="403"/>
      <c r="Q20" s="403"/>
      <c r="R20" s="403"/>
      <c r="S20" s="403">
        <v>21</v>
      </c>
      <c r="T20" s="403">
        <v>30</v>
      </c>
      <c r="U20" s="403"/>
      <c r="V20" s="403"/>
      <c r="W20" s="403"/>
      <c r="X20" s="403"/>
      <c r="Y20" s="139"/>
    </row>
    <row r="21" spans="2:26" ht="20.100000000000001" customHeight="1" thickBot="1" x14ac:dyDescent="0.45">
      <c r="B21" s="122"/>
      <c r="C21" s="135"/>
      <c r="D21" s="136"/>
      <c r="E21" s="887"/>
      <c r="F21" s="887"/>
      <c r="G21" s="192"/>
      <c r="H21" s="42"/>
      <c r="I21" s="42"/>
      <c r="J21" s="403"/>
      <c r="K21" s="403"/>
      <c r="L21" s="403" t="s">
        <v>1183</v>
      </c>
      <c r="M21" s="403" t="s">
        <v>1184</v>
      </c>
      <c r="N21" s="403" t="s">
        <v>826</v>
      </c>
      <c r="O21" s="403"/>
      <c r="P21" s="403"/>
      <c r="Q21" s="403"/>
      <c r="R21" s="403"/>
      <c r="S21" s="403">
        <v>22</v>
      </c>
      <c r="T21" s="403">
        <v>30</v>
      </c>
      <c r="U21" s="403"/>
      <c r="V21" s="403"/>
      <c r="W21" s="403"/>
      <c r="X21" s="403"/>
      <c r="Y21" s="139"/>
    </row>
    <row r="22" spans="2:26" ht="20.100000000000001" customHeight="1" thickBot="1" x14ac:dyDescent="0.45">
      <c r="B22" s="21"/>
      <c r="C22" s="116"/>
      <c r="D22" s="43"/>
      <c r="E22" s="617"/>
      <c r="F22" s="617"/>
      <c r="G22" s="191"/>
      <c r="H22" s="42"/>
      <c r="I22" s="42"/>
      <c r="J22" s="403"/>
      <c r="K22" s="403"/>
      <c r="L22" s="403">
        <v>0</v>
      </c>
      <c r="M22" s="403">
        <v>1</v>
      </c>
      <c r="N22" s="403">
        <v>2.5</v>
      </c>
      <c r="O22" s="403"/>
      <c r="P22" s="403"/>
      <c r="Q22" s="403"/>
      <c r="R22" s="403"/>
      <c r="S22" s="403">
        <v>23</v>
      </c>
      <c r="T22" s="403">
        <v>30</v>
      </c>
      <c r="U22" s="403"/>
      <c r="V22" s="403"/>
      <c r="W22" s="403"/>
      <c r="X22" s="403"/>
      <c r="Y22" s="139"/>
    </row>
    <row r="23" spans="2:26" ht="20.100000000000001" customHeight="1" x14ac:dyDescent="0.4">
      <c r="B23" s="122" t="s">
        <v>290</v>
      </c>
      <c r="C23" s="132" t="s">
        <v>796</v>
      </c>
      <c r="D23" s="619" t="str">
        <f>CONCATENATE(0.0144*(_Pat_Gewicht/10), " mg in 12 ml glucose 10%")</f>
        <v>0,144 mg in 12 ml glucose 10%</v>
      </c>
      <c r="E23" s="134" t="s">
        <v>1187</v>
      </c>
      <c r="F23" s="134"/>
      <c r="G23" s="190" t="s">
        <v>701</v>
      </c>
      <c r="H23" s="42"/>
      <c r="I23" s="42"/>
      <c r="J23" s="403"/>
      <c r="K23" s="403"/>
      <c r="L23" s="403">
        <v>1</v>
      </c>
      <c r="M23" s="403">
        <v>2</v>
      </c>
      <c r="N23" s="403">
        <v>3</v>
      </c>
      <c r="O23" s="403"/>
      <c r="P23" s="403"/>
      <c r="Q23" s="403"/>
      <c r="R23" s="403"/>
      <c r="S23" s="403">
        <v>24</v>
      </c>
      <c r="T23" s="403">
        <v>30</v>
      </c>
      <c r="U23" s="403"/>
      <c r="V23" s="403"/>
      <c r="W23" s="403"/>
      <c r="X23" s="403"/>
      <c r="Y23" s="139"/>
    </row>
    <row r="24" spans="2:26" ht="20.100000000000001" customHeight="1" x14ac:dyDescent="0.45">
      <c r="B24" s="122"/>
      <c r="C24" s="121" t="s">
        <v>831</v>
      </c>
      <c r="D24" s="43" t="str">
        <f>CONCATENATE(7.2*(_Pat_Gewicht/10), " mg in 12 ml glucose 10%")</f>
        <v>72 mg in 12 ml glucose 10%</v>
      </c>
      <c r="E24" s="42" t="s">
        <v>1188</v>
      </c>
      <c r="F24" s="42"/>
      <c r="G24" s="191" t="s">
        <v>351</v>
      </c>
      <c r="H24" s="42"/>
      <c r="I24" s="42"/>
      <c r="J24" s="408"/>
      <c r="K24" s="403"/>
      <c r="L24" s="403">
        <v>2</v>
      </c>
      <c r="M24" s="403">
        <v>150</v>
      </c>
      <c r="N24" s="403">
        <v>3.5</v>
      </c>
      <c r="O24" s="403"/>
      <c r="P24" s="403"/>
      <c r="Q24" s="403"/>
      <c r="R24" s="403"/>
      <c r="S24" s="403">
        <v>25</v>
      </c>
      <c r="T24" s="403">
        <v>30</v>
      </c>
      <c r="U24" s="403"/>
      <c r="V24" s="403"/>
      <c r="W24" s="403"/>
      <c r="X24" s="403"/>
      <c r="Y24" s="139"/>
    </row>
    <row r="25" spans="2:26" ht="20.100000000000001" customHeight="1" thickBot="1" x14ac:dyDescent="0.45">
      <c r="B25" s="122"/>
      <c r="C25" s="135" t="s">
        <v>832</v>
      </c>
      <c r="D25" s="136" t="str">
        <f>CONCATENATE(0.072*(_Pat_Gewicht/10), " mg in 12 ml glucose 10%")</f>
        <v>0,72 mg in 12 ml glucose 10%</v>
      </c>
      <c r="E25" s="620" t="s">
        <v>1189</v>
      </c>
      <c r="F25" s="137"/>
      <c r="G25" s="192" t="s">
        <v>413</v>
      </c>
      <c r="H25" s="42"/>
      <c r="I25" s="42"/>
      <c r="J25" s="403"/>
      <c r="K25" s="403"/>
      <c r="L25" s="403"/>
      <c r="M25" s="403"/>
      <c r="N25" s="403"/>
      <c r="O25" s="403"/>
      <c r="P25" s="403"/>
      <c r="Q25" s="403"/>
      <c r="R25" s="403"/>
      <c r="S25" s="403">
        <v>29</v>
      </c>
      <c r="T25" s="403">
        <v>30</v>
      </c>
      <c r="U25" s="403"/>
      <c r="V25" s="403"/>
      <c r="W25" s="403"/>
      <c r="X25" s="403"/>
      <c r="Y25" s="139"/>
    </row>
    <row r="26" spans="2:26" ht="20.100000000000001" customHeight="1" thickBot="1" x14ac:dyDescent="0.45">
      <c r="B26" s="21"/>
      <c r="C26" s="42"/>
      <c r="D26" s="43"/>
      <c r="E26" s="42"/>
      <c r="F26" s="42"/>
      <c r="G26" s="191"/>
      <c r="H26" s="42"/>
      <c r="I26" s="42"/>
      <c r="J26" s="403"/>
      <c r="K26" s="403"/>
      <c r="L26" s="403"/>
      <c r="M26" s="403"/>
      <c r="N26" s="403"/>
      <c r="O26" s="403"/>
      <c r="P26" s="403"/>
      <c r="Q26" s="403"/>
      <c r="R26" s="403"/>
      <c r="S26" s="403">
        <v>32</v>
      </c>
      <c r="T26" s="403">
        <v>50</v>
      </c>
      <c r="U26" s="403"/>
      <c r="V26" s="403"/>
      <c r="W26" s="403"/>
      <c r="X26" s="403"/>
      <c r="Y26" s="139"/>
    </row>
    <row r="27" spans="2:26" ht="26.05" thickBot="1" x14ac:dyDescent="0.45">
      <c r="B27" s="628" t="s">
        <v>92</v>
      </c>
      <c r="C27" s="624" t="s">
        <v>292</v>
      </c>
      <c r="D27" s="622" t="str">
        <f>CONCATENATE(0.1*(_Pat_Gewicht/10), " mg")</f>
        <v>1 mg</v>
      </c>
      <c r="E27" s="623" t="str">
        <f>"= "&amp;0.02*(_Pat_Gewicht/10)&amp;" ml van Midazolam 5mg/ml oplossing"</f>
        <v>= 0,2 ml van Midazolam 5mg/ml oplossing</v>
      </c>
      <c r="F27" s="623"/>
      <c r="G27" s="629"/>
      <c r="H27" s="42"/>
      <c r="I27" s="42"/>
      <c r="J27" s="403"/>
      <c r="K27" s="403"/>
      <c r="L27" s="403"/>
      <c r="M27" s="403"/>
      <c r="N27" s="403"/>
      <c r="O27" s="403"/>
      <c r="P27" s="403"/>
      <c r="Q27" s="403"/>
      <c r="R27" s="403"/>
      <c r="S27" s="403">
        <v>33</v>
      </c>
      <c r="T27" s="403">
        <v>50</v>
      </c>
      <c r="U27" s="403"/>
      <c r="V27" s="403"/>
      <c r="W27" s="403"/>
      <c r="X27" s="403"/>
      <c r="Y27" s="139"/>
    </row>
    <row r="28" spans="2:26" ht="20.100000000000001" customHeight="1" thickBot="1" x14ac:dyDescent="0.45">
      <c r="B28" s="621"/>
      <c r="C28" s="624" t="s">
        <v>1190</v>
      </c>
      <c r="D28" s="625" t="str">
        <f>CONCATENATE(20*(_Pat_Gewicht/10), " mg")</f>
        <v>200 mg</v>
      </c>
      <c r="E28" s="626" t="str">
        <f>"= "&amp;0.4*(_Pat_Gewicht/10)&amp;" ml van Fenobarbital 50mg/ml oplossing"</f>
        <v>= 4 ml van Fenobarbital 50mg/ml oplossing</v>
      </c>
      <c r="F28" s="626"/>
      <c r="G28" s="627"/>
      <c r="H28" s="42"/>
      <c r="I28" s="42"/>
      <c r="J28" s="403"/>
      <c r="K28" s="403"/>
      <c r="L28" s="403"/>
      <c r="M28" s="403"/>
      <c r="N28" s="403"/>
      <c r="O28" s="403"/>
      <c r="P28" s="403"/>
      <c r="Q28" s="403"/>
      <c r="R28" s="403"/>
      <c r="S28" s="403">
        <v>41</v>
      </c>
      <c r="T28" s="403">
        <v>50</v>
      </c>
      <c r="U28" s="403"/>
      <c r="V28" s="403"/>
      <c r="W28" s="403"/>
      <c r="X28" s="403"/>
      <c r="Y28" s="139"/>
    </row>
    <row r="29" spans="2:26" ht="13.5" customHeight="1" thickBot="1" x14ac:dyDescent="0.45">
      <c r="B29" s="21"/>
      <c r="C29" s="42"/>
      <c r="D29" s="43"/>
      <c r="E29" s="42"/>
      <c r="F29" s="42"/>
      <c r="G29" s="195"/>
      <c r="H29" s="42"/>
      <c r="I29" s="42"/>
      <c r="J29" s="403"/>
      <c r="K29" s="403"/>
      <c r="L29" s="403"/>
      <c r="M29" s="403"/>
      <c r="N29" s="403"/>
      <c r="O29" s="403"/>
      <c r="P29" s="403"/>
      <c r="Q29" s="403"/>
      <c r="R29" s="403"/>
      <c r="S29" s="403">
        <v>42</v>
      </c>
      <c r="T29" s="403">
        <v>50</v>
      </c>
      <c r="U29" s="403"/>
      <c r="V29" s="403"/>
      <c r="W29" s="403"/>
      <c r="X29" s="403"/>
      <c r="Y29" s="139"/>
    </row>
    <row r="30" spans="2:26" ht="19.55" customHeight="1" x14ac:dyDescent="0.4">
      <c r="B30" s="638" t="s">
        <v>762</v>
      </c>
      <c r="C30" s="639" t="s">
        <v>1191</v>
      </c>
      <c r="D30" s="651" t="str">
        <f>CONCATENATE(0.225*(_Pat_Gewicht/10)," (mmol IV)")</f>
        <v>2,25 (mmol IV)</v>
      </c>
      <c r="E30" s="640" t="str">
        <f>"= "&amp;1*(_Pat_Gewicht/10)&amp;" ml IV van Calcium gluconaat 10%"</f>
        <v>= 10 ml IV van Calcium gluconaat 10%</v>
      </c>
      <c r="F30" s="640"/>
      <c r="G30" s="645"/>
      <c r="H30" s="633"/>
      <c r="I30" s="633"/>
      <c r="J30" s="649"/>
      <c r="K30" s="649"/>
      <c r="L30" s="649"/>
      <c r="M30" s="649"/>
      <c r="N30" s="649"/>
      <c r="O30" s="649"/>
      <c r="P30" s="649"/>
      <c r="Q30" s="649"/>
      <c r="R30" s="649"/>
      <c r="S30" s="649">
        <v>45</v>
      </c>
      <c r="T30" s="649">
        <v>50</v>
      </c>
      <c r="U30" s="649"/>
      <c r="V30" s="649"/>
      <c r="W30" s="649"/>
      <c r="X30" s="649"/>
      <c r="Y30" s="644"/>
      <c r="Z30" s="139"/>
    </row>
    <row r="31" spans="2:26" ht="19.55" customHeight="1" x14ac:dyDescent="0.45">
      <c r="B31" s="638"/>
      <c r="C31" s="637" t="s">
        <v>137</v>
      </c>
      <c r="D31" s="634" t="str">
        <f>CONCATENATE(0.1*(_Pat_Gewicht/10)," mg")</f>
        <v>1 mg</v>
      </c>
      <c r="E31" s="633" t="str">
        <f>"= "&amp;0.1*(_Pat_Gewicht/10)&amp;" ml van Morfine 1mg/1ml oplossing"</f>
        <v>= 1 ml van Morfine 1mg/1ml oplossing</v>
      </c>
      <c r="F31" s="633"/>
      <c r="G31" s="646"/>
      <c r="H31" s="633"/>
      <c r="I31" s="633"/>
      <c r="J31" s="650"/>
      <c r="K31" s="649"/>
      <c r="L31" s="649"/>
      <c r="M31" s="649"/>
      <c r="N31" s="649"/>
      <c r="O31" s="649"/>
      <c r="P31" s="649"/>
      <c r="Q31" s="649"/>
      <c r="R31" s="649"/>
      <c r="S31" s="649">
        <v>46</v>
      </c>
      <c r="T31" s="649">
        <v>50</v>
      </c>
      <c r="U31" s="649"/>
      <c r="V31" s="649"/>
      <c r="W31" s="649"/>
      <c r="X31" s="649"/>
      <c r="Y31" s="644"/>
    </row>
    <row r="32" spans="2:26" ht="19.55" customHeight="1" thickBot="1" x14ac:dyDescent="0.45">
      <c r="B32" s="638"/>
      <c r="C32" s="641" t="s">
        <v>817</v>
      </c>
      <c r="D32" s="642" t="str">
        <f>CONCATENATE(0.6*(_Pat_Gewicht/10)," mg")</f>
        <v>6 mg</v>
      </c>
      <c r="E32" s="643" t="str">
        <f>"= "&amp;0.06*(_Pat_Gewicht/10)&amp;" ml van Rocorium 10mg/1ml oplossing"</f>
        <v>= 0,6 ml van Rocorium 10mg/1ml oplossing</v>
      </c>
      <c r="F32" s="643"/>
      <c r="G32" s="647"/>
      <c r="H32" s="633"/>
      <c r="I32" s="633"/>
      <c r="J32" s="649"/>
      <c r="K32" s="649"/>
      <c r="L32" s="649"/>
      <c r="M32" s="649"/>
      <c r="N32" s="649"/>
      <c r="O32" s="649"/>
      <c r="P32" s="649"/>
      <c r="Q32" s="649"/>
      <c r="R32" s="649"/>
      <c r="S32" s="649">
        <v>47</v>
      </c>
      <c r="T32" s="649">
        <v>50</v>
      </c>
      <c r="U32" s="649"/>
      <c r="V32" s="649"/>
      <c r="W32" s="649"/>
      <c r="X32" s="649"/>
      <c r="Y32" s="644"/>
    </row>
    <row r="33" spans="2:25" ht="19.55" customHeight="1" x14ac:dyDescent="0.35">
      <c r="B33" s="632"/>
      <c r="C33" s="630"/>
      <c r="D33" s="630"/>
      <c r="E33" s="630"/>
      <c r="F33" s="630"/>
      <c r="G33" s="630"/>
      <c r="H33" s="633"/>
      <c r="I33" s="633"/>
      <c r="J33" s="649"/>
      <c r="K33" s="649"/>
      <c r="L33" s="649"/>
      <c r="M33" s="649"/>
      <c r="N33" s="649"/>
      <c r="O33" s="649"/>
      <c r="P33" s="649"/>
      <c r="Q33" s="649"/>
      <c r="R33" s="649"/>
      <c r="S33" s="649">
        <v>48</v>
      </c>
      <c r="T33" s="649">
        <v>50</v>
      </c>
      <c r="U33" s="649"/>
      <c r="V33" s="649"/>
      <c r="W33" s="649"/>
      <c r="X33" s="649"/>
      <c r="Y33" s="644"/>
    </row>
    <row r="34" spans="2:25" ht="13.2" x14ac:dyDescent="0.4">
      <c r="B34" s="632"/>
      <c r="C34" s="633"/>
      <c r="D34" s="634"/>
      <c r="E34" s="633"/>
      <c r="F34" s="633"/>
      <c r="G34" s="648"/>
      <c r="H34" s="633"/>
      <c r="I34" s="633"/>
      <c r="J34" s="649"/>
      <c r="K34" s="649"/>
      <c r="L34" s="649"/>
      <c r="M34" s="649"/>
      <c r="N34" s="649"/>
      <c r="O34" s="649"/>
      <c r="P34" s="649"/>
      <c r="Q34" s="649"/>
      <c r="R34" s="649"/>
      <c r="S34" s="649">
        <v>49</v>
      </c>
      <c r="T34" s="649">
        <v>50</v>
      </c>
      <c r="U34" s="649"/>
      <c r="V34" s="649"/>
      <c r="W34" s="649"/>
      <c r="X34" s="649"/>
      <c r="Y34" s="644"/>
    </row>
    <row r="35" spans="2:25" x14ac:dyDescent="0.35">
      <c r="B35" s="631"/>
      <c r="C35" s="633"/>
      <c r="D35" s="633"/>
      <c r="E35" s="633"/>
      <c r="F35" s="633"/>
      <c r="G35" s="633"/>
      <c r="H35" s="633"/>
      <c r="I35" s="633"/>
      <c r="J35" s="649"/>
      <c r="K35" s="649"/>
      <c r="L35" s="649"/>
      <c r="M35" s="649"/>
      <c r="N35" s="649"/>
      <c r="O35" s="649"/>
      <c r="P35" s="649"/>
      <c r="Q35" s="649"/>
      <c r="R35" s="649"/>
      <c r="S35" s="649">
        <v>50</v>
      </c>
      <c r="T35" s="649">
        <v>50</v>
      </c>
      <c r="U35" s="649">
        <v>50</v>
      </c>
      <c r="V35" s="649"/>
      <c r="W35" s="649"/>
      <c r="X35" s="649"/>
      <c r="Y35" s="644"/>
    </row>
    <row r="36" spans="2:25" x14ac:dyDescent="0.35">
      <c r="B36" s="636" t="s">
        <v>85</v>
      </c>
      <c r="C36" s="635"/>
      <c r="D36" s="633"/>
      <c r="E36" s="633"/>
      <c r="F36" s="633"/>
      <c r="G36" s="633"/>
      <c r="H36" s="633"/>
      <c r="I36" s="633"/>
      <c r="J36" s="649"/>
      <c r="K36" s="649"/>
      <c r="L36" s="649"/>
      <c r="M36" s="649"/>
      <c r="N36" s="649"/>
      <c r="O36" s="649"/>
      <c r="P36" s="649"/>
      <c r="Q36" s="649"/>
      <c r="R36" s="649"/>
      <c r="S36" s="649">
        <v>51</v>
      </c>
      <c r="T36" s="649">
        <v>70</v>
      </c>
      <c r="U36" s="649"/>
      <c r="V36" s="649"/>
      <c r="W36" s="649"/>
      <c r="X36" s="649"/>
      <c r="Y36" s="644"/>
    </row>
    <row r="37" spans="2:25" x14ac:dyDescent="0.35">
      <c r="B37" s="51"/>
      <c r="C37" s="42"/>
      <c r="D37" s="42"/>
      <c r="E37" s="42"/>
      <c r="F37" s="42"/>
      <c r="G37" s="42"/>
      <c r="H37" s="42"/>
      <c r="I37" s="42"/>
      <c r="J37" s="403"/>
      <c r="K37" s="403"/>
      <c r="L37" s="403"/>
      <c r="M37" s="403"/>
      <c r="N37" s="403"/>
      <c r="O37" s="403"/>
      <c r="P37" s="403"/>
      <c r="Q37" s="403"/>
      <c r="R37" s="403"/>
      <c r="S37" s="403">
        <v>50</v>
      </c>
      <c r="T37" s="403">
        <v>50</v>
      </c>
      <c r="U37" s="403">
        <v>50</v>
      </c>
      <c r="V37" s="403"/>
      <c r="W37" s="403"/>
      <c r="X37" s="403"/>
      <c r="Y37" s="139"/>
    </row>
    <row r="38" spans="2:25" x14ac:dyDescent="0.35">
      <c r="B38" s="51"/>
      <c r="C38" s="42"/>
      <c r="D38" s="42"/>
      <c r="E38" s="42"/>
      <c r="F38" s="42"/>
      <c r="G38" s="42"/>
      <c r="H38" s="42"/>
      <c r="I38" s="42"/>
      <c r="J38" s="403"/>
      <c r="K38" s="403"/>
      <c r="L38" s="403"/>
      <c r="M38" s="403"/>
      <c r="N38" s="403"/>
      <c r="O38" s="403"/>
      <c r="P38" s="403"/>
      <c r="Q38" s="403"/>
      <c r="R38" s="403"/>
      <c r="S38" s="403">
        <v>51</v>
      </c>
      <c r="T38" s="403">
        <v>70</v>
      </c>
      <c r="U38" s="403"/>
      <c r="V38" s="403"/>
      <c r="W38" s="403"/>
      <c r="X38" s="403"/>
      <c r="Y38" s="139"/>
    </row>
    <row r="39" spans="2:25" x14ac:dyDescent="0.35">
      <c r="B39" s="51"/>
      <c r="C39" s="42"/>
      <c r="D39" s="42"/>
      <c r="E39" s="42"/>
      <c r="F39" s="42"/>
      <c r="G39" s="42"/>
      <c r="H39" s="42"/>
      <c r="I39" s="42"/>
      <c r="J39" s="403"/>
      <c r="K39" s="403"/>
      <c r="L39" s="403"/>
      <c r="M39" s="403"/>
      <c r="N39" s="403"/>
      <c r="O39" s="403"/>
      <c r="P39" s="403"/>
      <c r="Q39" s="403"/>
      <c r="R39" s="403"/>
      <c r="S39" s="403">
        <v>52</v>
      </c>
      <c r="T39" s="403">
        <v>70</v>
      </c>
      <c r="U39" s="403"/>
      <c r="V39" s="403"/>
      <c r="W39" s="403"/>
      <c r="X39" s="403"/>
      <c r="Y39" s="139"/>
    </row>
    <row r="40" spans="2:25" x14ac:dyDescent="0.35">
      <c r="B40" s="51"/>
      <c r="C40" s="42"/>
      <c r="D40" s="42"/>
      <c r="E40" s="42"/>
      <c r="F40" s="42"/>
      <c r="G40" s="42"/>
      <c r="H40" s="42"/>
      <c r="I40" s="42"/>
      <c r="J40" s="403"/>
      <c r="K40" s="403"/>
      <c r="L40" s="403"/>
      <c r="M40" s="403"/>
      <c r="N40" s="403"/>
      <c r="O40" s="403"/>
      <c r="P40" s="403"/>
      <c r="Q40" s="403"/>
      <c r="R40" s="403"/>
      <c r="S40" s="403">
        <v>53</v>
      </c>
      <c r="T40" s="403">
        <v>70</v>
      </c>
      <c r="U40" s="403"/>
      <c r="V40" s="403"/>
      <c r="W40" s="403"/>
      <c r="X40" s="403"/>
      <c r="Y40" s="139"/>
    </row>
    <row r="41" spans="2:25" x14ac:dyDescent="0.35">
      <c r="B41" s="51"/>
      <c r="C41" s="42"/>
      <c r="D41" s="42"/>
      <c r="E41" s="42"/>
      <c r="F41" s="42"/>
      <c r="G41" s="42"/>
      <c r="H41" s="42"/>
      <c r="I41" s="42"/>
      <c r="J41" s="403"/>
      <c r="K41" s="403"/>
      <c r="L41" s="403"/>
      <c r="M41" s="403"/>
      <c r="N41" s="403"/>
      <c r="O41" s="403"/>
      <c r="P41" s="403"/>
      <c r="Q41" s="403"/>
      <c r="R41" s="403"/>
      <c r="S41" s="403">
        <v>54</v>
      </c>
      <c r="T41" s="403">
        <v>70</v>
      </c>
      <c r="U41" s="403"/>
      <c r="V41" s="403"/>
      <c r="W41" s="403"/>
      <c r="X41" s="403"/>
      <c r="Y41" s="139"/>
    </row>
    <row r="42" spans="2:25" x14ac:dyDescent="0.35">
      <c r="B42" s="51"/>
      <c r="C42" s="42"/>
      <c r="D42" s="42"/>
      <c r="E42" s="42"/>
      <c r="F42" s="42"/>
      <c r="G42" s="42"/>
      <c r="H42" s="42"/>
      <c r="I42" s="42"/>
      <c r="J42" s="403"/>
      <c r="K42" s="403"/>
      <c r="L42" s="403"/>
      <c r="M42" s="403"/>
      <c r="N42" s="403"/>
      <c r="O42" s="403"/>
      <c r="P42" s="403"/>
      <c r="Q42" s="403"/>
      <c r="R42" s="403"/>
      <c r="S42" s="403">
        <v>55</v>
      </c>
      <c r="T42" s="403">
        <v>70</v>
      </c>
      <c r="U42" s="403"/>
      <c r="V42" s="403"/>
      <c r="W42" s="403"/>
      <c r="X42" s="403"/>
      <c r="Y42" s="139"/>
    </row>
    <row r="43" spans="2:25" x14ac:dyDescent="0.35">
      <c r="B43" s="51"/>
      <c r="C43" s="42"/>
      <c r="D43" s="42"/>
      <c r="E43" s="42"/>
      <c r="F43" s="42"/>
      <c r="G43" s="42"/>
      <c r="H43" s="42"/>
      <c r="I43" s="42"/>
      <c r="J43" s="403"/>
      <c r="K43" s="403"/>
      <c r="L43" s="403"/>
      <c r="M43" s="403"/>
      <c r="N43" s="403"/>
      <c r="O43" s="403"/>
      <c r="P43" s="403"/>
      <c r="Q43" s="403"/>
      <c r="R43" s="403"/>
      <c r="S43" s="403">
        <v>56</v>
      </c>
      <c r="T43" s="403">
        <v>70</v>
      </c>
      <c r="U43" s="403"/>
      <c r="V43" s="403"/>
      <c r="W43" s="403"/>
      <c r="X43" s="403"/>
      <c r="Y43" s="139"/>
    </row>
    <row r="44" spans="2:25" x14ac:dyDescent="0.35">
      <c r="B44" s="51"/>
      <c r="C44" s="42"/>
      <c r="D44" s="42"/>
      <c r="E44" s="42"/>
      <c r="F44" s="42"/>
      <c r="G44" s="42"/>
      <c r="H44" s="42"/>
      <c r="I44" s="42"/>
      <c r="J44" s="403"/>
      <c r="K44" s="403"/>
      <c r="L44" s="403"/>
      <c r="M44" s="403"/>
      <c r="N44" s="403"/>
      <c r="O44" s="403"/>
      <c r="P44" s="403"/>
      <c r="Q44" s="403"/>
      <c r="R44" s="403"/>
      <c r="S44" s="403">
        <v>57</v>
      </c>
      <c r="T44" s="403">
        <v>70</v>
      </c>
      <c r="U44" s="403"/>
      <c r="V44" s="403"/>
      <c r="W44" s="403"/>
      <c r="X44" s="403"/>
      <c r="Y44" s="139"/>
    </row>
    <row r="45" spans="2:25" x14ac:dyDescent="0.35">
      <c r="B45" s="51"/>
      <c r="C45" s="42"/>
      <c r="D45" s="42"/>
      <c r="E45" s="42"/>
      <c r="F45" s="42"/>
      <c r="G45" s="42"/>
      <c r="H45" s="42"/>
      <c r="I45" s="42"/>
      <c r="J45" s="403"/>
      <c r="K45" s="403"/>
      <c r="L45" s="403"/>
      <c r="M45" s="403"/>
      <c r="N45" s="403"/>
      <c r="O45" s="403"/>
      <c r="P45" s="403"/>
      <c r="Q45" s="403"/>
      <c r="R45" s="403"/>
      <c r="S45" s="403">
        <v>58</v>
      </c>
      <c r="T45" s="403">
        <v>70</v>
      </c>
      <c r="U45" s="403"/>
      <c r="V45" s="403"/>
      <c r="W45" s="403"/>
      <c r="X45" s="403"/>
      <c r="Y45" s="139"/>
    </row>
    <row r="46" spans="2:25" x14ac:dyDescent="0.35">
      <c r="B46" s="51"/>
      <c r="C46" s="42"/>
      <c r="D46" s="42"/>
      <c r="E46" s="42"/>
      <c r="F46" s="42"/>
      <c r="G46" s="42"/>
      <c r="H46" s="42"/>
      <c r="I46" s="42"/>
      <c r="J46" s="403"/>
      <c r="K46" s="403"/>
      <c r="L46" s="403"/>
      <c r="M46" s="403"/>
      <c r="N46" s="403"/>
      <c r="O46" s="403"/>
      <c r="P46" s="403"/>
      <c r="Q46" s="403"/>
      <c r="R46" s="403"/>
      <c r="S46" s="403">
        <v>59</v>
      </c>
      <c r="T46" s="403">
        <v>70</v>
      </c>
      <c r="U46" s="403"/>
      <c r="V46" s="403"/>
      <c r="W46" s="403"/>
      <c r="X46" s="403"/>
      <c r="Y46" s="139"/>
    </row>
    <row r="47" spans="2:25" x14ac:dyDescent="0.35">
      <c r="B47" s="51"/>
      <c r="C47" s="42"/>
      <c r="D47" s="42"/>
      <c r="E47" s="42"/>
      <c r="F47" s="42"/>
      <c r="G47" s="42"/>
      <c r="H47" s="42"/>
      <c r="I47" s="42"/>
      <c r="J47" s="403"/>
      <c r="K47" s="403"/>
      <c r="L47" s="403"/>
      <c r="M47" s="403"/>
      <c r="N47" s="403"/>
      <c r="O47" s="403"/>
      <c r="P47" s="403"/>
      <c r="Q47" s="403"/>
      <c r="R47" s="403"/>
      <c r="S47" s="403">
        <v>60</v>
      </c>
      <c r="T47" s="403">
        <v>70</v>
      </c>
      <c r="U47" s="403"/>
      <c r="V47" s="403"/>
      <c r="W47" s="403"/>
      <c r="X47" s="403"/>
      <c r="Y47" s="139"/>
    </row>
    <row r="48" spans="2:25" x14ac:dyDescent="0.35">
      <c r="B48" s="51"/>
      <c r="C48" s="42"/>
      <c r="D48" s="42"/>
      <c r="E48" s="42"/>
      <c r="F48" s="42"/>
      <c r="G48" s="42"/>
      <c r="H48" s="42"/>
      <c r="I48" s="42"/>
      <c r="J48" s="403"/>
      <c r="K48" s="403"/>
      <c r="L48" s="403"/>
      <c r="M48" s="403"/>
      <c r="N48" s="403"/>
      <c r="O48" s="403"/>
      <c r="P48" s="403"/>
      <c r="Q48" s="403"/>
      <c r="R48" s="403"/>
      <c r="S48" s="403">
        <v>61</v>
      </c>
      <c r="T48" s="403">
        <v>70</v>
      </c>
      <c r="U48" s="403"/>
      <c r="V48" s="403"/>
      <c r="W48" s="403"/>
      <c r="X48" s="403"/>
      <c r="Y48" s="139"/>
    </row>
    <row r="49" spans="2:25" x14ac:dyDescent="0.35">
      <c r="B49" s="51"/>
      <c r="C49" s="42"/>
      <c r="D49" s="42"/>
      <c r="E49" s="42"/>
      <c r="F49" s="42"/>
      <c r="G49" s="42"/>
      <c r="H49" s="42"/>
      <c r="I49" s="42"/>
      <c r="J49" s="403"/>
      <c r="K49" s="403"/>
      <c r="L49" s="403"/>
      <c r="M49" s="403"/>
      <c r="N49" s="403"/>
      <c r="O49" s="403"/>
      <c r="P49" s="403"/>
      <c r="Q49" s="403"/>
      <c r="R49" s="403"/>
      <c r="S49" s="403">
        <v>62</v>
      </c>
      <c r="T49" s="403">
        <v>70</v>
      </c>
      <c r="U49" s="403"/>
      <c r="V49" s="403"/>
      <c r="W49" s="403"/>
      <c r="X49" s="403"/>
      <c r="Y49" s="139"/>
    </row>
    <row r="50" spans="2:25" x14ac:dyDescent="0.35">
      <c r="B50" s="51"/>
      <c r="C50" s="42"/>
      <c r="D50" s="42"/>
      <c r="E50" s="42"/>
      <c r="F50" s="42"/>
      <c r="G50" s="42"/>
      <c r="H50" s="42"/>
      <c r="I50" s="42"/>
      <c r="J50" s="403"/>
      <c r="K50" s="403"/>
      <c r="L50" s="403"/>
      <c r="M50" s="403"/>
      <c r="N50" s="403"/>
      <c r="O50" s="403"/>
      <c r="P50" s="403"/>
      <c r="Q50" s="403"/>
      <c r="R50" s="403"/>
      <c r="S50" s="403">
        <v>63</v>
      </c>
      <c r="T50" s="403">
        <v>70</v>
      </c>
      <c r="U50" s="403"/>
      <c r="V50" s="403"/>
      <c r="W50" s="403"/>
      <c r="X50" s="403"/>
      <c r="Y50" s="139"/>
    </row>
    <row r="51" spans="2:25" x14ac:dyDescent="0.35">
      <c r="B51" s="51"/>
      <c r="C51" s="42"/>
      <c r="D51" s="42"/>
      <c r="E51" s="42"/>
      <c r="F51" s="42"/>
      <c r="G51" s="42"/>
      <c r="H51" s="42"/>
      <c r="I51" s="42"/>
      <c r="J51" s="403"/>
      <c r="K51" s="403"/>
      <c r="L51" s="403"/>
      <c r="M51" s="403"/>
      <c r="N51" s="403"/>
      <c r="O51" s="403"/>
      <c r="P51" s="403"/>
      <c r="Q51" s="403"/>
      <c r="R51" s="403"/>
      <c r="S51" s="403">
        <v>64</v>
      </c>
      <c r="T51" s="403">
        <v>70</v>
      </c>
      <c r="U51" s="403"/>
      <c r="V51" s="403"/>
      <c r="W51" s="403"/>
      <c r="X51" s="403"/>
      <c r="Y51" s="139"/>
    </row>
    <row r="52" spans="2:25" x14ac:dyDescent="0.35">
      <c r="B52" s="51"/>
      <c r="C52" s="42"/>
      <c r="D52" s="42"/>
      <c r="E52" s="42"/>
      <c r="F52" s="42"/>
      <c r="G52" s="42"/>
      <c r="H52" s="42"/>
      <c r="I52" s="42"/>
      <c r="J52" s="403"/>
      <c r="K52" s="403"/>
      <c r="L52" s="403"/>
      <c r="M52" s="403"/>
      <c r="N52" s="403"/>
      <c r="O52" s="403"/>
      <c r="P52" s="403"/>
      <c r="Q52" s="403"/>
      <c r="R52" s="403"/>
      <c r="S52" s="403">
        <v>65</v>
      </c>
      <c r="T52" s="403">
        <v>70</v>
      </c>
      <c r="U52" s="403"/>
      <c r="V52" s="403"/>
      <c r="W52" s="403"/>
      <c r="X52" s="403"/>
      <c r="Y52" s="139"/>
    </row>
    <row r="53" spans="2:25" x14ac:dyDescent="0.35">
      <c r="B53" s="51"/>
      <c r="C53" s="42"/>
      <c r="D53" s="42"/>
      <c r="E53" s="42"/>
      <c r="F53" s="42"/>
      <c r="G53" s="42"/>
      <c r="H53" s="42"/>
      <c r="I53" s="42"/>
      <c r="J53" s="403"/>
      <c r="K53" s="403"/>
      <c r="L53" s="403"/>
      <c r="M53" s="403"/>
      <c r="N53" s="403"/>
      <c r="O53" s="403"/>
      <c r="P53" s="403"/>
      <c r="Q53" s="403"/>
      <c r="R53" s="403"/>
      <c r="S53" s="403">
        <v>66</v>
      </c>
      <c r="T53" s="403">
        <v>70</v>
      </c>
      <c r="U53" s="403"/>
      <c r="V53" s="403"/>
      <c r="W53" s="403"/>
      <c r="X53" s="403"/>
      <c r="Y53" s="139"/>
    </row>
    <row r="54" spans="2:25" x14ac:dyDescent="0.35">
      <c r="B54" s="51"/>
      <c r="C54" s="42"/>
      <c r="D54" s="42"/>
      <c r="E54" s="42"/>
      <c r="F54" s="42"/>
      <c r="G54" s="42"/>
      <c r="H54" s="42"/>
      <c r="I54" s="42"/>
      <c r="J54" s="403"/>
      <c r="K54" s="403"/>
      <c r="L54" s="403"/>
      <c r="M54" s="403"/>
      <c r="N54" s="403"/>
      <c r="O54" s="403"/>
      <c r="P54" s="403"/>
      <c r="Q54" s="403"/>
      <c r="R54" s="403"/>
      <c r="S54" s="403">
        <v>67</v>
      </c>
      <c r="T54" s="403">
        <v>70</v>
      </c>
      <c r="U54" s="403"/>
      <c r="V54" s="403"/>
      <c r="W54" s="403"/>
      <c r="X54" s="403"/>
      <c r="Y54" s="139"/>
    </row>
    <row r="55" spans="2:25" x14ac:dyDescent="0.35">
      <c r="B55" s="51"/>
      <c r="C55" s="42"/>
      <c r="D55" s="42"/>
      <c r="E55" s="42"/>
      <c r="F55" s="42"/>
      <c r="G55" s="42"/>
      <c r="H55" s="42"/>
      <c r="I55" s="42"/>
      <c r="J55" s="403"/>
      <c r="K55" s="403"/>
      <c r="L55" s="403"/>
      <c r="M55" s="403"/>
      <c r="N55" s="403"/>
      <c r="O55" s="403"/>
      <c r="P55" s="403"/>
      <c r="Q55" s="403"/>
      <c r="R55" s="403"/>
      <c r="S55" s="403">
        <v>68</v>
      </c>
      <c r="T55" s="403">
        <v>70</v>
      </c>
      <c r="U55" s="403"/>
      <c r="V55" s="403"/>
      <c r="W55" s="403"/>
      <c r="X55" s="403"/>
      <c r="Y55" s="139"/>
    </row>
    <row r="56" spans="2:25" x14ac:dyDescent="0.35">
      <c r="B56" s="51"/>
      <c r="C56" s="42"/>
      <c r="D56" s="42"/>
      <c r="E56" s="42"/>
      <c r="F56" s="42"/>
      <c r="G56" s="42"/>
      <c r="H56" s="42"/>
      <c r="I56" s="42"/>
      <c r="J56" s="403"/>
      <c r="K56" s="403"/>
      <c r="L56" s="403"/>
      <c r="M56" s="403"/>
      <c r="N56" s="403"/>
      <c r="O56" s="403"/>
      <c r="P56" s="403"/>
      <c r="Q56" s="403"/>
      <c r="R56" s="403"/>
      <c r="S56" s="403">
        <v>69</v>
      </c>
      <c r="T56" s="403">
        <v>70</v>
      </c>
      <c r="U56" s="403"/>
      <c r="V56" s="403"/>
      <c r="W56" s="403"/>
      <c r="X56" s="403"/>
      <c r="Y56" s="139"/>
    </row>
    <row r="57" spans="2:25" x14ac:dyDescent="0.35">
      <c r="B57" s="51"/>
      <c r="C57" s="42"/>
      <c r="D57" s="42"/>
      <c r="E57" s="42"/>
      <c r="F57" s="42"/>
      <c r="G57" s="42"/>
      <c r="H57" s="42"/>
      <c r="I57" s="42"/>
      <c r="J57" s="403"/>
      <c r="K57" s="403"/>
      <c r="L57" s="403"/>
      <c r="M57" s="403"/>
      <c r="N57" s="403"/>
      <c r="O57" s="403"/>
      <c r="P57" s="403"/>
      <c r="Q57" s="403"/>
      <c r="R57" s="403"/>
      <c r="S57" s="403">
        <v>70</v>
      </c>
      <c r="T57" s="403">
        <v>70</v>
      </c>
      <c r="U57" s="403">
        <v>70</v>
      </c>
      <c r="V57" s="403"/>
      <c r="W57" s="403"/>
      <c r="X57" s="403"/>
      <c r="Y57" s="139"/>
    </row>
    <row r="58" spans="2:25" x14ac:dyDescent="0.35">
      <c r="B58" s="51"/>
      <c r="C58" s="42"/>
      <c r="D58" s="42"/>
      <c r="E58" s="42"/>
      <c r="F58" s="42"/>
      <c r="G58" s="42"/>
      <c r="H58" s="42"/>
      <c r="I58" s="42"/>
      <c r="J58" s="403"/>
      <c r="K58" s="403"/>
      <c r="L58" s="403"/>
      <c r="M58" s="403"/>
      <c r="N58" s="403"/>
      <c r="O58" s="403"/>
      <c r="P58" s="403"/>
      <c r="Q58" s="403"/>
      <c r="R58" s="403"/>
      <c r="S58" s="403">
        <v>71</v>
      </c>
      <c r="T58" s="403">
        <v>100</v>
      </c>
      <c r="U58" s="403"/>
      <c r="V58" s="403"/>
      <c r="W58" s="403"/>
      <c r="X58" s="403"/>
      <c r="Y58" s="139"/>
    </row>
    <row r="59" spans="2:25" x14ac:dyDescent="0.35">
      <c r="B59" s="51"/>
      <c r="C59" s="42"/>
      <c r="D59" s="42"/>
      <c r="E59" s="42"/>
      <c r="F59" s="42"/>
      <c r="G59" s="42"/>
      <c r="H59" s="42"/>
      <c r="I59" s="42"/>
      <c r="J59" s="403"/>
      <c r="K59" s="403"/>
      <c r="L59" s="403"/>
      <c r="M59" s="403"/>
      <c r="N59" s="403"/>
      <c r="O59" s="403"/>
      <c r="P59" s="403"/>
      <c r="Q59" s="403"/>
      <c r="R59" s="403"/>
      <c r="S59" s="403">
        <v>72</v>
      </c>
      <c r="T59" s="403">
        <v>100</v>
      </c>
      <c r="U59" s="403"/>
      <c r="V59" s="403"/>
      <c r="W59" s="403"/>
      <c r="X59" s="403"/>
      <c r="Y59" s="139"/>
    </row>
    <row r="60" spans="2:25" x14ac:dyDescent="0.35">
      <c r="B60" s="51"/>
      <c r="C60" s="42"/>
      <c r="D60" s="42"/>
      <c r="E60" s="42"/>
      <c r="F60" s="42"/>
      <c r="G60" s="42"/>
      <c r="H60" s="42"/>
      <c r="I60" s="42"/>
      <c r="J60" s="403"/>
      <c r="K60" s="403"/>
      <c r="L60" s="403"/>
      <c r="M60" s="403"/>
      <c r="N60" s="403"/>
      <c r="O60" s="403"/>
      <c r="P60" s="403"/>
      <c r="Q60" s="403"/>
      <c r="R60" s="403"/>
      <c r="S60" s="403">
        <v>73</v>
      </c>
      <c r="T60" s="403">
        <v>100</v>
      </c>
      <c r="U60" s="403"/>
      <c r="V60" s="403"/>
      <c r="W60" s="403"/>
      <c r="X60" s="403"/>
      <c r="Y60" s="139"/>
    </row>
    <row r="61" spans="2:25" x14ac:dyDescent="0.35">
      <c r="B61" s="51"/>
      <c r="C61" s="42"/>
      <c r="D61" s="42"/>
      <c r="E61" s="42"/>
      <c r="F61" s="42"/>
      <c r="G61" s="42"/>
      <c r="H61" s="42"/>
      <c r="I61" s="42"/>
      <c r="J61" s="403"/>
      <c r="K61" s="403"/>
      <c r="L61" s="403"/>
      <c r="M61" s="403"/>
      <c r="N61" s="403"/>
      <c r="O61" s="403"/>
      <c r="P61" s="403"/>
      <c r="Q61" s="403"/>
      <c r="R61" s="403"/>
      <c r="S61" s="403">
        <v>74</v>
      </c>
      <c r="T61" s="403">
        <v>100</v>
      </c>
      <c r="U61" s="403"/>
      <c r="V61" s="403"/>
      <c r="W61" s="403"/>
      <c r="X61" s="403"/>
      <c r="Y61" s="139"/>
    </row>
    <row r="62" spans="2:25" x14ac:dyDescent="0.35">
      <c r="B62" s="51"/>
      <c r="C62" s="42"/>
      <c r="D62" s="42"/>
      <c r="E62" s="42"/>
      <c r="F62" s="42"/>
      <c r="G62" s="42"/>
      <c r="H62" s="42"/>
      <c r="I62" s="42"/>
      <c r="J62" s="403"/>
      <c r="K62" s="403"/>
      <c r="L62" s="403"/>
      <c r="M62" s="403"/>
      <c r="N62" s="403"/>
      <c r="O62" s="403"/>
      <c r="P62" s="403"/>
      <c r="Q62" s="403"/>
      <c r="R62" s="403"/>
      <c r="S62" s="403">
        <v>75</v>
      </c>
      <c r="T62" s="403">
        <v>100</v>
      </c>
      <c r="U62" s="403"/>
      <c r="V62" s="403"/>
      <c r="W62" s="403"/>
      <c r="X62" s="403"/>
      <c r="Y62" s="139"/>
    </row>
    <row r="63" spans="2:25" x14ac:dyDescent="0.35">
      <c r="B63" s="51"/>
      <c r="C63" s="42"/>
      <c r="D63" s="42"/>
      <c r="E63" s="42"/>
      <c r="F63" s="42"/>
      <c r="G63" s="42"/>
      <c r="H63" s="42"/>
      <c r="I63" s="42"/>
      <c r="J63" s="403"/>
      <c r="K63" s="403"/>
      <c r="L63" s="403"/>
      <c r="M63" s="403"/>
      <c r="N63" s="403"/>
      <c r="O63" s="403"/>
      <c r="P63" s="403"/>
      <c r="Q63" s="403"/>
      <c r="R63" s="403"/>
      <c r="S63" s="403">
        <v>76</v>
      </c>
      <c r="T63" s="403">
        <v>100</v>
      </c>
      <c r="U63" s="403"/>
      <c r="V63" s="403"/>
      <c r="W63" s="403"/>
      <c r="X63" s="403"/>
      <c r="Y63" s="139"/>
    </row>
    <row r="64" spans="2:25" x14ac:dyDescent="0.35">
      <c r="H64" s="42"/>
      <c r="I64" s="42"/>
      <c r="J64" s="403"/>
      <c r="K64" s="403"/>
      <c r="L64" s="403"/>
      <c r="M64" s="403"/>
      <c r="N64" s="403"/>
      <c r="O64" s="403"/>
      <c r="P64" s="403"/>
      <c r="Q64" s="403"/>
      <c r="R64" s="403"/>
      <c r="S64" s="403">
        <v>77</v>
      </c>
      <c r="T64" s="403">
        <v>100</v>
      </c>
      <c r="U64" s="403"/>
      <c r="V64" s="403"/>
      <c r="W64" s="403"/>
      <c r="X64" s="403"/>
      <c r="Y64" s="139"/>
    </row>
    <row r="65" spans="10:25" x14ac:dyDescent="0.35">
      <c r="J65" s="403"/>
      <c r="K65" s="403"/>
      <c r="L65" s="403"/>
      <c r="M65" s="403"/>
      <c r="N65" s="403"/>
      <c r="O65" s="403"/>
      <c r="P65" s="403"/>
      <c r="Q65" s="403"/>
      <c r="R65" s="403"/>
      <c r="S65" s="403">
        <v>78</v>
      </c>
      <c r="T65" s="403">
        <v>100</v>
      </c>
      <c r="U65" s="403"/>
      <c r="V65" s="403"/>
      <c r="W65" s="403"/>
      <c r="X65" s="403"/>
      <c r="Y65" s="139"/>
    </row>
    <row r="66" spans="10:25" x14ac:dyDescent="0.35">
      <c r="J66" s="403"/>
      <c r="K66" s="403"/>
      <c r="L66" s="403"/>
      <c r="M66" s="403"/>
      <c r="N66" s="403"/>
      <c r="O66" s="403"/>
      <c r="P66" s="403"/>
      <c r="Q66" s="403"/>
      <c r="R66" s="403"/>
      <c r="S66" s="403">
        <v>79</v>
      </c>
      <c r="T66" s="403">
        <v>100</v>
      </c>
      <c r="U66" s="403"/>
      <c r="V66" s="403"/>
      <c r="W66" s="403"/>
      <c r="X66" s="403"/>
      <c r="Y66" s="139"/>
    </row>
    <row r="67" spans="10:25" x14ac:dyDescent="0.35">
      <c r="J67" s="403"/>
      <c r="K67" s="403"/>
      <c r="L67" s="403"/>
      <c r="M67" s="403"/>
      <c r="N67" s="403"/>
      <c r="O67" s="403"/>
      <c r="P67" s="403"/>
      <c r="Q67" s="403"/>
      <c r="R67" s="403"/>
      <c r="S67" s="403">
        <v>80</v>
      </c>
      <c r="T67" s="403">
        <v>100</v>
      </c>
      <c r="U67" s="403"/>
      <c r="V67" s="403"/>
      <c r="W67" s="403"/>
      <c r="X67" s="403"/>
      <c r="Y67" s="139"/>
    </row>
    <row r="68" spans="10:25" x14ac:dyDescent="0.35">
      <c r="J68" s="403"/>
      <c r="K68" s="403"/>
      <c r="L68" s="403"/>
      <c r="M68" s="403"/>
      <c r="N68" s="403"/>
      <c r="O68" s="403"/>
      <c r="P68" s="403"/>
      <c r="Q68" s="403"/>
      <c r="R68" s="403"/>
      <c r="S68" s="403">
        <v>81</v>
      </c>
      <c r="T68" s="403">
        <v>100</v>
      </c>
      <c r="U68" s="403"/>
      <c r="V68" s="403"/>
      <c r="W68" s="403"/>
      <c r="X68" s="403"/>
      <c r="Y68" s="139"/>
    </row>
    <row r="69" spans="10:25" x14ac:dyDescent="0.35">
      <c r="J69" s="403"/>
      <c r="K69" s="403"/>
      <c r="L69" s="403"/>
      <c r="M69" s="403"/>
      <c r="N69" s="403"/>
      <c r="O69" s="403"/>
      <c r="P69" s="403"/>
      <c r="Q69" s="403"/>
      <c r="R69" s="403"/>
      <c r="S69" s="403">
        <v>82</v>
      </c>
      <c r="T69" s="403">
        <v>100</v>
      </c>
      <c r="U69" s="403"/>
      <c r="V69" s="403"/>
      <c r="W69" s="403"/>
      <c r="X69" s="403"/>
      <c r="Y69" s="139"/>
    </row>
    <row r="70" spans="10:25" x14ac:dyDescent="0.35">
      <c r="J70" s="403"/>
      <c r="K70" s="403"/>
      <c r="L70" s="403"/>
      <c r="M70" s="403"/>
      <c r="N70" s="403"/>
      <c r="O70" s="403"/>
      <c r="P70" s="403"/>
      <c r="Q70" s="403"/>
      <c r="R70" s="403"/>
      <c r="S70" s="403">
        <v>83</v>
      </c>
      <c r="T70" s="403">
        <v>100</v>
      </c>
      <c r="U70" s="403"/>
      <c r="V70" s="403"/>
      <c r="W70" s="403"/>
      <c r="X70" s="403"/>
      <c r="Y70" s="139"/>
    </row>
    <row r="71" spans="10:25" x14ac:dyDescent="0.35">
      <c r="J71" s="403"/>
      <c r="K71" s="403"/>
      <c r="L71" s="403"/>
      <c r="M71" s="403"/>
      <c r="N71" s="403"/>
      <c r="O71" s="403"/>
      <c r="P71" s="403"/>
      <c r="Q71" s="403"/>
      <c r="R71" s="403"/>
      <c r="S71" s="403">
        <v>84</v>
      </c>
      <c r="T71" s="403">
        <v>100</v>
      </c>
      <c r="U71" s="403"/>
      <c r="V71" s="403"/>
      <c r="W71" s="403"/>
      <c r="X71" s="403"/>
      <c r="Y71" s="139"/>
    </row>
    <row r="72" spans="10:25" x14ac:dyDescent="0.35">
      <c r="J72" s="403"/>
      <c r="K72" s="403"/>
      <c r="L72" s="403"/>
      <c r="M72" s="403"/>
      <c r="N72" s="403"/>
      <c r="O72" s="403"/>
      <c r="P72" s="403"/>
      <c r="Q72" s="403"/>
      <c r="R72" s="403"/>
      <c r="S72" s="403">
        <v>85</v>
      </c>
      <c r="T72" s="403">
        <v>100</v>
      </c>
      <c r="U72" s="403"/>
      <c r="V72" s="403"/>
      <c r="W72" s="403"/>
      <c r="X72" s="403"/>
      <c r="Y72" s="139"/>
    </row>
    <row r="73" spans="10:25" x14ac:dyDescent="0.35">
      <c r="J73" s="403"/>
      <c r="K73" s="403"/>
      <c r="L73" s="403"/>
      <c r="M73" s="403"/>
      <c r="N73" s="403"/>
      <c r="O73" s="403"/>
      <c r="P73" s="403"/>
      <c r="Q73" s="403"/>
      <c r="R73" s="403"/>
      <c r="S73" s="403">
        <v>86</v>
      </c>
      <c r="T73" s="403">
        <v>100</v>
      </c>
      <c r="U73" s="403"/>
      <c r="V73" s="403"/>
      <c r="W73" s="403"/>
      <c r="X73" s="403"/>
      <c r="Y73" s="139"/>
    </row>
    <row r="74" spans="10:25" x14ac:dyDescent="0.35">
      <c r="J74" s="403"/>
      <c r="K74" s="403"/>
      <c r="L74" s="403"/>
      <c r="M74" s="403"/>
      <c r="N74" s="403"/>
      <c r="O74" s="403"/>
      <c r="P74" s="403"/>
      <c r="Q74" s="403"/>
      <c r="R74" s="403"/>
      <c r="S74" s="403">
        <v>87</v>
      </c>
      <c r="T74" s="403">
        <v>100</v>
      </c>
      <c r="U74" s="403"/>
      <c r="V74" s="403"/>
      <c r="W74" s="403"/>
      <c r="X74" s="403"/>
      <c r="Y74" s="139"/>
    </row>
    <row r="75" spans="10:25" x14ac:dyDescent="0.35">
      <c r="J75" s="403"/>
      <c r="K75" s="403"/>
      <c r="L75" s="403"/>
      <c r="M75" s="403"/>
      <c r="N75" s="403"/>
      <c r="O75" s="403"/>
      <c r="P75" s="403"/>
      <c r="Q75" s="403"/>
      <c r="R75" s="403"/>
      <c r="S75" s="403">
        <v>88</v>
      </c>
      <c r="T75" s="403">
        <v>100</v>
      </c>
      <c r="U75" s="403"/>
      <c r="V75" s="403"/>
      <c r="W75" s="403"/>
      <c r="X75" s="403"/>
      <c r="Y75" s="139"/>
    </row>
    <row r="76" spans="10:25" x14ac:dyDescent="0.35">
      <c r="J76" s="403"/>
      <c r="K76" s="403"/>
      <c r="L76" s="403"/>
      <c r="M76" s="403"/>
      <c r="N76" s="403"/>
      <c r="O76" s="403"/>
      <c r="P76" s="403"/>
      <c r="Q76" s="403"/>
      <c r="R76" s="403"/>
      <c r="S76" s="403">
        <v>89</v>
      </c>
      <c r="T76" s="403">
        <v>100</v>
      </c>
      <c r="U76" s="403"/>
      <c r="V76" s="403"/>
      <c r="W76" s="403"/>
      <c r="X76" s="403"/>
      <c r="Y76" s="139"/>
    </row>
    <row r="77" spans="10:25" x14ac:dyDescent="0.35">
      <c r="J77" s="403"/>
      <c r="K77" s="403"/>
      <c r="L77" s="403"/>
      <c r="M77" s="403"/>
      <c r="N77" s="403"/>
      <c r="O77" s="403"/>
      <c r="P77" s="403"/>
      <c r="Q77" s="403"/>
      <c r="R77" s="403"/>
      <c r="S77" s="403">
        <v>90</v>
      </c>
      <c r="T77" s="403">
        <v>100</v>
      </c>
      <c r="U77" s="403"/>
      <c r="V77" s="403"/>
      <c r="W77" s="403"/>
      <c r="X77" s="403"/>
      <c r="Y77" s="139"/>
    </row>
    <row r="78" spans="10:25" x14ac:dyDescent="0.35">
      <c r="J78" s="403"/>
      <c r="K78" s="403"/>
      <c r="L78" s="403"/>
      <c r="M78" s="403"/>
      <c r="N78" s="403"/>
      <c r="O78" s="403"/>
      <c r="P78" s="403"/>
      <c r="Q78" s="403"/>
      <c r="R78" s="403"/>
      <c r="S78" s="403">
        <v>91</v>
      </c>
      <c r="T78" s="403">
        <v>100</v>
      </c>
      <c r="U78" s="403"/>
      <c r="V78" s="403"/>
      <c r="W78" s="403"/>
      <c r="X78" s="403"/>
      <c r="Y78" s="139"/>
    </row>
    <row r="79" spans="10:25" x14ac:dyDescent="0.35">
      <c r="J79" s="403"/>
      <c r="K79" s="403"/>
      <c r="L79" s="403"/>
      <c r="M79" s="403"/>
      <c r="N79" s="403"/>
      <c r="O79" s="403"/>
      <c r="P79" s="403"/>
      <c r="Q79" s="403"/>
      <c r="R79" s="403"/>
      <c r="S79" s="403">
        <v>92</v>
      </c>
      <c r="T79" s="403">
        <v>100</v>
      </c>
      <c r="U79" s="403"/>
      <c r="V79" s="403"/>
      <c r="W79" s="403"/>
      <c r="X79" s="403"/>
      <c r="Y79" s="139"/>
    </row>
    <row r="80" spans="10:25" x14ac:dyDescent="0.35">
      <c r="J80" s="403"/>
      <c r="K80" s="403"/>
      <c r="L80" s="403"/>
      <c r="M80" s="403"/>
      <c r="N80" s="403"/>
      <c r="O80" s="403"/>
      <c r="P80" s="403"/>
      <c r="Q80" s="403"/>
      <c r="R80" s="403"/>
      <c r="S80" s="403">
        <v>93</v>
      </c>
      <c r="T80" s="403">
        <v>100</v>
      </c>
      <c r="U80" s="403"/>
      <c r="V80" s="403"/>
      <c r="W80" s="403"/>
      <c r="X80" s="403"/>
      <c r="Y80" s="139"/>
    </row>
    <row r="81" spans="10:25" x14ac:dyDescent="0.35">
      <c r="J81" s="403"/>
      <c r="K81" s="403"/>
      <c r="L81" s="403"/>
      <c r="M81" s="403"/>
      <c r="N81" s="403"/>
      <c r="O81" s="403"/>
      <c r="P81" s="403"/>
      <c r="Q81" s="403"/>
      <c r="R81" s="403"/>
      <c r="S81" s="403">
        <v>94</v>
      </c>
      <c r="T81" s="403">
        <v>100</v>
      </c>
      <c r="U81" s="403"/>
      <c r="V81" s="403"/>
      <c r="W81" s="403"/>
      <c r="X81" s="403"/>
      <c r="Y81" s="139"/>
    </row>
    <row r="82" spans="10:25" x14ac:dyDescent="0.35">
      <c r="J82" s="403"/>
      <c r="K82" s="403"/>
      <c r="L82" s="403"/>
      <c r="M82" s="403"/>
      <c r="N82" s="403"/>
      <c r="O82" s="403"/>
      <c r="P82" s="403"/>
      <c r="Q82" s="403"/>
      <c r="R82" s="403"/>
      <c r="S82" s="403">
        <v>95</v>
      </c>
      <c r="T82" s="403">
        <v>100</v>
      </c>
      <c r="U82" s="403"/>
      <c r="V82" s="403"/>
      <c r="W82" s="403"/>
      <c r="X82" s="403"/>
      <c r="Y82" s="139"/>
    </row>
    <row r="83" spans="10:25" x14ac:dyDescent="0.35">
      <c r="J83" s="403"/>
      <c r="K83" s="403"/>
      <c r="L83" s="403"/>
      <c r="M83" s="403"/>
      <c r="N83" s="403"/>
      <c r="O83" s="403"/>
      <c r="P83" s="403"/>
      <c r="Q83" s="403"/>
      <c r="R83" s="403"/>
      <c r="S83" s="403">
        <v>96</v>
      </c>
      <c r="T83" s="403">
        <v>100</v>
      </c>
      <c r="U83" s="403"/>
      <c r="V83" s="403"/>
      <c r="W83" s="403"/>
      <c r="X83" s="403"/>
      <c r="Y83" s="139"/>
    </row>
    <row r="84" spans="10:25" x14ac:dyDescent="0.35">
      <c r="J84" s="403"/>
      <c r="K84" s="403"/>
      <c r="L84" s="403"/>
      <c r="M84" s="403"/>
      <c r="N84" s="403"/>
      <c r="O84" s="403"/>
      <c r="P84" s="403"/>
      <c r="Q84" s="403"/>
      <c r="R84" s="403"/>
      <c r="S84" s="403">
        <v>97</v>
      </c>
      <c r="T84" s="403">
        <v>100</v>
      </c>
      <c r="U84" s="403"/>
      <c r="V84" s="403"/>
      <c r="W84" s="403"/>
      <c r="X84" s="403"/>
      <c r="Y84" s="139"/>
    </row>
    <row r="85" spans="10:25" x14ac:dyDescent="0.35">
      <c r="J85" s="403"/>
      <c r="K85" s="403"/>
      <c r="L85" s="403"/>
      <c r="M85" s="403"/>
      <c r="N85" s="403"/>
      <c r="O85" s="403"/>
      <c r="P85" s="403"/>
      <c r="Q85" s="403"/>
      <c r="R85" s="403"/>
      <c r="S85" s="403">
        <v>98</v>
      </c>
      <c r="T85" s="403">
        <v>100</v>
      </c>
      <c r="U85" s="403"/>
      <c r="V85" s="403"/>
      <c r="W85" s="403"/>
      <c r="X85" s="403"/>
      <c r="Y85" s="139"/>
    </row>
    <row r="86" spans="10:25" x14ac:dyDescent="0.35">
      <c r="J86" s="403"/>
      <c r="K86" s="403"/>
      <c r="L86" s="403"/>
      <c r="M86" s="403"/>
      <c r="N86" s="403"/>
      <c r="O86" s="403"/>
      <c r="P86" s="403"/>
      <c r="Q86" s="403"/>
      <c r="R86" s="403"/>
      <c r="S86" s="403">
        <v>99</v>
      </c>
      <c r="T86" s="403">
        <v>100</v>
      </c>
      <c r="U86" s="403"/>
      <c r="V86" s="403"/>
      <c r="W86" s="403"/>
      <c r="X86" s="403"/>
      <c r="Y86" s="139"/>
    </row>
    <row r="87" spans="10:25" x14ac:dyDescent="0.35">
      <c r="J87" s="403"/>
      <c r="K87" s="403"/>
      <c r="L87" s="403"/>
      <c r="M87" s="403"/>
      <c r="N87" s="403"/>
      <c r="O87" s="403"/>
      <c r="P87" s="403"/>
      <c r="Q87" s="403"/>
      <c r="R87" s="403"/>
      <c r="S87" s="403">
        <v>100</v>
      </c>
      <c r="T87" s="403">
        <v>100</v>
      </c>
      <c r="U87" s="403">
        <v>100</v>
      </c>
      <c r="V87" s="403"/>
      <c r="W87" s="403"/>
      <c r="X87" s="403"/>
      <c r="Y87" s="139"/>
    </row>
    <row r="88" spans="10:25" x14ac:dyDescent="0.35">
      <c r="J88" s="403"/>
      <c r="K88" s="403"/>
      <c r="L88" s="403"/>
      <c r="M88" s="403"/>
      <c r="N88" s="403"/>
      <c r="O88" s="403"/>
      <c r="P88" s="403"/>
      <c r="Q88" s="403"/>
      <c r="R88" s="403"/>
      <c r="S88" s="403">
        <v>101</v>
      </c>
      <c r="T88" s="403">
        <v>150</v>
      </c>
      <c r="U88" s="403"/>
      <c r="V88" s="403"/>
      <c r="W88" s="403"/>
      <c r="X88" s="403"/>
      <c r="Y88" s="139"/>
    </row>
    <row r="89" spans="10:25" x14ac:dyDescent="0.35">
      <c r="J89" s="403"/>
      <c r="K89" s="403"/>
      <c r="L89" s="403"/>
      <c r="M89" s="403"/>
      <c r="N89" s="403"/>
      <c r="O89" s="403"/>
      <c r="P89" s="403"/>
      <c r="Q89" s="403"/>
      <c r="R89" s="403"/>
      <c r="S89" s="403">
        <v>102</v>
      </c>
      <c r="T89" s="403">
        <v>150</v>
      </c>
      <c r="U89" s="403"/>
      <c r="V89" s="403"/>
      <c r="W89" s="403"/>
      <c r="X89" s="403"/>
      <c r="Y89" s="139"/>
    </row>
    <row r="90" spans="10:25" x14ac:dyDescent="0.35">
      <c r="J90" s="403"/>
      <c r="K90" s="403"/>
      <c r="L90" s="403"/>
      <c r="M90" s="403"/>
      <c r="N90" s="403"/>
      <c r="O90" s="403"/>
      <c r="P90" s="403"/>
      <c r="Q90" s="403"/>
      <c r="R90" s="403"/>
      <c r="S90" s="403">
        <v>103</v>
      </c>
      <c r="T90" s="403">
        <v>150</v>
      </c>
      <c r="U90" s="403"/>
      <c r="V90" s="403"/>
      <c r="W90" s="403"/>
      <c r="X90" s="403"/>
      <c r="Y90" s="139"/>
    </row>
    <row r="91" spans="10:25" x14ac:dyDescent="0.35">
      <c r="J91" s="403"/>
      <c r="K91" s="403"/>
      <c r="L91" s="403"/>
      <c r="M91" s="403"/>
      <c r="N91" s="403"/>
      <c r="O91" s="403"/>
      <c r="P91" s="403"/>
      <c r="Q91" s="403"/>
      <c r="R91" s="403"/>
      <c r="S91" s="403">
        <v>104</v>
      </c>
      <c r="T91" s="403">
        <v>150</v>
      </c>
      <c r="U91" s="403"/>
      <c r="V91" s="403"/>
      <c r="W91" s="403"/>
      <c r="X91" s="403"/>
      <c r="Y91" s="139"/>
    </row>
    <row r="92" spans="10:25" x14ac:dyDescent="0.35">
      <c r="J92" s="403"/>
      <c r="K92" s="403"/>
      <c r="L92" s="403"/>
      <c r="M92" s="403"/>
      <c r="N92" s="403"/>
      <c r="O92" s="403"/>
      <c r="P92" s="403"/>
      <c r="Q92" s="403"/>
      <c r="R92" s="403"/>
      <c r="S92" s="403">
        <v>105</v>
      </c>
      <c r="T92" s="403">
        <v>150</v>
      </c>
      <c r="U92" s="403"/>
      <c r="V92" s="403"/>
      <c r="W92" s="403"/>
      <c r="X92" s="403"/>
      <c r="Y92" s="139"/>
    </row>
    <row r="93" spans="10:25" x14ac:dyDescent="0.35">
      <c r="J93" s="403"/>
      <c r="K93" s="403"/>
      <c r="L93" s="403"/>
      <c r="M93" s="403"/>
      <c r="N93" s="403"/>
      <c r="O93" s="403"/>
      <c r="P93" s="403"/>
      <c r="Q93" s="403"/>
      <c r="R93" s="403"/>
      <c r="S93" s="403">
        <v>106</v>
      </c>
      <c r="T93" s="403">
        <v>150</v>
      </c>
      <c r="U93" s="403"/>
      <c r="V93" s="403"/>
      <c r="W93" s="403"/>
      <c r="X93" s="403"/>
      <c r="Y93" s="139"/>
    </row>
    <row r="94" spans="10:25" x14ac:dyDescent="0.35">
      <c r="J94" s="403"/>
      <c r="K94" s="403"/>
      <c r="L94" s="403"/>
      <c r="M94" s="403"/>
      <c r="N94" s="403"/>
      <c r="O94" s="403"/>
      <c r="P94" s="403"/>
      <c r="Q94" s="403"/>
      <c r="R94" s="403"/>
      <c r="S94" s="403">
        <v>107</v>
      </c>
      <c r="T94" s="403">
        <v>150</v>
      </c>
      <c r="U94" s="403"/>
      <c r="V94" s="403"/>
      <c r="W94" s="403"/>
      <c r="X94" s="403"/>
      <c r="Y94" s="139"/>
    </row>
    <row r="95" spans="10:25" x14ac:dyDescent="0.35">
      <c r="J95" s="403"/>
      <c r="K95" s="403"/>
      <c r="L95" s="403"/>
      <c r="M95" s="403"/>
      <c r="N95" s="403"/>
      <c r="O95" s="403"/>
      <c r="P95" s="403"/>
      <c r="Q95" s="403"/>
      <c r="R95" s="403"/>
      <c r="S95" s="403">
        <v>108</v>
      </c>
      <c r="T95" s="403">
        <v>150</v>
      </c>
      <c r="U95" s="403"/>
      <c r="V95" s="403"/>
      <c r="W95" s="403"/>
      <c r="X95" s="403"/>
      <c r="Y95" s="139"/>
    </row>
    <row r="96" spans="10:25" x14ac:dyDescent="0.35">
      <c r="J96" s="403"/>
      <c r="K96" s="403"/>
      <c r="L96" s="403"/>
      <c r="M96" s="403"/>
      <c r="N96" s="403"/>
      <c r="O96" s="403"/>
      <c r="P96" s="403"/>
      <c r="Q96" s="403"/>
      <c r="R96" s="403"/>
      <c r="S96" s="403">
        <v>109</v>
      </c>
      <c r="T96" s="403">
        <v>150</v>
      </c>
      <c r="U96" s="403"/>
      <c r="V96" s="403"/>
      <c r="W96" s="403"/>
      <c r="X96" s="403"/>
      <c r="Y96" s="139"/>
    </row>
    <row r="97" spans="10:25" x14ac:dyDescent="0.35">
      <c r="J97" s="403"/>
      <c r="K97" s="403"/>
      <c r="L97" s="403"/>
      <c r="M97" s="403"/>
      <c r="N97" s="403"/>
      <c r="O97" s="403"/>
      <c r="P97" s="403"/>
      <c r="Q97" s="403"/>
      <c r="R97" s="403"/>
      <c r="S97" s="403">
        <v>110</v>
      </c>
      <c r="T97" s="403">
        <v>150</v>
      </c>
      <c r="U97" s="403"/>
      <c r="V97" s="403"/>
      <c r="W97" s="403"/>
      <c r="X97" s="403"/>
      <c r="Y97" s="139"/>
    </row>
    <row r="98" spans="10:25" x14ac:dyDescent="0.35">
      <c r="J98" s="403"/>
      <c r="K98" s="403"/>
      <c r="L98" s="403"/>
      <c r="M98" s="403"/>
      <c r="N98" s="403"/>
      <c r="O98" s="403"/>
      <c r="P98" s="403"/>
      <c r="Q98" s="403"/>
      <c r="R98" s="403"/>
      <c r="S98" s="403">
        <v>111</v>
      </c>
      <c r="T98" s="403">
        <v>150</v>
      </c>
      <c r="U98" s="403"/>
      <c r="V98" s="403"/>
      <c r="W98" s="403"/>
      <c r="X98" s="403"/>
      <c r="Y98" s="139"/>
    </row>
    <row r="99" spans="10:25" x14ac:dyDescent="0.35">
      <c r="J99" s="403"/>
      <c r="K99" s="403"/>
      <c r="L99" s="403"/>
      <c r="M99" s="403"/>
      <c r="N99" s="403"/>
      <c r="O99" s="403"/>
      <c r="P99" s="403"/>
      <c r="Q99" s="403"/>
      <c r="R99" s="403"/>
      <c r="S99" s="403">
        <v>112</v>
      </c>
      <c r="T99" s="403">
        <v>150</v>
      </c>
      <c r="U99" s="403"/>
      <c r="V99" s="403"/>
      <c r="W99" s="403"/>
      <c r="X99" s="403"/>
      <c r="Y99" s="139"/>
    </row>
    <row r="100" spans="10:25" x14ac:dyDescent="0.35">
      <c r="J100" s="403"/>
      <c r="K100" s="403"/>
      <c r="L100" s="403"/>
      <c r="M100" s="403"/>
      <c r="N100" s="403"/>
      <c r="O100" s="403"/>
      <c r="P100" s="403"/>
      <c r="Q100" s="403"/>
      <c r="R100" s="403"/>
      <c r="S100" s="403">
        <v>113</v>
      </c>
      <c r="T100" s="403">
        <v>150</v>
      </c>
      <c r="U100" s="403"/>
      <c r="V100" s="403"/>
      <c r="W100" s="403"/>
      <c r="X100" s="403"/>
      <c r="Y100" s="139"/>
    </row>
    <row r="101" spans="10:25" x14ac:dyDescent="0.35">
      <c r="J101" s="403"/>
      <c r="K101" s="403"/>
      <c r="L101" s="403"/>
      <c r="M101" s="403"/>
      <c r="N101" s="403"/>
      <c r="O101" s="403"/>
      <c r="P101" s="403"/>
      <c r="Q101" s="403"/>
      <c r="R101" s="403"/>
      <c r="S101" s="403">
        <v>114</v>
      </c>
      <c r="T101" s="403">
        <v>150</v>
      </c>
      <c r="U101" s="403"/>
      <c r="V101" s="403"/>
      <c r="W101" s="403"/>
      <c r="X101" s="403"/>
      <c r="Y101" s="139"/>
    </row>
    <row r="102" spans="10:25" x14ac:dyDescent="0.35">
      <c r="J102" s="403"/>
      <c r="K102" s="403"/>
      <c r="L102" s="403"/>
      <c r="M102" s="403"/>
      <c r="N102" s="403"/>
      <c r="O102" s="403"/>
      <c r="P102" s="403"/>
      <c r="Q102" s="403"/>
      <c r="R102" s="403"/>
      <c r="S102" s="403">
        <v>115</v>
      </c>
      <c r="T102" s="403">
        <v>150</v>
      </c>
      <c r="U102" s="403"/>
      <c r="V102" s="403"/>
      <c r="W102" s="403"/>
      <c r="X102" s="403"/>
      <c r="Y102" s="139"/>
    </row>
    <row r="103" spans="10:25" x14ac:dyDescent="0.35">
      <c r="J103" s="403"/>
      <c r="K103" s="403"/>
      <c r="L103" s="403"/>
      <c r="M103" s="403"/>
      <c r="N103" s="403"/>
      <c r="O103" s="403"/>
      <c r="P103" s="403"/>
      <c r="Q103" s="403"/>
      <c r="R103" s="403"/>
      <c r="S103" s="403">
        <v>116</v>
      </c>
      <c r="T103" s="403">
        <v>150</v>
      </c>
      <c r="U103" s="403"/>
      <c r="V103" s="403"/>
      <c r="W103" s="403"/>
      <c r="X103" s="403"/>
      <c r="Y103" s="139"/>
    </row>
    <row r="104" spans="10:25" x14ac:dyDescent="0.35">
      <c r="J104" s="403"/>
      <c r="K104" s="403"/>
      <c r="L104" s="403"/>
      <c r="M104" s="403"/>
      <c r="N104" s="403"/>
      <c r="O104" s="403"/>
      <c r="P104" s="403"/>
      <c r="Q104" s="403"/>
      <c r="R104" s="403"/>
      <c r="S104" s="403">
        <v>117</v>
      </c>
      <c r="T104" s="403">
        <v>150</v>
      </c>
      <c r="U104" s="403"/>
      <c r="V104" s="403"/>
      <c r="W104" s="403"/>
      <c r="X104" s="403"/>
      <c r="Y104" s="139"/>
    </row>
    <row r="105" spans="10:25" x14ac:dyDescent="0.35">
      <c r="J105" s="403"/>
      <c r="K105" s="403"/>
      <c r="L105" s="403"/>
      <c r="M105" s="403"/>
      <c r="N105" s="403"/>
      <c r="O105" s="403"/>
      <c r="P105" s="403"/>
      <c r="Q105" s="403"/>
      <c r="R105" s="403"/>
      <c r="S105" s="403">
        <v>118</v>
      </c>
      <c r="T105" s="403">
        <v>150</v>
      </c>
      <c r="U105" s="403"/>
      <c r="V105" s="403"/>
      <c r="W105" s="403"/>
      <c r="X105" s="403"/>
      <c r="Y105" s="139"/>
    </row>
    <row r="106" spans="10:25" x14ac:dyDescent="0.35">
      <c r="J106" s="403"/>
      <c r="K106" s="403"/>
      <c r="L106" s="403"/>
      <c r="M106" s="403"/>
      <c r="N106" s="403"/>
      <c r="O106" s="403"/>
      <c r="P106" s="403"/>
      <c r="Q106" s="403"/>
      <c r="R106" s="403"/>
      <c r="S106" s="403">
        <v>119</v>
      </c>
      <c r="T106" s="403">
        <v>150</v>
      </c>
      <c r="U106" s="403"/>
      <c r="V106" s="403"/>
      <c r="W106" s="403"/>
      <c r="X106" s="403"/>
      <c r="Y106" s="139"/>
    </row>
    <row r="107" spans="10:25" x14ac:dyDescent="0.35">
      <c r="J107" s="403"/>
      <c r="K107" s="403"/>
      <c r="L107" s="403"/>
      <c r="M107" s="403"/>
      <c r="N107" s="403"/>
      <c r="O107" s="403"/>
      <c r="P107" s="403"/>
      <c r="Q107" s="403"/>
      <c r="R107" s="403"/>
      <c r="S107" s="403">
        <v>120</v>
      </c>
      <c r="T107" s="403">
        <v>150</v>
      </c>
      <c r="U107" s="403"/>
      <c r="V107" s="403"/>
      <c r="W107" s="403"/>
      <c r="X107" s="403"/>
      <c r="Y107" s="139"/>
    </row>
    <row r="108" spans="10:25" x14ac:dyDescent="0.35">
      <c r="J108" s="403"/>
      <c r="K108" s="403"/>
      <c r="L108" s="403"/>
      <c r="M108" s="403"/>
      <c r="N108" s="403"/>
      <c r="O108" s="403"/>
      <c r="P108" s="403"/>
      <c r="Q108" s="403"/>
      <c r="R108" s="403"/>
      <c r="S108" s="403">
        <v>121</v>
      </c>
      <c r="T108" s="403">
        <v>150</v>
      </c>
      <c r="U108" s="403"/>
      <c r="V108" s="403"/>
      <c r="W108" s="403"/>
      <c r="X108" s="403"/>
      <c r="Y108" s="139"/>
    </row>
    <row r="109" spans="10:25" x14ac:dyDescent="0.35">
      <c r="J109" s="403"/>
      <c r="K109" s="403"/>
      <c r="L109" s="403"/>
      <c r="M109" s="403"/>
      <c r="N109" s="403"/>
      <c r="O109" s="403"/>
      <c r="P109" s="403"/>
      <c r="Q109" s="403"/>
      <c r="R109" s="403"/>
      <c r="S109" s="403">
        <v>122</v>
      </c>
      <c r="T109" s="403">
        <v>150</v>
      </c>
      <c r="U109" s="403"/>
      <c r="V109" s="403"/>
      <c r="W109" s="403"/>
      <c r="X109" s="403"/>
      <c r="Y109" s="139"/>
    </row>
    <row r="110" spans="10:25" x14ac:dyDescent="0.35">
      <c r="J110" s="403"/>
      <c r="K110" s="403"/>
      <c r="L110" s="403"/>
      <c r="M110" s="403"/>
      <c r="N110" s="403"/>
      <c r="O110" s="403"/>
      <c r="P110" s="403"/>
      <c r="Q110" s="403"/>
      <c r="R110" s="403"/>
      <c r="S110" s="403">
        <v>123</v>
      </c>
      <c r="T110" s="403">
        <v>150</v>
      </c>
      <c r="U110" s="403"/>
      <c r="V110" s="403"/>
      <c r="W110" s="403"/>
      <c r="X110" s="403"/>
      <c r="Y110" s="139"/>
    </row>
    <row r="111" spans="10:25" x14ac:dyDescent="0.35">
      <c r="J111" s="403"/>
      <c r="K111" s="403"/>
      <c r="L111" s="403"/>
      <c r="M111" s="403"/>
      <c r="N111" s="403"/>
      <c r="O111" s="403"/>
      <c r="P111" s="403"/>
      <c r="Q111" s="403"/>
      <c r="R111" s="403"/>
      <c r="S111" s="403">
        <v>124</v>
      </c>
      <c r="T111" s="403">
        <v>150</v>
      </c>
      <c r="U111" s="403"/>
      <c r="V111" s="403"/>
      <c r="W111" s="403"/>
      <c r="X111" s="403"/>
      <c r="Y111" s="139"/>
    </row>
    <row r="112" spans="10:25" x14ac:dyDescent="0.35">
      <c r="J112" s="403"/>
      <c r="K112" s="403"/>
      <c r="L112" s="403"/>
      <c r="M112" s="403"/>
      <c r="N112" s="403"/>
      <c r="O112" s="403"/>
      <c r="P112" s="403"/>
      <c r="Q112" s="403"/>
      <c r="R112" s="403"/>
      <c r="S112" s="403">
        <v>125</v>
      </c>
      <c r="T112" s="403">
        <v>150</v>
      </c>
      <c r="U112" s="403"/>
      <c r="V112" s="403"/>
      <c r="W112" s="403"/>
      <c r="X112" s="403"/>
      <c r="Y112" s="139"/>
    </row>
    <row r="113" spans="10:25" x14ac:dyDescent="0.35">
      <c r="J113" s="403"/>
      <c r="K113" s="403"/>
      <c r="L113" s="403"/>
      <c r="M113" s="403"/>
      <c r="N113" s="403"/>
      <c r="O113" s="403"/>
      <c r="P113" s="403"/>
      <c r="Q113" s="403"/>
      <c r="R113" s="403"/>
      <c r="S113" s="403">
        <v>126</v>
      </c>
      <c r="T113" s="403">
        <v>150</v>
      </c>
      <c r="U113" s="403"/>
      <c r="V113" s="403"/>
      <c r="W113" s="403"/>
      <c r="X113" s="403"/>
      <c r="Y113" s="139"/>
    </row>
    <row r="114" spans="10:25" x14ac:dyDescent="0.35">
      <c r="J114" s="403"/>
      <c r="K114" s="403"/>
      <c r="L114" s="403"/>
      <c r="M114" s="403"/>
      <c r="N114" s="403"/>
      <c r="O114" s="403"/>
      <c r="P114" s="403"/>
      <c r="Q114" s="403"/>
      <c r="R114" s="403"/>
      <c r="S114" s="403">
        <v>127</v>
      </c>
      <c r="T114" s="403">
        <v>150</v>
      </c>
      <c r="U114" s="403"/>
      <c r="V114" s="403"/>
      <c r="W114" s="403"/>
      <c r="X114" s="403"/>
      <c r="Y114" s="139"/>
    </row>
    <row r="115" spans="10:25" x14ac:dyDescent="0.35">
      <c r="J115" s="403"/>
      <c r="K115" s="403"/>
      <c r="L115" s="403"/>
      <c r="M115" s="403"/>
      <c r="N115" s="403"/>
      <c r="O115" s="403"/>
      <c r="P115" s="403"/>
      <c r="Q115" s="403"/>
      <c r="R115" s="403"/>
      <c r="S115" s="403">
        <v>128</v>
      </c>
      <c r="T115" s="403">
        <v>150</v>
      </c>
      <c r="U115" s="403"/>
      <c r="V115" s="403"/>
      <c r="W115" s="403"/>
      <c r="X115" s="403"/>
      <c r="Y115" s="139"/>
    </row>
    <row r="116" spans="10:25" x14ac:dyDescent="0.35">
      <c r="J116" s="403"/>
      <c r="K116" s="403"/>
      <c r="L116" s="403"/>
      <c r="M116" s="403"/>
      <c r="N116" s="403"/>
      <c r="O116" s="403"/>
      <c r="P116" s="403"/>
      <c r="Q116" s="403"/>
      <c r="R116" s="403"/>
      <c r="S116" s="403">
        <v>129</v>
      </c>
      <c r="T116" s="403">
        <v>150</v>
      </c>
      <c r="U116" s="403"/>
      <c r="V116" s="403"/>
      <c r="W116" s="403"/>
      <c r="X116" s="403"/>
      <c r="Y116" s="139"/>
    </row>
    <row r="117" spans="10:25" x14ac:dyDescent="0.35">
      <c r="J117" s="403"/>
      <c r="K117" s="403"/>
      <c r="L117" s="403"/>
      <c r="M117" s="403"/>
      <c r="N117" s="403"/>
      <c r="O117" s="403"/>
      <c r="P117" s="403"/>
      <c r="Q117" s="403"/>
      <c r="R117" s="403"/>
      <c r="S117" s="403">
        <v>130</v>
      </c>
      <c r="T117" s="403">
        <v>150</v>
      </c>
      <c r="U117" s="403"/>
      <c r="V117" s="403"/>
      <c r="W117" s="403"/>
      <c r="X117" s="403"/>
      <c r="Y117" s="139"/>
    </row>
    <row r="118" spans="10:25" x14ac:dyDescent="0.35">
      <c r="J118" s="403"/>
      <c r="K118" s="403"/>
      <c r="L118" s="403"/>
      <c r="M118" s="403"/>
      <c r="N118" s="403"/>
      <c r="O118" s="403"/>
      <c r="P118" s="403"/>
      <c r="Q118" s="403"/>
      <c r="R118" s="403"/>
      <c r="S118" s="403">
        <v>131</v>
      </c>
      <c r="T118" s="403">
        <v>150</v>
      </c>
      <c r="U118" s="403"/>
      <c r="V118" s="403"/>
      <c r="W118" s="403"/>
      <c r="X118" s="403"/>
      <c r="Y118" s="139"/>
    </row>
    <row r="119" spans="10:25" x14ac:dyDescent="0.35">
      <c r="J119" s="403"/>
      <c r="K119" s="403"/>
      <c r="L119" s="403"/>
      <c r="M119" s="403"/>
      <c r="N119" s="403"/>
      <c r="O119" s="403"/>
      <c r="P119" s="403"/>
      <c r="Q119" s="403"/>
      <c r="R119" s="403"/>
      <c r="S119" s="403">
        <v>132</v>
      </c>
      <c r="T119" s="403">
        <v>150</v>
      </c>
      <c r="U119" s="403"/>
      <c r="V119" s="403"/>
      <c r="W119" s="403"/>
      <c r="X119" s="403"/>
      <c r="Y119" s="139"/>
    </row>
    <row r="120" spans="10:25" x14ac:dyDescent="0.35">
      <c r="J120" s="403"/>
      <c r="K120" s="403"/>
      <c r="L120" s="403"/>
      <c r="M120" s="403"/>
      <c r="N120" s="403"/>
      <c r="O120" s="403"/>
      <c r="P120" s="403"/>
      <c r="Q120" s="403"/>
      <c r="R120" s="403"/>
      <c r="S120" s="403">
        <v>133</v>
      </c>
      <c r="T120" s="403">
        <v>150</v>
      </c>
      <c r="U120" s="403"/>
      <c r="V120" s="403"/>
      <c r="W120" s="403"/>
      <c r="X120" s="403"/>
      <c r="Y120" s="139"/>
    </row>
    <row r="121" spans="10:25" x14ac:dyDescent="0.35">
      <c r="J121" s="403"/>
      <c r="K121" s="403"/>
      <c r="L121" s="403"/>
      <c r="M121" s="403"/>
      <c r="N121" s="403"/>
      <c r="O121" s="403"/>
      <c r="P121" s="403"/>
      <c r="Q121" s="403"/>
      <c r="R121" s="403"/>
      <c r="S121" s="403">
        <v>134</v>
      </c>
      <c r="T121" s="403">
        <v>150</v>
      </c>
      <c r="U121" s="403"/>
      <c r="V121" s="403"/>
      <c r="W121" s="403"/>
      <c r="X121" s="403"/>
      <c r="Y121" s="139"/>
    </row>
    <row r="122" spans="10:25" x14ac:dyDescent="0.35">
      <c r="J122" s="403"/>
      <c r="K122" s="403"/>
      <c r="L122" s="403"/>
      <c r="M122" s="403"/>
      <c r="N122" s="403"/>
      <c r="O122" s="403"/>
      <c r="P122" s="403"/>
      <c r="Q122" s="403"/>
      <c r="R122" s="403"/>
      <c r="S122" s="403">
        <v>135</v>
      </c>
      <c r="T122" s="403">
        <v>150</v>
      </c>
      <c r="U122" s="403"/>
      <c r="V122" s="403"/>
      <c r="W122" s="403"/>
      <c r="X122" s="403"/>
      <c r="Y122" s="139"/>
    </row>
    <row r="123" spans="10:25" x14ac:dyDescent="0.35">
      <c r="J123" s="403"/>
      <c r="K123" s="403"/>
      <c r="L123" s="403"/>
      <c r="M123" s="403"/>
      <c r="N123" s="403"/>
      <c r="O123" s="403"/>
      <c r="P123" s="403"/>
      <c r="Q123" s="403"/>
      <c r="R123" s="403"/>
      <c r="S123" s="403">
        <v>136</v>
      </c>
      <c r="T123" s="403">
        <v>150</v>
      </c>
      <c r="U123" s="403"/>
      <c r="V123" s="403"/>
      <c r="W123" s="403"/>
      <c r="X123" s="403"/>
      <c r="Y123" s="139"/>
    </row>
    <row r="124" spans="10:25" x14ac:dyDescent="0.35">
      <c r="J124" s="403"/>
      <c r="K124" s="403"/>
      <c r="L124" s="403"/>
      <c r="M124" s="403"/>
      <c r="N124" s="403"/>
      <c r="O124" s="403"/>
      <c r="P124" s="403"/>
      <c r="Q124" s="403"/>
      <c r="R124" s="403"/>
      <c r="S124" s="403">
        <v>137</v>
      </c>
      <c r="T124" s="403">
        <v>150</v>
      </c>
      <c r="U124" s="403"/>
      <c r="V124" s="403"/>
      <c r="W124" s="403"/>
      <c r="X124" s="403"/>
      <c r="Y124" s="139"/>
    </row>
    <row r="125" spans="10:25" x14ac:dyDescent="0.35">
      <c r="J125" s="403"/>
      <c r="K125" s="403"/>
      <c r="L125" s="403"/>
      <c r="M125" s="403"/>
      <c r="N125" s="403"/>
      <c r="O125" s="403"/>
      <c r="P125" s="403"/>
      <c r="Q125" s="403"/>
      <c r="R125" s="403"/>
      <c r="S125" s="403">
        <v>138</v>
      </c>
      <c r="T125" s="403">
        <v>150</v>
      </c>
      <c r="U125" s="403"/>
      <c r="V125" s="403"/>
      <c r="W125" s="403"/>
      <c r="X125" s="403"/>
      <c r="Y125" s="139"/>
    </row>
    <row r="126" spans="10:25" x14ac:dyDescent="0.35">
      <c r="J126" s="403"/>
      <c r="K126" s="403"/>
      <c r="L126" s="403"/>
      <c r="M126" s="403"/>
      <c r="N126" s="403"/>
      <c r="O126" s="403"/>
      <c r="P126" s="403"/>
      <c r="Q126" s="403"/>
      <c r="R126" s="403"/>
      <c r="S126" s="403">
        <v>139</v>
      </c>
      <c r="T126" s="403">
        <v>150</v>
      </c>
      <c r="U126" s="403"/>
      <c r="V126" s="403"/>
      <c r="W126" s="403"/>
      <c r="X126" s="403"/>
      <c r="Y126" s="139"/>
    </row>
    <row r="127" spans="10:25" x14ac:dyDescent="0.35">
      <c r="J127" s="403"/>
      <c r="K127" s="403"/>
      <c r="L127" s="403"/>
      <c r="M127" s="403"/>
      <c r="N127" s="403"/>
      <c r="O127" s="403"/>
      <c r="P127" s="403"/>
      <c r="Q127" s="403"/>
      <c r="R127" s="403"/>
      <c r="S127" s="403">
        <v>140</v>
      </c>
      <c r="T127" s="403">
        <v>150</v>
      </c>
      <c r="U127" s="403"/>
      <c r="V127" s="403"/>
      <c r="W127" s="403"/>
      <c r="X127" s="403"/>
      <c r="Y127" s="139"/>
    </row>
    <row r="128" spans="10:25" x14ac:dyDescent="0.35">
      <c r="J128" s="403"/>
      <c r="K128" s="403"/>
      <c r="L128" s="403"/>
      <c r="M128" s="403"/>
      <c r="N128" s="403"/>
      <c r="O128" s="403"/>
      <c r="P128" s="403"/>
      <c r="Q128" s="403"/>
      <c r="R128" s="403"/>
      <c r="S128" s="403">
        <v>141</v>
      </c>
      <c r="T128" s="403">
        <v>150</v>
      </c>
      <c r="U128" s="403"/>
      <c r="V128" s="403"/>
      <c r="W128" s="403"/>
      <c r="X128" s="403"/>
      <c r="Y128" s="139"/>
    </row>
    <row r="129" spans="10:25" x14ac:dyDescent="0.35">
      <c r="J129" s="403"/>
      <c r="K129" s="403"/>
      <c r="L129" s="403"/>
      <c r="M129" s="403"/>
      <c r="N129" s="403"/>
      <c r="O129" s="403"/>
      <c r="P129" s="403"/>
      <c r="Q129" s="403"/>
      <c r="R129" s="403"/>
      <c r="S129" s="403">
        <v>142</v>
      </c>
      <c r="T129" s="403">
        <v>150</v>
      </c>
      <c r="U129" s="403"/>
      <c r="V129" s="403"/>
      <c r="W129" s="403"/>
      <c r="X129" s="403"/>
      <c r="Y129" s="139"/>
    </row>
    <row r="130" spans="10:25" x14ac:dyDescent="0.35">
      <c r="J130" s="403"/>
      <c r="K130" s="403"/>
      <c r="L130" s="403"/>
      <c r="M130" s="403"/>
      <c r="N130" s="403"/>
      <c r="O130" s="403"/>
      <c r="P130" s="403"/>
      <c r="Q130" s="403"/>
      <c r="R130" s="403"/>
      <c r="S130" s="403">
        <v>143</v>
      </c>
      <c r="T130" s="403">
        <v>150</v>
      </c>
      <c r="U130" s="403"/>
      <c r="V130" s="403"/>
      <c r="W130" s="403"/>
      <c r="X130" s="403"/>
      <c r="Y130" s="139"/>
    </row>
    <row r="131" spans="10:25" x14ac:dyDescent="0.35">
      <c r="J131" s="403"/>
      <c r="K131" s="403"/>
      <c r="L131" s="403"/>
      <c r="M131" s="403"/>
      <c r="N131" s="403"/>
      <c r="O131" s="403"/>
      <c r="P131" s="403"/>
      <c r="Q131" s="403"/>
      <c r="R131" s="403"/>
      <c r="S131" s="403">
        <v>144</v>
      </c>
      <c r="T131" s="403">
        <v>150</v>
      </c>
      <c r="U131" s="403"/>
      <c r="V131" s="403"/>
      <c r="W131" s="403"/>
      <c r="X131" s="403"/>
      <c r="Y131" s="139"/>
    </row>
    <row r="132" spans="10:25" x14ac:dyDescent="0.35">
      <c r="J132" s="403"/>
      <c r="K132" s="403"/>
      <c r="L132" s="403"/>
      <c r="M132" s="403"/>
      <c r="N132" s="403"/>
      <c r="O132" s="403"/>
      <c r="P132" s="403"/>
      <c r="Q132" s="403"/>
      <c r="R132" s="403"/>
      <c r="S132" s="403">
        <v>145</v>
      </c>
      <c r="T132" s="403">
        <v>150</v>
      </c>
      <c r="U132" s="403"/>
      <c r="V132" s="403"/>
      <c r="W132" s="403"/>
      <c r="X132" s="403"/>
      <c r="Y132" s="139"/>
    </row>
    <row r="133" spans="10:25" x14ac:dyDescent="0.35">
      <c r="J133" s="403"/>
      <c r="K133" s="403"/>
      <c r="L133" s="403"/>
      <c r="M133" s="403"/>
      <c r="N133" s="403"/>
      <c r="O133" s="403"/>
      <c r="P133" s="403"/>
      <c r="Q133" s="403"/>
      <c r="R133" s="403"/>
      <c r="S133" s="403">
        <v>146</v>
      </c>
      <c r="T133" s="403">
        <v>150</v>
      </c>
      <c r="U133" s="403"/>
      <c r="V133" s="403"/>
      <c r="W133" s="403"/>
      <c r="X133" s="403"/>
      <c r="Y133" s="139"/>
    </row>
    <row r="134" spans="10:25" x14ac:dyDescent="0.35">
      <c r="J134" s="403"/>
      <c r="K134" s="403"/>
      <c r="L134" s="403"/>
      <c r="M134" s="403"/>
      <c r="N134" s="403"/>
      <c r="O134" s="403"/>
      <c r="P134" s="403"/>
      <c r="Q134" s="403"/>
      <c r="R134" s="403"/>
      <c r="S134" s="403">
        <v>147</v>
      </c>
      <c r="T134" s="403">
        <v>150</v>
      </c>
      <c r="U134" s="403"/>
      <c r="V134" s="403"/>
      <c r="W134" s="403"/>
      <c r="X134" s="403"/>
      <c r="Y134" s="139"/>
    </row>
    <row r="135" spans="10:25" x14ac:dyDescent="0.35">
      <c r="J135" s="403"/>
      <c r="K135" s="403"/>
      <c r="L135" s="403"/>
      <c r="M135" s="403"/>
      <c r="N135" s="403"/>
      <c r="O135" s="403"/>
      <c r="P135" s="403"/>
      <c r="Q135" s="403"/>
      <c r="R135" s="403"/>
      <c r="S135" s="403">
        <v>148</v>
      </c>
      <c r="T135" s="403">
        <v>150</v>
      </c>
      <c r="U135" s="403"/>
      <c r="V135" s="403"/>
      <c r="W135" s="403"/>
      <c r="X135" s="403"/>
      <c r="Y135" s="139"/>
    </row>
    <row r="136" spans="10:25" x14ac:dyDescent="0.35">
      <c r="J136" s="403"/>
      <c r="K136" s="403"/>
      <c r="L136" s="403"/>
      <c r="M136" s="403"/>
      <c r="N136" s="403"/>
      <c r="O136" s="403"/>
      <c r="P136" s="403"/>
      <c r="Q136" s="403"/>
      <c r="R136" s="403"/>
      <c r="S136" s="403">
        <v>149</v>
      </c>
      <c r="T136" s="403">
        <v>150</v>
      </c>
      <c r="U136" s="403"/>
      <c r="V136" s="403"/>
      <c r="W136" s="403"/>
      <c r="X136" s="403"/>
      <c r="Y136" s="139"/>
    </row>
    <row r="137" spans="10:25" x14ac:dyDescent="0.35">
      <c r="J137" s="403"/>
      <c r="K137" s="403"/>
      <c r="L137" s="403"/>
      <c r="M137" s="403"/>
      <c r="N137" s="403"/>
      <c r="O137" s="403"/>
      <c r="P137" s="403"/>
      <c r="Q137" s="403"/>
      <c r="R137" s="403"/>
      <c r="S137" s="403">
        <v>150</v>
      </c>
      <c r="T137" s="403">
        <v>150</v>
      </c>
      <c r="U137" s="403">
        <v>150</v>
      </c>
      <c r="V137" s="403"/>
      <c r="W137" s="403"/>
      <c r="X137" s="403"/>
      <c r="Y137" s="139"/>
    </row>
    <row r="138" spans="10:25" x14ac:dyDescent="0.35">
      <c r="J138" s="403"/>
      <c r="K138" s="403"/>
      <c r="L138" s="403"/>
      <c r="M138" s="403"/>
      <c r="N138" s="403"/>
      <c r="O138" s="403"/>
      <c r="P138" s="403"/>
      <c r="Q138" s="403"/>
      <c r="R138" s="403"/>
      <c r="S138" s="403">
        <v>151</v>
      </c>
      <c r="T138" s="403">
        <v>150</v>
      </c>
      <c r="U138" s="403"/>
      <c r="V138" s="403"/>
      <c r="W138" s="403"/>
      <c r="X138" s="403"/>
      <c r="Y138" s="139"/>
    </row>
    <row r="139" spans="10:25" x14ac:dyDescent="0.35">
      <c r="J139" s="403"/>
      <c r="K139" s="403"/>
      <c r="L139" s="403"/>
      <c r="M139" s="403"/>
      <c r="N139" s="403"/>
      <c r="O139" s="403"/>
      <c r="P139" s="403"/>
      <c r="Q139" s="403"/>
      <c r="R139" s="403"/>
      <c r="S139" s="403">
        <v>152</v>
      </c>
      <c r="T139" s="403">
        <v>150</v>
      </c>
      <c r="U139" s="403"/>
      <c r="V139" s="403"/>
      <c r="W139" s="403"/>
      <c r="X139" s="403"/>
      <c r="Y139" s="139"/>
    </row>
    <row r="140" spans="10:25" x14ac:dyDescent="0.35">
      <c r="J140" s="403"/>
      <c r="K140" s="403"/>
      <c r="L140" s="403"/>
      <c r="M140" s="403"/>
      <c r="N140" s="403"/>
      <c r="O140" s="403"/>
      <c r="P140" s="403"/>
      <c r="Q140" s="403"/>
      <c r="R140" s="403"/>
      <c r="S140" s="403">
        <v>153</v>
      </c>
      <c r="T140" s="403">
        <v>150</v>
      </c>
      <c r="U140" s="403"/>
      <c r="V140" s="403"/>
      <c r="W140" s="403"/>
      <c r="X140" s="403"/>
      <c r="Y140" s="139"/>
    </row>
    <row r="141" spans="10:25" x14ac:dyDescent="0.35">
      <c r="J141" s="403"/>
      <c r="K141" s="403"/>
      <c r="L141" s="403"/>
      <c r="M141" s="403"/>
      <c r="N141" s="403"/>
      <c r="O141" s="403"/>
      <c r="P141" s="403"/>
      <c r="Q141" s="403"/>
      <c r="R141" s="403"/>
      <c r="S141" s="403">
        <v>154</v>
      </c>
      <c r="T141" s="403">
        <v>150</v>
      </c>
      <c r="U141" s="403"/>
      <c r="V141" s="403"/>
      <c r="W141" s="403"/>
      <c r="X141" s="403"/>
      <c r="Y141" s="139"/>
    </row>
    <row r="142" spans="10:25" x14ac:dyDescent="0.35">
      <c r="J142" s="403"/>
      <c r="K142" s="403"/>
      <c r="L142" s="403"/>
      <c r="M142" s="403"/>
      <c r="N142" s="403"/>
      <c r="O142" s="403"/>
      <c r="P142" s="403"/>
      <c r="Q142" s="403"/>
      <c r="R142" s="403"/>
      <c r="S142" s="403">
        <v>155</v>
      </c>
      <c r="T142" s="403">
        <v>150</v>
      </c>
      <c r="U142" s="403"/>
      <c r="V142" s="403"/>
      <c r="W142" s="403"/>
      <c r="X142" s="403"/>
      <c r="Y142" s="139"/>
    </row>
    <row r="143" spans="10:25" x14ac:dyDescent="0.35">
      <c r="J143" s="403"/>
      <c r="K143" s="403"/>
      <c r="L143" s="403"/>
      <c r="M143" s="403"/>
      <c r="N143" s="403"/>
      <c r="O143" s="403"/>
      <c r="P143" s="403"/>
      <c r="Q143" s="403"/>
      <c r="R143" s="403"/>
      <c r="S143" s="403">
        <v>156</v>
      </c>
      <c r="T143" s="403">
        <v>150</v>
      </c>
      <c r="U143" s="403"/>
      <c r="V143" s="403"/>
      <c r="W143" s="403"/>
      <c r="X143" s="403"/>
      <c r="Y143" s="139"/>
    </row>
    <row r="144" spans="10:25" x14ac:dyDescent="0.35">
      <c r="J144" s="403"/>
      <c r="K144" s="403"/>
      <c r="L144" s="403"/>
      <c r="M144" s="403"/>
      <c r="N144" s="403"/>
      <c r="O144" s="403"/>
      <c r="P144" s="403"/>
      <c r="Q144" s="403"/>
      <c r="R144" s="403"/>
      <c r="S144" s="403">
        <v>157</v>
      </c>
      <c r="T144" s="403">
        <v>150</v>
      </c>
      <c r="U144" s="403"/>
      <c r="V144" s="403"/>
      <c r="W144" s="403"/>
      <c r="X144" s="403"/>
      <c r="Y144" s="139"/>
    </row>
    <row r="145" spans="10:25" x14ac:dyDescent="0.35">
      <c r="J145" s="403"/>
      <c r="K145" s="403"/>
      <c r="L145" s="403"/>
      <c r="M145" s="403"/>
      <c r="N145" s="403"/>
      <c r="O145" s="403"/>
      <c r="P145" s="403"/>
      <c r="Q145" s="403"/>
      <c r="R145" s="403"/>
      <c r="S145" s="403">
        <v>158</v>
      </c>
      <c r="T145" s="403">
        <v>150</v>
      </c>
      <c r="U145" s="403"/>
      <c r="V145" s="403"/>
      <c r="W145" s="403"/>
      <c r="X145" s="403"/>
      <c r="Y145" s="139"/>
    </row>
    <row r="146" spans="10:25" x14ac:dyDescent="0.35">
      <c r="J146" s="403"/>
      <c r="K146" s="403"/>
      <c r="L146" s="403"/>
      <c r="M146" s="403"/>
      <c r="N146" s="403"/>
      <c r="O146" s="403"/>
      <c r="P146" s="403"/>
      <c r="Q146" s="403"/>
      <c r="R146" s="403"/>
      <c r="S146" s="403">
        <v>159</v>
      </c>
      <c r="T146" s="403">
        <v>150</v>
      </c>
      <c r="U146" s="403"/>
      <c r="V146" s="403"/>
      <c r="W146" s="403"/>
      <c r="X146" s="403"/>
      <c r="Y146" s="139"/>
    </row>
    <row r="147" spans="10:25" x14ac:dyDescent="0.35">
      <c r="J147" s="403"/>
      <c r="K147" s="403"/>
      <c r="L147" s="403"/>
      <c r="M147" s="403"/>
      <c r="N147" s="403"/>
      <c r="O147" s="403"/>
      <c r="P147" s="403"/>
      <c r="Q147" s="403"/>
      <c r="R147" s="403"/>
      <c r="S147" s="403">
        <v>160</v>
      </c>
      <c r="T147" s="403">
        <v>150</v>
      </c>
      <c r="U147" s="403"/>
      <c r="V147" s="403"/>
      <c r="W147" s="403"/>
      <c r="X147" s="403"/>
      <c r="Y147" s="139"/>
    </row>
    <row r="148" spans="10:25" x14ac:dyDescent="0.35">
      <c r="J148" s="403"/>
      <c r="K148" s="403"/>
      <c r="L148" s="403"/>
      <c r="M148" s="403"/>
      <c r="N148" s="403"/>
      <c r="O148" s="403"/>
      <c r="P148" s="403"/>
      <c r="Q148" s="403"/>
      <c r="R148" s="403"/>
      <c r="S148" s="403">
        <v>161</v>
      </c>
      <c r="T148" s="403">
        <v>150</v>
      </c>
      <c r="U148" s="403"/>
      <c r="V148" s="403"/>
      <c r="W148" s="403"/>
      <c r="X148" s="403"/>
      <c r="Y148" s="139"/>
    </row>
    <row r="149" spans="10:25" x14ac:dyDescent="0.35">
      <c r="J149" s="403"/>
      <c r="K149" s="403"/>
      <c r="L149" s="403"/>
      <c r="M149" s="403"/>
      <c r="N149" s="403"/>
      <c r="O149" s="403"/>
      <c r="P149" s="403"/>
      <c r="Q149" s="403"/>
      <c r="R149" s="403"/>
      <c r="S149" s="403">
        <v>162</v>
      </c>
      <c r="T149" s="403">
        <v>150</v>
      </c>
      <c r="U149" s="403"/>
      <c r="V149" s="403"/>
      <c r="W149" s="403"/>
      <c r="X149" s="403"/>
      <c r="Y149" s="139"/>
    </row>
    <row r="150" spans="10:25" x14ac:dyDescent="0.35">
      <c r="J150" s="403"/>
      <c r="K150" s="403"/>
      <c r="L150" s="403"/>
      <c r="M150" s="403"/>
      <c r="N150" s="403"/>
      <c r="O150" s="403"/>
      <c r="P150" s="403"/>
      <c r="Q150" s="403"/>
      <c r="R150" s="403"/>
      <c r="S150" s="403">
        <v>163</v>
      </c>
      <c r="T150" s="403">
        <v>150</v>
      </c>
      <c r="U150" s="403"/>
      <c r="V150" s="403"/>
      <c r="W150" s="403"/>
      <c r="X150" s="403"/>
      <c r="Y150" s="139"/>
    </row>
    <row r="151" spans="10:25" x14ac:dyDescent="0.35">
      <c r="J151" s="403"/>
      <c r="K151" s="403"/>
      <c r="L151" s="403"/>
      <c r="M151" s="403"/>
      <c r="N151" s="403"/>
      <c r="O151" s="403"/>
      <c r="P151" s="403"/>
      <c r="Q151" s="403"/>
      <c r="R151" s="403"/>
      <c r="S151" s="403">
        <v>164</v>
      </c>
      <c r="T151" s="403">
        <v>150</v>
      </c>
      <c r="U151" s="403"/>
      <c r="V151" s="403"/>
      <c r="W151" s="403"/>
      <c r="X151" s="403"/>
      <c r="Y151" s="139"/>
    </row>
    <row r="152" spans="10:25" x14ac:dyDescent="0.35">
      <c r="J152" s="403"/>
      <c r="K152" s="403"/>
      <c r="L152" s="403"/>
      <c r="M152" s="403"/>
      <c r="N152" s="403"/>
      <c r="O152" s="403"/>
      <c r="P152" s="403"/>
      <c r="Q152" s="403"/>
      <c r="R152" s="403"/>
      <c r="S152" s="403">
        <v>165</v>
      </c>
      <c r="T152" s="403">
        <v>150</v>
      </c>
      <c r="U152" s="403"/>
      <c r="V152" s="403"/>
      <c r="W152" s="403"/>
      <c r="X152" s="403"/>
      <c r="Y152" s="139"/>
    </row>
    <row r="153" spans="10:25" x14ac:dyDescent="0.35">
      <c r="J153" s="403"/>
      <c r="K153" s="403"/>
      <c r="L153" s="403"/>
      <c r="M153" s="403"/>
      <c r="N153" s="403"/>
      <c r="O153" s="403"/>
      <c r="P153" s="403"/>
      <c r="Q153" s="403"/>
      <c r="R153" s="403"/>
      <c r="S153" s="403">
        <v>166</v>
      </c>
      <c r="T153" s="403">
        <v>150</v>
      </c>
      <c r="U153" s="403"/>
      <c r="V153" s="403"/>
      <c r="W153" s="403"/>
      <c r="X153" s="403"/>
      <c r="Y153" s="139"/>
    </row>
    <row r="154" spans="10:25" x14ac:dyDescent="0.35">
      <c r="J154" s="403"/>
      <c r="K154" s="403"/>
      <c r="L154" s="403"/>
      <c r="M154" s="403"/>
      <c r="N154" s="403"/>
      <c r="O154" s="403"/>
      <c r="P154" s="403"/>
      <c r="Q154" s="403"/>
      <c r="R154" s="403"/>
      <c r="S154" s="403">
        <v>167</v>
      </c>
      <c r="T154" s="403">
        <v>150</v>
      </c>
      <c r="U154" s="403"/>
      <c r="V154" s="403"/>
      <c r="W154" s="403"/>
      <c r="X154" s="403"/>
      <c r="Y154" s="139"/>
    </row>
    <row r="155" spans="10:25" x14ac:dyDescent="0.35">
      <c r="J155" s="403"/>
      <c r="K155" s="403"/>
      <c r="L155" s="403"/>
      <c r="M155" s="403"/>
      <c r="N155" s="403"/>
      <c r="O155" s="403"/>
      <c r="P155" s="403"/>
      <c r="Q155" s="403"/>
      <c r="R155" s="403"/>
      <c r="S155" s="403">
        <v>168</v>
      </c>
      <c r="T155" s="403">
        <v>150</v>
      </c>
      <c r="U155" s="403"/>
      <c r="V155" s="403"/>
      <c r="W155" s="403"/>
      <c r="X155" s="403"/>
      <c r="Y155" s="139"/>
    </row>
    <row r="156" spans="10:25" x14ac:dyDescent="0.35">
      <c r="J156" s="403"/>
      <c r="K156" s="403"/>
      <c r="L156" s="403"/>
      <c r="M156" s="403"/>
      <c r="N156" s="403"/>
      <c r="O156" s="403"/>
      <c r="P156" s="403"/>
      <c r="Q156" s="403"/>
      <c r="R156" s="403"/>
      <c r="S156" s="403">
        <v>169</v>
      </c>
      <c r="T156" s="403">
        <v>150</v>
      </c>
      <c r="U156" s="403"/>
      <c r="V156" s="403"/>
      <c r="W156" s="403"/>
      <c r="X156" s="403"/>
      <c r="Y156" s="139"/>
    </row>
    <row r="157" spans="10:25" x14ac:dyDescent="0.35">
      <c r="J157" s="403"/>
      <c r="K157" s="403"/>
      <c r="L157" s="403"/>
      <c r="M157" s="403"/>
      <c r="N157" s="403"/>
      <c r="O157" s="403"/>
      <c r="P157" s="403"/>
      <c r="Q157" s="403"/>
      <c r="R157" s="403"/>
      <c r="S157" s="403">
        <v>170</v>
      </c>
      <c r="T157" s="403">
        <v>150</v>
      </c>
      <c r="U157" s="403"/>
      <c r="V157" s="403"/>
      <c r="W157" s="403"/>
      <c r="X157" s="403"/>
      <c r="Y157" s="139"/>
    </row>
    <row r="158" spans="10:25" x14ac:dyDescent="0.35">
      <c r="J158" s="403"/>
      <c r="K158" s="403"/>
      <c r="L158" s="403"/>
      <c r="M158" s="403"/>
      <c r="N158" s="403"/>
      <c r="O158" s="403"/>
      <c r="P158" s="403"/>
      <c r="Q158" s="403"/>
      <c r="R158" s="403"/>
      <c r="S158" s="403">
        <v>171</v>
      </c>
      <c r="T158" s="403">
        <v>150</v>
      </c>
      <c r="U158" s="403"/>
      <c r="V158" s="403"/>
      <c r="W158" s="403"/>
      <c r="X158" s="403"/>
      <c r="Y158" s="139"/>
    </row>
    <row r="159" spans="10:25" x14ac:dyDescent="0.35">
      <c r="J159" s="403"/>
      <c r="K159" s="403"/>
      <c r="L159" s="403"/>
      <c r="M159" s="403"/>
      <c r="N159" s="403"/>
      <c r="O159" s="403"/>
      <c r="P159" s="403"/>
      <c r="Q159" s="403"/>
      <c r="R159" s="403"/>
      <c r="S159" s="403">
        <v>172</v>
      </c>
      <c r="T159" s="403">
        <v>150</v>
      </c>
      <c r="U159" s="403"/>
      <c r="V159" s="403"/>
      <c r="W159" s="403"/>
      <c r="X159" s="403"/>
      <c r="Y159" s="139"/>
    </row>
    <row r="160" spans="10:25" x14ac:dyDescent="0.35">
      <c r="J160" s="403"/>
      <c r="K160" s="403"/>
      <c r="L160" s="403"/>
      <c r="M160" s="403"/>
      <c r="N160" s="403"/>
      <c r="O160" s="403"/>
      <c r="P160" s="403"/>
      <c r="Q160" s="403"/>
      <c r="R160" s="403"/>
      <c r="S160" s="403">
        <v>173</v>
      </c>
      <c r="T160" s="403">
        <v>150</v>
      </c>
      <c r="U160" s="403"/>
      <c r="V160" s="403"/>
      <c r="W160" s="403"/>
      <c r="X160" s="403"/>
      <c r="Y160" s="139"/>
    </row>
    <row r="161" spans="10:25" x14ac:dyDescent="0.35">
      <c r="J161" s="403"/>
      <c r="K161" s="403"/>
      <c r="L161" s="403"/>
      <c r="M161" s="403"/>
      <c r="N161" s="403"/>
      <c r="O161" s="403"/>
      <c r="P161" s="403"/>
      <c r="Q161" s="403"/>
      <c r="R161" s="403"/>
      <c r="S161" s="403">
        <v>174</v>
      </c>
      <c r="T161" s="403">
        <v>150</v>
      </c>
      <c r="U161" s="403"/>
      <c r="V161" s="403"/>
      <c r="W161" s="403"/>
      <c r="X161" s="403"/>
      <c r="Y161" s="139"/>
    </row>
    <row r="162" spans="10:25" x14ac:dyDescent="0.35">
      <c r="J162" s="403"/>
      <c r="K162" s="403"/>
      <c r="L162" s="403"/>
      <c r="M162" s="403"/>
      <c r="N162" s="403"/>
      <c r="O162" s="403"/>
      <c r="P162" s="403"/>
      <c r="Q162" s="403"/>
      <c r="R162" s="403"/>
      <c r="S162" s="403">
        <v>175</v>
      </c>
      <c r="T162" s="403">
        <v>150</v>
      </c>
      <c r="U162" s="403"/>
      <c r="V162" s="403"/>
      <c r="W162" s="403"/>
      <c r="X162" s="403"/>
      <c r="Y162" s="139"/>
    </row>
    <row r="163" spans="10:25" x14ac:dyDescent="0.35">
      <c r="J163" s="403"/>
      <c r="K163" s="403"/>
      <c r="L163" s="403"/>
      <c r="M163" s="403"/>
      <c r="N163" s="403"/>
      <c r="O163" s="403"/>
      <c r="P163" s="403"/>
      <c r="Q163" s="403"/>
      <c r="R163" s="403"/>
      <c r="S163" s="403">
        <v>176</v>
      </c>
      <c r="T163" s="403">
        <v>150</v>
      </c>
      <c r="U163" s="403"/>
      <c r="V163" s="403"/>
      <c r="W163" s="403"/>
      <c r="X163" s="403"/>
      <c r="Y163" s="139"/>
    </row>
    <row r="164" spans="10:25" x14ac:dyDescent="0.35">
      <c r="J164" s="403"/>
      <c r="K164" s="403"/>
      <c r="L164" s="403"/>
      <c r="M164" s="403"/>
      <c r="N164" s="403"/>
      <c r="O164" s="403"/>
      <c r="P164" s="403"/>
      <c r="Q164" s="403"/>
      <c r="R164" s="403"/>
      <c r="S164" s="403">
        <v>177</v>
      </c>
      <c r="T164" s="403">
        <v>150</v>
      </c>
      <c r="U164" s="403"/>
      <c r="V164" s="403"/>
      <c r="W164" s="403"/>
      <c r="X164" s="403"/>
      <c r="Y164" s="139"/>
    </row>
    <row r="165" spans="10:25" x14ac:dyDescent="0.35">
      <c r="J165" s="403"/>
      <c r="K165" s="403"/>
      <c r="L165" s="403"/>
      <c r="M165" s="403"/>
      <c r="N165" s="403"/>
      <c r="O165" s="403"/>
      <c r="P165" s="403"/>
      <c r="Q165" s="403"/>
      <c r="R165" s="403"/>
      <c r="S165" s="403">
        <v>178</v>
      </c>
      <c r="T165" s="403">
        <v>150</v>
      </c>
      <c r="U165" s="403"/>
      <c r="V165" s="403"/>
      <c r="W165" s="403"/>
      <c r="X165" s="403"/>
      <c r="Y165" s="139"/>
    </row>
    <row r="166" spans="10:25" x14ac:dyDescent="0.35">
      <c r="J166" s="403"/>
      <c r="K166" s="403"/>
      <c r="L166" s="403"/>
      <c r="M166" s="403"/>
      <c r="N166" s="403"/>
      <c r="O166" s="403"/>
      <c r="P166" s="403"/>
      <c r="Q166" s="403"/>
      <c r="R166" s="403"/>
      <c r="S166" s="403">
        <v>179</v>
      </c>
      <c r="T166" s="403">
        <v>150</v>
      </c>
      <c r="U166" s="403"/>
      <c r="V166" s="403"/>
      <c r="W166" s="403"/>
      <c r="X166" s="403"/>
      <c r="Y166" s="139"/>
    </row>
    <row r="167" spans="10:25" x14ac:dyDescent="0.35">
      <c r="J167" s="403"/>
      <c r="K167" s="403"/>
      <c r="L167" s="403"/>
      <c r="M167" s="403"/>
      <c r="N167" s="403"/>
      <c r="O167" s="403"/>
      <c r="P167" s="403"/>
      <c r="Q167" s="403"/>
      <c r="R167" s="403"/>
      <c r="S167" s="403">
        <v>180</v>
      </c>
      <c r="T167" s="403">
        <v>150</v>
      </c>
      <c r="U167" s="403"/>
      <c r="V167" s="403"/>
      <c r="W167" s="403"/>
      <c r="X167" s="403"/>
      <c r="Y167" s="139"/>
    </row>
    <row r="168" spans="10:25" x14ac:dyDescent="0.35">
      <c r="J168" s="403"/>
      <c r="K168" s="403"/>
      <c r="L168" s="403"/>
      <c r="M168" s="403"/>
      <c r="N168" s="403"/>
      <c r="O168" s="403"/>
      <c r="P168" s="403"/>
      <c r="Q168" s="403"/>
      <c r="R168" s="403"/>
      <c r="S168" s="403">
        <v>181</v>
      </c>
      <c r="T168" s="403">
        <v>150</v>
      </c>
      <c r="U168" s="403"/>
      <c r="V168" s="403"/>
      <c r="W168" s="403"/>
      <c r="X168" s="403"/>
      <c r="Y168" s="139"/>
    </row>
    <row r="169" spans="10:25" x14ac:dyDescent="0.35">
      <c r="J169" s="403"/>
      <c r="K169" s="403"/>
      <c r="L169" s="403"/>
      <c r="M169" s="403"/>
      <c r="N169" s="403"/>
      <c r="O169" s="403"/>
      <c r="P169" s="403"/>
      <c r="Q169" s="403"/>
      <c r="R169" s="403"/>
      <c r="S169" s="403">
        <v>182</v>
      </c>
      <c r="T169" s="403">
        <v>150</v>
      </c>
      <c r="U169" s="403"/>
      <c r="V169" s="403"/>
      <c r="W169" s="403"/>
      <c r="X169" s="403"/>
      <c r="Y169" s="139"/>
    </row>
    <row r="170" spans="10:25" x14ac:dyDescent="0.35">
      <c r="J170" s="403"/>
      <c r="K170" s="403"/>
      <c r="L170" s="403"/>
      <c r="M170" s="403"/>
      <c r="N170" s="403"/>
      <c r="O170" s="403"/>
      <c r="P170" s="403"/>
      <c r="Q170" s="403"/>
      <c r="R170" s="403"/>
      <c r="S170" s="403">
        <v>183</v>
      </c>
      <c r="T170" s="403">
        <v>150</v>
      </c>
      <c r="U170" s="403"/>
      <c r="V170" s="403"/>
      <c r="W170" s="403"/>
      <c r="X170" s="403"/>
      <c r="Y170" s="139"/>
    </row>
    <row r="171" spans="10:25" x14ac:dyDescent="0.35">
      <c r="J171" s="403"/>
      <c r="K171" s="403"/>
      <c r="L171" s="403"/>
      <c r="M171" s="403"/>
      <c r="N171" s="403"/>
      <c r="O171" s="403"/>
      <c r="P171" s="403"/>
      <c r="Q171" s="403"/>
      <c r="R171" s="403"/>
      <c r="S171" s="403">
        <v>184</v>
      </c>
      <c r="T171" s="403">
        <v>150</v>
      </c>
      <c r="U171" s="403"/>
      <c r="V171" s="403"/>
      <c r="W171" s="403"/>
      <c r="X171" s="403"/>
      <c r="Y171" s="139"/>
    </row>
    <row r="172" spans="10:25" x14ac:dyDescent="0.35">
      <c r="J172" s="403"/>
      <c r="K172" s="403"/>
      <c r="L172" s="403"/>
      <c r="M172" s="403"/>
      <c r="N172" s="403"/>
      <c r="O172" s="403"/>
      <c r="P172" s="403"/>
      <c r="Q172" s="403"/>
      <c r="R172" s="403"/>
      <c r="S172" s="403">
        <v>185</v>
      </c>
      <c r="T172" s="403">
        <v>150</v>
      </c>
      <c r="U172" s="403"/>
      <c r="V172" s="403"/>
      <c r="W172" s="403"/>
      <c r="X172" s="403"/>
      <c r="Y172" s="139"/>
    </row>
    <row r="173" spans="10:25" x14ac:dyDescent="0.35">
      <c r="J173" s="403"/>
      <c r="K173" s="403"/>
      <c r="L173" s="403"/>
      <c r="M173" s="403"/>
      <c r="N173" s="403"/>
      <c r="O173" s="403"/>
      <c r="P173" s="403"/>
      <c r="Q173" s="403"/>
      <c r="R173" s="403"/>
      <c r="S173" s="403">
        <v>186</v>
      </c>
      <c r="T173" s="403">
        <v>150</v>
      </c>
      <c r="U173" s="403"/>
      <c r="V173" s="403"/>
      <c r="W173" s="403"/>
      <c r="X173" s="403"/>
      <c r="Y173" s="139"/>
    </row>
    <row r="174" spans="10:25" x14ac:dyDescent="0.35">
      <c r="J174" s="403"/>
      <c r="K174" s="403"/>
      <c r="L174" s="403"/>
      <c r="M174" s="403"/>
      <c r="N174" s="403"/>
      <c r="O174" s="403"/>
      <c r="P174" s="403"/>
      <c r="Q174" s="403"/>
      <c r="R174" s="403"/>
      <c r="S174" s="403">
        <v>187</v>
      </c>
      <c r="T174" s="403">
        <v>150</v>
      </c>
      <c r="U174" s="403"/>
      <c r="V174" s="403"/>
      <c r="W174" s="403"/>
      <c r="X174" s="403"/>
      <c r="Y174" s="139"/>
    </row>
    <row r="175" spans="10:25" x14ac:dyDescent="0.35">
      <c r="J175" s="403"/>
      <c r="K175" s="403"/>
      <c r="L175" s="403"/>
      <c r="M175" s="403"/>
      <c r="N175" s="403"/>
      <c r="O175" s="403"/>
      <c r="P175" s="403"/>
      <c r="Q175" s="403"/>
      <c r="R175" s="403"/>
      <c r="S175" s="403">
        <v>188</v>
      </c>
      <c r="T175" s="403">
        <v>150</v>
      </c>
      <c r="U175" s="403"/>
      <c r="V175" s="403"/>
      <c r="W175" s="403"/>
      <c r="X175" s="403"/>
      <c r="Y175" s="139"/>
    </row>
    <row r="176" spans="10:25" x14ac:dyDescent="0.35">
      <c r="J176" s="403"/>
      <c r="K176" s="403"/>
      <c r="L176" s="403"/>
      <c r="M176" s="403"/>
      <c r="N176" s="403"/>
      <c r="O176" s="403"/>
      <c r="P176" s="403"/>
      <c r="Q176" s="403"/>
      <c r="R176" s="403"/>
      <c r="S176" s="403">
        <v>189</v>
      </c>
      <c r="T176" s="403">
        <v>150</v>
      </c>
      <c r="U176" s="403"/>
      <c r="V176" s="403"/>
      <c r="W176" s="403"/>
      <c r="X176" s="403"/>
      <c r="Y176" s="139"/>
    </row>
    <row r="177" spans="10:25" x14ac:dyDescent="0.35">
      <c r="J177" s="403"/>
      <c r="K177" s="403"/>
      <c r="L177" s="403"/>
      <c r="M177" s="403"/>
      <c r="N177" s="403"/>
      <c r="O177" s="403"/>
      <c r="P177" s="403"/>
      <c r="Q177" s="403"/>
      <c r="R177" s="403"/>
      <c r="S177" s="403">
        <v>190</v>
      </c>
      <c r="T177" s="403">
        <v>150</v>
      </c>
      <c r="U177" s="403"/>
      <c r="V177" s="403"/>
      <c r="W177" s="403"/>
      <c r="X177" s="403"/>
      <c r="Y177" s="139"/>
    </row>
    <row r="178" spans="10:25" x14ac:dyDescent="0.35">
      <c r="J178" s="403"/>
      <c r="K178" s="403"/>
      <c r="L178" s="403"/>
      <c r="M178" s="403"/>
      <c r="N178" s="403"/>
      <c r="O178" s="403"/>
      <c r="P178" s="403"/>
      <c r="Q178" s="403"/>
      <c r="R178" s="403"/>
      <c r="S178" s="403">
        <v>191</v>
      </c>
      <c r="T178" s="403">
        <v>150</v>
      </c>
      <c r="U178" s="403"/>
      <c r="V178" s="403"/>
      <c r="W178" s="403"/>
      <c r="X178" s="403"/>
      <c r="Y178" s="139"/>
    </row>
    <row r="179" spans="10:25" x14ac:dyDescent="0.35">
      <c r="J179" s="403"/>
      <c r="K179" s="403"/>
      <c r="L179" s="403"/>
      <c r="M179" s="403"/>
      <c r="N179" s="403"/>
      <c r="O179" s="403"/>
      <c r="P179" s="403"/>
      <c r="Q179" s="403"/>
      <c r="R179" s="403"/>
      <c r="S179" s="403">
        <v>192</v>
      </c>
      <c r="T179" s="403">
        <v>150</v>
      </c>
      <c r="U179" s="403"/>
      <c r="V179" s="403"/>
      <c r="W179" s="403"/>
      <c r="X179" s="403"/>
      <c r="Y179" s="139"/>
    </row>
    <row r="180" spans="10:25" x14ac:dyDescent="0.35">
      <c r="J180" s="403"/>
      <c r="K180" s="403"/>
      <c r="L180" s="403"/>
      <c r="M180" s="403"/>
      <c r="N180" s="403"/>
      <c r="O180" s="403"/>
      <c r="P180" s="403"/>
      <c r="Q180" s="403"/>
      <c r="R180" s="403"/>
      <c r="S180" s="403">
        <v>193</v>
      </c>
      <c r="T180" s="403">
        <v>150</v>
      </c>
      <c r="U180" s="403"/>
      <c r="V180" s="403"/>
      <c r="W180" s="403"/>
      <c r="X180" s="403"/>
      <c r="Y180" s="139"/>
    </row>
    <row r="181" spans="10:25" x14ac:dyDescent="0.35">
      <c r="J181" s="403"/>
      <c r="K181" s="403"/>
      <c r="L181" s="403"/>
      <c r="M181" s="403"/>
      <c r="N181" s="403"/>
      <c r="O181" s="403"/>
      <c r="P181" s="403"/>
      <c r="Q181" s="403"/>
      <c r="R181" s="403"/>
      <c r="S181" s="403">
        <v>194</v>
      </c>
      <c r="T181" s="403">
        <v>150</v>
      </c>
      <c r="U181" s="403"/>
      <c r="V181" s="403"/>
      <c r="W181" s="403"/>
      <c r="X181" s="403"/>
      <c r="Y181" s="139"/>
    </row>
    <row r="182" spans="10:25" x14ac:dyDescent="0.35">
      <c r="J182" s="403"/>
      <c r="K182" s="403"/>
      <c r="L182" s="403"/>
      <c r="M182" s="403"/>
      <c r="N182" s="403"/>
      <c r="O182" s="403"/>
      <c r="P182" s="403"/>
      <c r="Q182" s="403"/>
      <c r="R182" s="403"/>
      <c r="S182" s="403">
        <v>195</v>
      </c>
      <c r="T182" s="403">
        <v>150</v>
      </c>
      <c r="U182" s="403"/>
      <c r="V182" s="403"/>
      <c r="W182" s="403"/>
      <c r="X182" s="403"/>
      <c r="Y182" s="139"/>
    </row>
    <row r="183" spans="10:25" x14ac:dyDescent="0.35">
      <c r="J183" s="403"/>
      <c r="K183" s="403"/>
      <c r="L183" s="403"/>
      <c r="M183" s="403"/>
      <c r="N183" s="403"/>
      <c r="O183" s="403"/>
      <c r="P183" s="403"/>
      <c r="Q183" s="403"/>
      <c r="R183" s="403"/>
      <c r="S183" s="403">
        <v>196</v>
      </c>
      <c r="T183" s="403">
        <v>150</v>
      </c>
      <c r="U183" s="403"/>
      <c r="V183" s="403"/>
      <c r="W183" s="403"/>
      <c r="X183" s="403"/>
      <c r="Y183" s="139"/>
    </row>
    <row r="184" spans="10:25" x14ac:dyDescent="0.35">
      <c r="J184" s="403"/>
      <c r="K184" s="403"/>
      <c r="L184" s="403"/>
      <c r="M184" s="403"/>
      <c r="N184" s="403"/>
      <c r="O184" s="403"/>
      <c r="P184" s="403"/>
      <c r="Q184" s="403"/>
      <c r="R184" s="403"/>
      <c r="S184" s="403">
        <v>197</v>
      </c>
      <c r="T184" s="403">
        <v>150</v>
      </c>
      <c r="U184" s="403"/>
      <c r="V184" s="403"/>
      <c r="W184" s="403"/>
      <c r="X184" s="403"/>
      <c r="Y184" s="139"/>
    </row>
    <row r="185" spans="10:25" x14ac:dyDescent="0.35">
      <c r="J185" s="403"/>
      <c r="K185" s="403"/>
      <c r="L185" s="403"/>
      <c r="M185" s="403"/>
      <c r="N185" s="403"/>
      <c r="O185" s="403"/>
      <c r="P185" s="403"/>
      <c r="Q185" s="403"/>
      <c r="R185" s="403"/>
      <c r="S185" s="403">
        <v>198</v>
      </c>
      <c r="T185" s="403">
        <v>150</v>
      </c>
      <c r="U185" s="403"/>
      <c r="V185" s="403"/>
      <c r="W185" s="403"/>
      <c r="X185" s="403"/>
      <c r="Y185" s="139"/>
    </row>
    <row r="186" spans="10:25" x14ac:dyDescent="0.35">
      <c r="J186" s="403"/>
      <c r="K186" s="403"/>
      <c r="L186" s="403"/>
      <c r="M186" s="403"/>
      <c r="N186" s="403"/>
      <c r="O186" s="403"/>
      <c r="P186" s="403"/>
      <c r="Q186" s="403"/>
      <c r="R186" s="403"/>
      <c r="S186" s="403">
        <v>199</v>
      </c>
      <c r="T186" s="403">
        <v>150</v>
      </c>
      <c r="U186" s="403"/>
      <c r="V186" s="403"/>
      <c r="W186" s="403"/>
      <c r="X186" s="403"/>
      <c r="Y186" s="139"/>
    </row>
    <row r="187" spans="10:25" x14ac:dyDescent="0.35">
      <c r="J187" s="403"/>
      <c r="K187" s="403"/>
      <c r="L187" s="403"/>
      <c r="M187" s="403"/>
      <c r="N187" s="403"/>
      <c r="O187" s="403"/>
      <c r="P187" s="403"/>
      <c r="Q187" s="403"/>
      <c r="R187" s="403"/>
      <c r="S187" s="403">
        <v>200</v>
      </c>
      <c r="T187" s="403">
        <v>150</v>
      </c>
      <c r="U187" s="403">
        <v>200</v>
      </c>
      <c r="V187" s="403"/>
      <c r="W187" s="403"/>
      <c r="X187" s="403"/>
      <c r="Y187" s="139"/>
    </row>
    <row r="188" spans="10:25" x14ac:dyDescent="0.35">
      <c r="J188" s="403"/>
      <c r="K188" s="403"/>
      <c r="L188" s="403"/>
      <c r="M188" s="403"/>
      <c r="N188" s="403"/>
      <c r="O188" s="403"/>
      <c r="P188" s="403"/>
      <c r="Q188" s="403"/>
      <c r="R188" s="403"/>
      <c r="S188" s="403">
        <v>201</v>
      </c>
      <c r="T188" s="403">
        <v>150</v>
      </c>
      <c r="U188" s="403"/>
      <c r="V188" s="403"/>
      <c r="W188" s="403"/>
      <c r="X188" s="403"/>
      <c r="Y188" s="139"/>
    </row>
    <row r="189" spans="10:25" x14ac:dyDescent="0.35">
      <c r="J189" s="403"/>
      <c r="K189" s="403"/>
      <c r="L189" s="403"/>
      <c r="M189" s="403"/>
      <c r="N189" s="403"/>
      <c r="O189" s="403"/>
      <c r="P189" s="403"/>
      <c r="Q189" s="403"/>
      <c r="R189" s="403"/>
      <c r="S189" s="403">
        <v>202</v>
      </c>
      <c r="T189" s="403">
        <v>150</v>
      </c>
      <c r="U189" s="403"/>
      <c r="V189" s="403"/>
      <c r="W189" s="403"/>
      <c r="X189" s="403"/>
      <c r="Y189" s="139"/>
    </row>
    <row r="190" spans="10:25" x14ac:dyDescent="0.35">
      <c r="J190" s="403"/>
      <c r="K190" s="403"/>
      <c r="L190" s="403"/>
      <c r="M190" s="403"/>
      <c r="N190" s="403"/>
      <c r="O190" s="403"/>
      <c r="P190" s="403"/>
      <c r="Q190" s="403"/>
      <c r="R190" s="403"/>
      <c r="S190" s="403">
        <v>203</v>
      </c>
      <c r="T190" s="403">
        <v>150</v>
      </c>
      <c r="U190" s="403"/>
      <c r="V190" s="403"/>
      <c r="W190" s="403"/>
      <c r="X190" s="403"/>
      <c r="Y190" s="139"/>
    </row>
    <row r="191" spans="10:25" x14ac:dyDescent="0.35">
      <c r="J191" s="403"/>
      <c r="K191" s="403"/>
      <c r="L191" s="403"/>
      <c r="M191" s="403"/>
      <c r="N191" s="403"/>
      <c r="O191" s="403"/>
      <c r="P191" s="403"/>
      <c r="Q191" s="403"/>
      <c r="R191" s="403"/>
      <c r="S191" s="403">
        <v>204</v>
      </c>
      <c r="T191" s="403">
        <v>150</v>
      </c>
      <c r="U191" s="403"/>
      <c r="V191" s="403"/>
      <c r="W191" s="403"/>
      <c r="X191" s="403"/>
      <c r="Y191" s="139"/>
    </row>
    <row r="192" spans="10:25" x14ac:dyDescent="0.35">
      <c r="J192" s="403"/>
      <c r="K192" s="403"/>
      <c r="L192" s="403"/>
      <c r="M192" s="403"/>
      <c r="N192" s="403"/>
      <c r="O192" s="403"/>
      <c r="P192" s="403"/>
      <c r="Q192" s="403"/>
      <c r="R192" s="403"/>
      <c r="S192" s="403">
        <v>205</v>
      </c>
      <c r="T192" s="403">
        <v>150</v>
      </c>
      <c r="U192" s="403"/>
      <c r="V192" s="403"/>
      <c r="W192" s="403"/>
      <c r="X192" s="403"/>
      <c r="Y192" s="139"/>
    </row>
    <row r="193" spans="10:25" x14ac:dyDescent="0.35">
      <c r="J193" s="403"/>
      <c r="K193" s="403"/>
      <c r="L193" s="403"/>
      <c r="M193" s="403"/>
      <c r="N193" s="403"/>
      <c r="O193" s="403"/>
      <c r="P193" s="403"/>
      <c r="Q193" s="403"/>
      <c r="R193" s="403"/>
      <c r="S193" s="403">
        <v>206</v>
      </c>
      <c r="T193" s="403">
        <v>150</v>
      </c>
      <c r="U193" s="403"/>
      <c r="V193" s="403"/>
      <c r="W193" s="403"/>
      <c r="X193" s="403"/>
      <c r="Y193" s="139"/>
    </row>
    <row r="194" spans="10:25" x14ac:dyDescent="0.35">
      <c r="J194" s="403"/>
      <c r="K194" s="403"/>
      <c r="L194" s="403"/>
      <c r="M194" s="403"/>
      <c r="N194" s="403"/>
      <c r="O194" s="403"/>
      <c r="P194" s="403"/>
      <c r="Q194" s="403"/>
      <c r="R194" s="403"/>
      <c r="S194" s="403">
        <v>207</v>
      </c>
      <c r="T194" s="403">
        <v>150</v>
      </c>
      <c r="U194" s="403"/>
      <c r="V194" s="403"/>
      <c r="W194" s="403"/>
      <c r="X194" s="403"/>
      <c r="Y194" s="139"/>
    </row>
    <row r="195" spans="10:25" x14ac:dyDescent="0.35">
      <c r="J195" s="403"/>
      <c r="K195" s="403"/>
      <c r="L195" s="403"/>
      <c r="M195" s="403"/>
      <c r="N195" s="403"/>
      <c r="O195" s="403"/>
      <c r="P195" s="403"/>
      <c r="Q195" s="403"/>
      <c r="R195" s="403"/>
      <c r="S195" s="403">
        <v>208</v>
      </c>
      <c r="T195" s="403">
        <v>150</v>
      </c>
      <c r="U195" s="403"/>
      <c r="V195" s="403"/>
      <c r="W195" s="403"/>
      <c r="X195" s="403"/>
      <c r="Y195" s="139"/>
    </row>
    <row r="196" spans="10:25" x14ac:dyDescent="0.35">
      <c r="J196" s="403"/>
      <c r="K196" s="403"/>
      <c r="L196" s="403"/>
      <c r="M196" s="403"/>
      <c r="N196" s="403"/>
      <c r="O196" s="403"/>
      <c r="P196" s="403"/>
      <c r="Q196" s="403"/>
      <c r="R196" s="403"/>
      <c r="S196" s="403">
        <v>209</v>
      </c>
      <c r="T196" s="403">
        <v>150</v>
      </c>
      <c r="U196" s="403"/>
      <c r="V196" s="403"/>
      <c r="W196" s="403"/>
      <c r="X196" s="403"/>
      <c r="Y196" s="139"/>
    </row>
    <row r="197" spans="10:25" x14ac:dyDescent="0.35">
      <c r="J197" s="403"/>
      <c r="K197" s="403"/>
      <c r="L197" s="403"/>
      <c r="M197" s="403"/>
      <c r="N197" s="403"/>
      <c r="O197" s="403"/>
      <c r="P197" s="403"/>
      <c r="Q197" s="403"/>
      <c r="R197" s="403"/>
      <c r="S197" s="403">
        <v>210</v>
      </c>
      <c r="T197" s="403">
        <v>150</v>
      </c>
      <c r="U197" s="403"/>
      <c r="V197" s="403"/>
      <c r="W197" s="403"/>
      <c r="X197" s="403"/>
      <c r="Y197" s="139"/>
    </row>
    <row r="198" spans="10:25" x14ac:dyDescent="0.35">
      <c r="J198" s="403"/>
      <c r="K198" s="403"/>
      <c r="L198" s="403"/>
      <c r="M198" s="403"/>
      <c r="N198" s="403"/>
      <c r="O198" s="403"/>
      <c r="P198" s="403"/>
      <c r="Q198" s="403"/>
      <c r="R198" s="403"/>
      <c r="S198" s="403">
        <v>211</v>
      </c>
      <c r="T198" s="403">
        <v>150</v>
      </c>
      <c r="U198" s="403"/>
      <c r="V198" s="403"/>
      <c r="W198" s="403"/>
      <c r="X198" s="403"/>
      <c r="Y198" s="139"/>
    </row>
    <row r="199" spans="10:25" x14ac:dyDescent="0.35">
      <c r="J199" s="403"/>
      <c r="K199" s="403"/>
      <c r="L199" s="403"/>
      <c r="M199" s="403"/>
      <c r="N199" s="403"/>
      <c r="O199" s="403"/>
      <c r="P199" s="403"/>
      <c r="Q199" s="403"/>
      <c r="R199" s="403"/>
      <c r="S199" s="403">
        <v>212</v>
      </c>
      <c r="T199" s="403">
        <v>150</v>
      </c>
      <c r="U199" s="403"/>
      <c r="V199" s="403"/>
      <c r="W199" s="403"/>
      <c r="X199" s="403"/>
      <c r="Y199" s="139"/>
    </row>
    <row r="200" spans="10:25" x14ac:dyDescent="0.35">
      <c r="J200" s="403"/>
      <c r="K200" s="403"/>
      <c r="L200" s="403"/>
      <c r="M200" s="403"/>
      <c r="N200" s="403"/>
      <c r="O200" s="403"/>
      <c r="P200" s="403"/>
      <c r="Q200" s="403"/>
      <c r="R200" s="403"/>
      <c r="S200" s="403">
        <v>213</v>
      </c>
      <c r="T200" s="403">
        <v>150</v>
      </c>
      <c r="U200" s="403"/>
      <c r="V200" s="403"/>
      <c r="W200" s="403"/>
      <c r="X200" s="403"/>
      <c r="Y200" s="139"/>
    </row>
    <row r="201" spans="10:25" x14ac:dyDescent="0.35">
      <c r="J201" s="403"/>
      <c r="K201" s="403"/>
      <c r="L201" s="403"/>
      <c r="M201" s="403"/>
      <c r="N201" s="403"/>
      <c r="O201" s="403"/>
      <c r="P201" s="403"/>
      <c r="Q201" s="403"/>
      <c r="R201" s="403"/>
      <c r="S201" s="403">
        <v>214</v>
      </c>
      <c r="T201" s="403">
        <v>150</v>
      </c>
      <c r="U201" s="403"/>
      <c r="V201" s="403"/>
      <c r="W201" s="403"/>
      <c r="X201" s="403"/>
      <c r="Y201" s="139"/>
    </row>
    <row r="202" spans="10:25" x14ac:dyDescent="0.35">
      <c r="J202" s="403"/>
      <c r="K202" s="403"/>
      <c r="L202" s="403"/>
      <c r="M202" s="403"/>
      <c r="N202" s="403"/>
      <c r="O202" s="403"/>
      <c r="P202" s="403"/>
      <c r="Q202" s="403"/>
      <c r="R202" s="403"/>
      <c r="S202" s="403">
        <v>215</v>
      </c>
      <c r="T202" s="403">
        <v>150</v>
      </c>
      <c r="U202" s="403"/>
      <c r="V202" s="403"/>
      <c r="W202" s="403"/>
      <c r="X202" s="403"/>
      <c r="Y202" s="139"/>
    </row>
    <row r="203" spans="10:25" x14ac:dyDescent="0.35">
      <c r="J203" s="403"/>
      <c r="K203" s="403"/>
      <c r="L203" s="403"/>
      <c r="M203" s="403"/>
      <c r="N203" s="403"/>
      <c r="O203" s="403"/>
      <c r="P203" s="403"/>
      <c r="Q203" s="403"/>
      <c r="R203" s="403"/>
      <c r="S203" s="403">
        <v>216</v>
      </c>
      <c r="T203" s="403">
        <v>150</v>
      </c>
      <c r="U203" s="403"/>
      <c r="V203" s="403"/>
      <c r="W203" s="403"/>
      <c r="X203" s="403"/>
      <c r="Y203" s="139"/>
    </row>
    <row r="204" spans="10:25" x14ac:dyDescent="0.35">
      <c r="J204" s="403"/>
      <c r="K204" s="403"/>
      <c r="L204" s="403"/>
      <c r="M204" s="403"/>
      <c r="N204" s="403"/>
      <c r="O204" s="403"/>
      <c r="P204" s="403"/>
      <c r="Q204" s="403"/>
      <c r="R204" s="403"/>
      <c r="S204" s="403">
        <v>217</v>
      </c>
      <c r="T204" s="403">
        <v>150</v>
      </c>
      <c r="U204" s="403"/>
      <c r="V204" s="403"/>
      <c r="W204" s="403"/>
      <c r="X204" s="403"/>
      <c r="Y204" s="139"/>
    </row>
    <row r="205" spans="10:25" x14ac:dyDescent="0.35">
      <c r="J205" s="403"/>
      <c r="K205" s="403"/>
      <c r="L205" s="403"/>
      <c r="M205" s="403"/>
      <c r="N205" s="403"/>
      <c r="O205" s="403"/>
      <c r="P205" s="403"/>
      <c r="Q205" s="403"/>
      <c r="R205" s="403"/>
      <c r="S205" s="403">
        <v>218</v>
      </c>
      <c r="T205" s="403">
        <v>150</v>
      </c>
      <c r="U205" s="403"/>
      <c r="V205" s="403"/>
      <c r="W205" s="403"/>
      <c r="X205" s="403"/>
      <c r="Y205" s="139"/>
    </row>
    <row r="206" spans="10:25" x14ac:dyDescent="0.35">
      <c r="J206" s="403"/>
      <c r="K206" s="403"/>
      <c r="L206" s="403"/>
      <c r="M206" s="403"/>
      <c r="N206" s="403"/>
      <c r="O206" s="403"/>
      <c r="P206" s="403"/>
      <c r="Q206" s="403"/>
      <c r="R206" s="403"/>
      <c r="S206" s="403">
        <v>219</v>
      </c>
      <c r="T206" s="403">
        <v>150</v>
      </c>
      <c r="U206" s="403"/>
      <c r="V206" s="403"/>
      <c r="W206" s="403"/>
      <c r="X206" s="403"/>
      <c r="Y206" s="139"/>
    </row>
    <row r="207" spans="10:25" x14ac:dyDescent="0.35">
      <c r="J207" s="403"/>
      <c r="K207" s="403"/>
      <c r="L207" s="403"/>
      <c r="M207" s="403"/>
      <c r="N207" s="403"/>
      <c r="O207" s="403"/>
      <c r="P207" s="403"/>
      <c r="Q207" s="403"/>
      <c r="R207" s="403"/>
      <c r="S207" s="403">
        <v>220</v>
      </c>
      <c r="T207" s="403">
        <v>150</v>
      </c>
      <c r="U207" s="403"/>
      <c r="V207" s="403"/>
      <c r="W207" s="403"/>
      <c r="X207" s="403"/>
      <c r="Y207" s="139"/>
    </row>
    <row r="208" spans="10:25" x14ac:dyDescent="0.35">
      <c r="J208" s="403"/>
      <c r="K208" s="403"/>
      <c r="L208" s="403"/>
      <c r="M208" s="403"/>
      <c r="N208" s="403"/>
      <c r="O208" s="403"/>
      <c r="P208" s="403"/>
      <c r="Q208" s="403"/>
      <c r="R208" s="403"/>
      <c r="S208" s="403">
        <v>221</v>
      </c>
      <c r="T208" s="403">
        <v>150</v>
      </c>
      <c r="U208" s="403"/>
      <c r="V208" s="403"/>
      <c r="W208" s="403"/>
      <c r="X208" s="403"/>
      <c r="Y208" s="139"/>
    </row>
    <row r="209" spans="10:25" x14ac:dyDescent="0.35">
      <c r="J209" s="403"/>
      <c r="K209" s="403"/>
      <c r="L209" s="403"/>
      <c r="M209" s="403"/>
      <c r="N209" s="403"/>
      <c r="O209" s="403"/>
      <c r="P209" s="403"/>
      <c r="Q209" s="403"/>
      <c r="R209" s="403"/>
      <c r="S209" s="403">
        <v>222</v>
      </c>
      <c r="T209" s="403">
        <v>150</v>
      </c>
      <c r="U209" s="403"/>
      <c r="V209" s="403"/>
      <c r="W209" s="403"/>
      <c r="X209" s="403"/>
      <c r="Y209" s="139"/>
    </row>
    <row r="210" spans="10:25" x14ac:dyDescent="0.35">
      <c r="J210" s="403"/>
      <c r="K210" s="403"/>
      <c r="L210" s="403"/>
      <c r="M210" s="403"/>
      <c r="N210" s="403"/>
      <c r="O210" s="403"/>
      <c r="P210" s="403"/>
      <c r="Q210" s="403"/>
      <c r="R210" s="403"/>
      <c r="S210" s="403">
        <v>223</v>
      </c>
      <c r="T210" s="403">
        <v>150</v>
      </c>
      <c r="U210" s="403"/>
      <c r="V210" s="403"/>
      <c r="W210" s="403"/>
      <c r="X210" s="403"/>
      <c r="Y210" s="139"/>
    </row>
    <row r="211" spans="10:25" x14ac:dyDescent="0.35">
      <c r="J211" s="403"/>
      <c r="K211" s="403"/>
      <c r="L211" s="403"/>
      <c r="M211" s="403"/>
      <c r="N211" s="403"/>
      <c r="O211" s="403"/>
      <c r="P211" s="403"/>
      <c r="Q211" s="403"/>
      <c r="R211" s="403"/>
      <c r="S211" s="403">
        <v>224</v>
      </c>
      <c r="T211" s="403">
        <v>150</v>
      </c>
      <c r="U211" s="403"/>
      <c r="V211" s="403"/>
      <c r="W211" s="403"/>
      <c r="X211" s="403"/>
      <c r="Y211" s="139"/>
    </row>
    <row r="212" spans="10:25" x14ac:dyDescent="0.35">
      <c r="J212" s="403"/>
      <c r="K212" s="403"/>
      <c r="L212" s="403"/>
      <c r="M212" s="403"/>
      <c r="N212" s="403"/>
      <c r="O212" s="403"/>
      <c r="P212" s="403"/>
      <c r="Q212" s="403"/>
      <c r="R212" s="403"/>
      <c r="S212" s="403">
        <v>225</v>
      </c>
      <c r="T212" s="403">
        <v>150</v>
      </c>
      <c r="U212" s="403"/>
      <c r="V212" s="403"/>
      <c r="W212" s="403"/>
      <c r="X212" s="403"/>
      <c r="Y212" s="139"/>
    </row>
    <row r="213" spans="10:25" x14ac:dyDescent="0.35">
      <c r="J213" s="403"/>
      <c r="K213" s="403"/>
      <c r="L213" s="403"/>
      <c r="M213" s="403"/>
      <c r="N213" s="403"/>
      <c r="O213" s="403"/>
      <c r="P213" s="403"/>
      <c r="Q213" s="403"/>
      <c r="R213" s="403"/>
      <c r="S213" s="403">
        <v>226</v>
      </c>
      <c r="T213" s="403">
        <v>150</v>
      </c>
      <c r="U213" s="403"/>
      <c r="V213" s="403"/>
      <c r="W213" s="403"/>
      <c r="X213" s="403"/>
      <c r="Y213" s="139"/>
    </row>
    <row r="214" spans="10:25" x14ac:dyDescent="0.35">
      <c r="J214" s="403"/>
      <c r="K214" s="403"/>
      <c r="L214" s="403"/>
      <c r="M214" s="403"/>
      <c r="N214" s="403"/>
      <c r="O214" s="403"/>
      <c r="P214" s="403"/>
      <c r="Q214" s="403"/>
      <c r="R214" s="403"/>
      <c r="S214" s="403">
        <v>227</v>
      </c>
      <c r="T214" s="403">
        <v>150</v>
      </c>
      <c r="U214" s="403"/>
      <c r="V214" s="403"/>
      <c r="W214" s="403"/>
      <c r="X214" s="403"/>
      <c r="Y214" s="139"/>
    </row>
    <row r="215" spans="10:25" x14ac:dyDescent="0.35">
      <c r="J215" s="403"/>
      <c r="K215" s="403"/>
      <c r="L215" s="403"/>
      <c r="M215" s="403"/>
      <c r="N215" s="403"/>
      <c r="O215" s="403"/>
      <c r="P215" s="403"/>
      <c r="Q215" s="403"/>
      <c r="R215" s="403"/>
      <c r="S215" s="403">
        <v>228</v>
      </c>
      <c r="T215" s="403">
        <v>150</v>
      </c>
      <c r="U215" s="403"/>
      <c r="V215" s="403"/>
      <c r="W215" s="403"/>
      <c r="X215" s="403"/>
      <c r="Y215" s="139"/>
    </row>
    <row r="216" spans="10:25" x14ac:dyDescent="0.35">
      <c r="J216" s="403"/>
      <c r="K216" s="403"/>
      <c r="L216" s="403"/>
      <c r="M216" s="403"/>
      <c r="N216" s="403"/>
      <c r="O216" s="403"/>
      <c r="P216" s="403"/>
      <c r="Q216" s="403"/>
      <c r="R216" s="403"/>
      <c r="S216" s="403">
        <v>229</v>
      </c>
      <c r="T216" s="403">
        <v>150</v>
      </c>
      <c r="U216" s="403"/>
      <c r="V216" s="403"/>
      <c r="W216" s="403"/>
      <c r="X216" s="403"/>
      <c r="Y216" s="139"/>
    </row>
    <row r="217" spans="10:25" x14ac:dyDescent="0.35">
      <c r="J217" s="403"/>
      <c r="K217" s="403"/>
      <c r="L217" s="403"/>
      <c r="M217" s="403"/>
      <c r="N217" s="403"/>
      <c r="O217" s="403"/>
      <c r="P217" s="403"/>
      <c r="Q217" s="403"/>
      <c r="R217" s="403"/>
      <c r="S217" s="403">
        <v>230</v>
      </c>
      <c r="T217" s="403">
        <v>150</v>
      </c>
      <c r="U217" s="403"/>
      <c r="V217" s="403"/>
      <c r="W217" s="403"/>
      <c r="X217" s="403"/>
      <c r="Y217" s="139"/>
    </row>
    <row r="218" spans="10:25" x14ac:dyDescent="0.35">
      <c r="J218" s="403"/>
      <c r="K218" s="403"/>
      <c r="L218" s="403"/>
      <c r="M218" s="403"/>
      <c r="N218" s="403"/>
      <c r="O218" s="403"/>
      <c r="P218" s="403"/>
      <c r="Q218" s="403"/>
      <c r="R218" s="403"/>
      <c r="S218" s="403">
        <v>231</v>
      </c>
      <c r="T218" s="403">
        <v>150</v>
      </c>
      <c r="U218" s="403"/>
      <c r="V218" s="403"/>
      <c r="W218" s="403"/>
      <c r="X218" s="403"/>
      <c r="Y218" s="139"/>
    </row>
    <row r="219" spans="10:25" x14ac:dyDescent="0.35">
      <c r="J219" s="403"/>
      <c r="K219" s="403"/>
      <c r="L219" s="403"/>
      <c r="M219" s="403"/>
      <c r="N219" s="403"/>
      <c r="O219" s="403"/>
      <c r="P219" s="403"/>
      <c r="Q219" s="403"/>
      <c r="R219" s="403"/>
      <c r="S219" s="403">
        <v>232</v>
      </c>
      <c r="T219" s="403">
        <v>150</v>
      </c>
      <c r="U219" s="403"/>
      <c r="V219" s="403"/>
      <c r="W219" s="403"/>
      <c r="X219" s="403"/>
      <c r="Y219" s="139"/>
    </row>
    <row r="220" spans="10:25" x14ac:dyDescent="0.35">
      <c r="J220" s="403"/>
      <c r="K220" s="403"/>
      <c r="L220" s="403"/>
      <c r="M220" s="403"/>
      <c r="N220" s="403"/>
      <c r="O220" s="403"/>
      <c r="P220" s="403"/>
      <c r="Q220" s="403"/>
      <c r="R220" s="403"/>
      <c r="S220" s="403">
        <v>233</v>
      </c>
      <c r="T220" s="403">
        <v>150</v>
      </c>
      <c r="U220" s="403"/>
      <c r="V220" s="403"/>
      <c r="W220" s="403"/>
      <c r="X220" s="403"/>
      <c r="Y220" s="139"/>
    </row>
    <row r="221" spans="10:25" x14ac:dyDescent="0.35">
      <c r="J221" s="403"/>
      <c r="K221" s="403"/>
      <c r="L221" s="403"/>
      <c r="M221" s="403"/>
      <c r="N221" s="403"/>
      <c r="O221" s="403"/>
      <c r="P221" s="403"/>
      <c r="Q221" s="403"/>
      <c r="R221" s="403"/>
      <c r="S221" s="403">
        <v>234</v>
      </c>
      <c r="T221" s="403">
        <v>150</v>
      </c>
      <c r="U221" s="403"/>
      <c r="V221" s="403"/>
      <c r="W221" s="403"/>
      <c r="X221" s="403"/>
      <c r="Y221" s="139"/>
    </row>
    <row r="222" spans="10:25" x14ac:dyDescent="0.35">
      <c r="J222" s="403"/>
      <c r="K222" s="403"/>
      <c r="L222" s="403"/>
      <c r="M222" s="403"/>
      <c r="N222" s="403"/>
      <c r="O222" s="403"/>
      <c r="P222" s="403"/>
      <c r="Q222" s="403"/>
      <c r="R222" s="403"/>
      <c r="S222" s="403">
        <v>235</v>
      </c>
      <c r="T222" s="403">
        <v>150</v>
      </c>
      <c r="U222" s="403"/>
      <c r="V222" s="403"/>
      <c r="W222" s="403"/>
      <c r="X222" s="403"/>
      <c r="Y222" s="139"/>
    </row>
    <row r="223" spans="10:25" x14ac:dyDescent="0.35">
      <c r="J223" s="403"/>
      <c r="K223" s="403"/>
      <c r="L223" s="403"/>
      <c r="M223" s="403"/>
      <c r="N223" s="403"/>
      <c r="O223" s="403"/>
      <c r="P223" s="403"/>
      <c r="Q223" s="403"/>
      <c r="R223" s="403"/>
      <c r="S223" s="403">
        <v>236</v>
      </c>
      <c r="T223" s="403">
        <v>150</v>
      </c>
      <c r="U223" s="403"/>
      <c r="V223" s="403"/>
      <c r="W223" s="403"/>
      <c r="X223" s="403"/>
      <c r="Y223" s="139"/>
    </row>
    <row r="224" spans="10:25" x14ac:dyDescent="0.35">
      <c r="J224" s="403"/>
      <c r="K224" s="403"/>
      <c r="L224" s="403"/>
      <c r="M224" s="403"/>
      <c r="N224" s="403"/>
      <c r="O224" s="403"/>
      <c r="P224" s="403"/>
      <c r="Q224" s="403"/>
      <c r="R224" s="403"/>
      <c r="S224" s="403">
        <v>237</v>
      </c>
      <c r="T224" s="403">
        <v>150</v>
      </c>
      <c r="U224" s="403"/>
      <c r="V224" s="403"/>
      <c r="W224" s="403"/>
      <c r="X224" s="403"/>
      <c r="Y224" s="139"/>
    </row>
    <row r="225" spans="10:25" x14ac:dyDescent="0.35">
      <c r="J225" s="403"/>
      <c r="K225" s="403"/>
      <c r="L225" s="403"/>
      <c r="M225" s="403"/>
      <c r="N225" s="403"/>
      <c r="O225" s="403"/>
      <c r="P225" s="403"/>
      <c r="Q225" s="403"/>
      <c r="R225" s="403"/>
      <c r="S225" s="403">
        <v>238</v>
      </c>
      <c r="T225" s="403">
        <v>150</v>
      </c>
      <c r="U225" s="403"/>
      <c r="V225" s="403"/>
      <c r="W225" s="403"/>
      <c r="X225" s="403"/>
      <c r="Y225" s="139"/>
    </row>
    <row r="226" spans="10:25" x14ac:dyDescent="0.35">
      <c r="J226" s="403"/>
      <c r="K226" s="403"/>
      <c r="L226" s="403"/>
      <c r="M226" s="403"/>
      <c r="N226" s="403"/>
      <c r="O226" s="403"/>
      <c r="P226" s="403"/>
      <c r="Q226" s="403"/>
      <c r="R226" s="403"/>
      <c r="S226" s="403">
        <v>239</v>
      </c>
      <c r="T226" s="403">
        <v>150</v>
      </c>
      <c r="U226" s="403"/>
      <c r="V226" s="403"/>
      <c r="W226" s="403"/>
      <c r="X226" s="403"/>
      <c r="Y226" s="139"/>
    </row>
    <row r="227" spans="10:25" x14ac:dyDescent="0.35">
      <c r="J227" s="403"/>
      <c r="K227" s="403"/>
      <c r="L227" s="403"/>
      <c r="M227" s="403"/>
      <c r="N227" s="403"/>
      <c r="O227" s="403"/>
      <c r="P227" s="403"/>
      <c r="Q227" s="403"/>
      <c r="R227" s="403"/>
      <c r="S227" s="403">
        <v>240</v>
      </c>
      <c r="T227" s="403">
        <v>150</v>
      </c>
      <c r="U227" s="403"/>
      <c r="V227" s="403"/>
      <c r="W227" s="403"/>
      <c r="X227" s="403"/>
      <c r="Y227" s="139"/>
    </row>
    <row r="228" spans="10:25" x14ac:dyDescent="0.35">
      <c r="J228" s="403"/>
      <c r="K228" s="403"/>
      <c r="L228" s="403"/>
      <c r="M228" s="403"/>
      <c r="N228" s="403"/>
      <c r="O228" s="403"/>
      <c r="P228" s="403"/>
      <c r="Q228" s="403"/>
      <c r="R228" s="403"/>
      <c r="S228" s="403">
        <v>241</v>
      </c>
      <c r="T228" s="403">
        <v>150</v>
      </c>
      <c r="U228" s="403"/>
      <c r="V228" s="403"/>
      <c r="W228" s="403"/>
      <c r="X228" s="403"/>
      <c r="Y228" s="139"/>
    </row>
    <row r="229" spans="10:25" x14ac:dyDescent="0.35">
      <c r="J229" s="403"/>
      <c r="K229" s="403"/>
      <c r="L229" s="403"/>
      <c r="M229" s="403"/>
      <c r="N229" s="403"/>
      <c r="O229" s="403"/>
      <c r="P229" s="403"/>
      <c r="Q229" s="403"/>
      <c r="R229" s="403"/>
      <c r="S229" s="403">
        <v>242</v>
      </c>
      <c r="T229" s="403">
        <v>150</v>
      </c>
      <c r="U229" s="403"/>
      <c r="V229" s="403"/>
      <c r="W229" s="403"/>
      <c r="X229" s="403"/>
      <c r="Y229" s="139"/>
    </row>
    <row r="230" spans="10:25" x14ac:dyDescent="0.35">
      <c r="J230" s="403"/>
      <c r="K230" s="403"/>
      <c r="L230" s="403"/>
      <c r="M230" s="403"/>
      <c r="N230" s="403"/>
      <c r="O230" s="403"/>
      <c r="P230" s="403"/>
      <c r="Q230" s="403"/>
      <c r="R230" s="403"/>
      <c r="S230" s="403">
        <v>243</v>
      </c>
      <c r="T230" s="403">
        <v>150</v>
      </c>
      <c r="U230" s="403"/>
      <c r="V230" s="403"/>
      <c r="W230" s="403"/>
      <c r="X230" s="403"/>
      <c r="Y230" s="139"/>
    </row>
    <row r="231" spans="10:25" x14ac:dyDescent="0.35">
      <c r="J231" s="403"/>
      <c r="K231" s="403"/>
      <c r="L231" s="403"/>
      <c r="M231" s="403"/>
      <c r="N231" s="403"/>
      <c r="O231" s="403"/>
      <c r="P231" s="403"/>
      <c r="Q231" s="403"/>
      <c r="R231" s="403"/>
      <c r="S231" s="403">
        <v>244</v>
      </c>
      <c r="T231" s="403">
        <v>150</v>
      </c>
      <c r="U231" s="403"/>
      <c r="V231" s="403"/>
      <c r="W231" s="403"/>
      <c r="X231" s="403"/>
      <c r="Y231" s="139"/>
    </row>
    <row r="232" spans="10:25" x14ac:dyDescent="0.35">
      <c r="J232" s="403"/>
      <c r="K232" s="403"/>
      <c r="L232" s="403"/>
      <c r="M232" s="403"/>
      <c r="N232" s="403"/>
      <c r="O232" s="403"/>
      <c r="P232" s="403"/>
      <c r="Q232" s="403"/>
      <c r="R232" s="403"/>
      <c r="S232" s="403">
        <v>245</v>
      </c>
      <c r="T232" s="403">
        <v>150</v>
      </c>
      <c r="U232" s="403"/>
      <c r="V232" s="403"/>
      <c r="W232" s="403"/>
      <c r="X232" s="403"/>
      <c r="Y232" s="139"/>
    </row>
    <row r="233" spans="10:25" x14ac:dyDescent="0.35">
      <c r="J233" s="403"/>
      <c r="K233" s="403"/>
      <c r="L233" s="403"/>
      <c r="M233" s="403"/>
      <c r="N233" s="403"/>
      <c r="O233" s="403"/>
      <c r="P233" s="403"/>
      <c r="Q233" s="403"/>
      <c r="R233" s="403"/>
      <c r="S233" s="403">
        <v>246</v>
      </c>
      <c r="T233" s="403">
        <v>150</v>
      </c>
      <c r="U233" s="403"/>
      <c r="V233" s="403"/>
      <c r="W233" s="403"/>
      <c r="X233" s="403"/>
      <c r="Y233" s="139"/>
    </row>
    <row r="234" spans="10:25" x14ac:dyDescent="0.35">
      <c r="J234" s="403"/>
      <c r="K234" s="403"/>
      <c r="L234" s="403"/>
      <c r="M234" s="403"/>
      <c r="N234" s="403"/>
      <c r="O234" s="403"/>
      <c r="P234" s="403"/>
      <c r="Q234" s="403"/>
      <c r="R234" s="403"/>
      <c r="S234" s="403">
        <v>247</v>
      </c>
      <c r="T234" s="403">
        <v>150</v>
      </c>
      <c r="U234" s="403"/>
      <c r="V234" s="403"/>
      <c r="W234" s="403"/>
      <c r="X234" s="403"/>
      <c r="Y234" s="139"/>
    </row>
    <row r="235" spans="10:25" x14ac:dyDescent="0.35">
      <c r="J235" s="403"/>
      <c r="K235" s="403"/>
      <c r="L235" s="403"/>
      <c r="M235" s="403"/>
      <c r="N235" s="403"/>
      <c r="O235" s="403"/>
      <c r="P235" s="403"/>
      <c r="Q235" s="403"/>
      <c r="R235" s="403"/>
      <c r="S235" s="403">
        <v>248</v>
      </c>
      <c r="T235" s="403">
        <v>150</v>
      </c>
      <c r="U235" s="403"/>
      <c r="V235" s="403"/>
      <c r="W235" s="403"/>
      <c r="X235" s="403"/>
      <c r="Y235" s="139"/>
    </row>
    <row r="236" spans="10:25" x14ac:dyDescent="0.35">
      <c r="J236" s="403"/>
      <c r="K236" s="403"/>
      <c r="L236" s="403"/>
      <c r="M236" s="403"/>
      <c r="N236" s="403"/>
      <c r="O236" s="403"/>
      <c r="P236" s="403"/>
      <c r="Q236" s="403"/>
      <c r="R236" s="403"/>
      <c r="S236" s="403">
        <v>249</v>
      </c>
      <c r="T236" s="403">
        <v>150</v>
      </c>
      <c r="U236" s="403"/>
      <c r="V236" s="403"/>
      <c r="W236" s="403"/>
      <c r="X236" s="403"/>
      <c r="Y236" s="139"/>
    </row>
    <row r="237" spans="10:25" x14ac:dyDescent="0.35">
      <c r="J237" s="403"/>
      <c r="K237" s="403"/>
      <c r="L237" s="403"/>
      <c r="M237" s="403"/>
      <c r="N237" s="403"/>
      <c r="O237" s="403"/>
      <c r="P237" s="403"/>
      <c r="Q237" s="403"/>
      <c r="R237" s="403"/>
      <c r="S237" s="403">
        <v>250</v>
      </c>
      <c r="T237" s="403">
        <v>150</v>
      </c>
      <c r="U237" s="403"/>
      <c r="V237" s="403"/>
      <c r="W237" s="403"/>
      <c r="X237" s="403"/>
      <c r="Y237" s="139"/>
    </row>
    <row r="238" spans="10:25" x14ac:dyDescent="0.35">
      <c r="J238" s="403"/>
      <c r="K238" s="403"/>
      <c r="L238" s="403"/>
      <c r="M238" s="403"/>
      <c r="N238" s="403"/>
      <c r="O238" s="403"/>
      <c r="P238" s="403"/>
      <c r="Q238" s="403"/>
      <c r="R238" s="403"/>
      <c r="S238" s="403">
        <v>251</v>
      </c>
      <c r="T238" s="403">
        <v>150</v>
      </c>
      <c r="U238" s="403"/>
      <c r="V238" s="403"/>
      <c r="W238" s="403"/>
      <c r="X238" s="403"/>
      <c r="Y238" s="139"/>
    </row>
    <row r="239" spans="10:25" x14ac:dyDescent="0.35">
      <c r="J239" s="403"/>
      <c r="K239" s="403"/>
      <c r="L239" s="403"/>
      <c r="M239" s="403"/>
      <c r="N239" s="403"/>
      <c r="O239" s="403"/>
      <c r="P239" s="403"/>
      <c r="Q239" s="403"/>
      <c r="R239" s="403"/>
      <c r="S239" s="403">
        <v>252</v>
      </c>
      <c r="T239" s="403">
        <v>150</v>
      </c>
      <c r="U239" s="403"/>
      <c r="V239" s="403"/>
      <c r="W239" s="403"/>
      <c r="X239" s="403"/>
      <c r="Y239" s="139"/>
    </row>
    <row r="240" spans="10:25" x14ac:dyDescent="0.35">
      <c r="J240" s="403"/>
      <c r="K240" s="403"/>
      <c r="L240" s="403"/>
      <c r="M240" s="403"/>
      <c r="N240" s="403"/>
      <c r="O240" s="403"/>
      <c r="P240" s="403"/>
      <c r="Q240" s="403"/>
      <c r="R240" s="403"/>
      <c r="S240" s="403">
        <v>253</v>
      </c>
      <c r="T240" s="403">
        <v>150</v>
      </c>
      <c r="U240" s="403"/>
      <c r="V240" s="403"/>
      <c r="W240" s="403"/>
      <c r="X240" s="403"/>
      <c r="Y240" s="139"/>
    </row>
    <row r="241" spans="10:25" x14ac:dyDescent="0.35">
      <c r="J241" s="403"/>
      <c r="K241" s="403"/>
      <c r="L241" s="403"/>
      <c r="M241" s="403"/>
      <c r="N241" s="403"/>
      <c r="O241" s="403"/>
      <c r="P241" s="403"/>
      <c r="Q241" s="403"/>
      <c r="R241" s="403"/>
      <c r="S241" s="403">
        <v>254</v>
      </c>
      <c r="T241" s="403">
        <v>150</v>
      </c>
      <c r="U241" s="403"/>
      <c r="V241" s="403"/>
      <c r="W241" s="403"/>
      <c r="X241" s="403"/>
      <c r="Y241" s="139"/>
    </row>
    <row r="242" spans="10:25" x14ac:dyDescent="0.35">
      <c r="J242" s="403"/>
      <c r="K242" s="403"/>
      <c r="L242" s="403"/>
      <c r="M242" s="403"/>
      <c r="N242" s="403"/>
      <c r="O242" s="403"/>
      <c r="P242" s="403"/>
      <c r="Q242" s="403"/>
      <c r="R242" s="403"/>
      <c r="S242" s="403">
        <v>255</v>
      </c>
      <c r="T242" s="403">
        <v>150</v>
      </c>
      <c r="U242" s="403"/>
      <c r="V242" s="403"/>
      <c r="W242" s="403"/>
      <c r="X242" s="403"/>
      <c r="Y242" s="139"/>
    </row>
    <row r="243" spans="10:25" x14ac:dyDescent="0.35">
      <c r="J243" s="403"/>
      <c r="K243" s="403"/>
      <c r="L243" s="403"/>
      <c r="M243" s="403"/>
      <c r="N243" s="403"/>
      <c r="O243" s="403"/>
      <c r="P243" s="403"/>
      <c r="Q243" s="403"/>
      <c r="R243" s="403"/>
      <c r="S243" s="403">
        <v>256</v>
      </c>
      <c r="T243" s="403">
        <v>150</v>
      </c>
      <c r="U243" s="403"/>
      <c r="V243" s="403"/>
      <c r="W243" s="403"/>
      <c r="X243" s="403"/>
      <c r="Y243" s="139"/>
    </row>
    <row r="244" spans="10:25" x14ac:dyDescent="0.35">
      <c r="J244" s="403"/>
      <c r="K244" s="403"/>
      <c r="L244" s="403"/>
      <c r="M244" s="403"/>
      <c r="N244" s="403"/>
      <c r="O244" s="403"/>
      <c r="P244" s="403"/>
      <c r="Q244" s="403"/>
      <c r="R244" s="403"/>
      <c r="S244" s="403">
        <v>257</v>
      </c>
      <c r="T244" s="403">
        <v>150</v>
      </c>
      <c r="U244" s="403"/>
      <c r="V244" s="403"/>
      <c r="W244" s="403"/>
      <c r="X244" s="403"/>
      <c r="Y244" s="139"/>
    </row>
    <row r="245" spans="10:25" x14ac:dyDescent="0.35">
      <c r="J245" s="403"/>
      <c r="K245" s="403"/>
      <c r="L245" s="403"/>
      <c r="M245" s="403"/>
      <c r="N245" s="403"/>
      <c r="O245" s="403"/>
      <c r="P245" s="403"/>
      <c r="Q245" s="403"/>
      <c r="R245" s="403"/>
      <c r="S245" s="403">
        <v>258</v>
      </c>
      <c r="T245" s="403">
        <v>150</v>
      </c>
      <c r="U245" s="403"/>
      <c r="V245" s="403"/>
      <c r="W245" s="403"/>
      <c r="X245" s="403"/>
      <c r="Y245" s="139"/>
    </row>
    <row r="246" spans="10:25" x14ac:dyDescent="0.35">
      <c r="J246" s="403"/>
      <c r="K246" s="403"/>
      <c r="L246" s="403"/>
      <c r="M246" s="403"/>
      <c r="N246" s="403"/>
      <c r="O246" s="403"/>
      <c r="P246" s="403"/>
      <c r="Q246" s="403"/>
      <c r="R246" s="403"/>
      <c r="S246" s="403">
        <v>259</v>
      </c>
      <c r="T246" s="403">
        <v>150</v>
      </c>
      <c r="U246" s="403"/>
      <c r="V246" s="403"/>
      <c r="W246" s="403"/>
      <c r="X246" s="403"/>
      <c r="Y246" s="139"/>
    </row>
    <row r="247" spans="10:25" x14ac:dyDescent="0.35">
      <c r="J247" s="403"/>
      <c r="K247" s="403"/>
      <c r="L247" s="403"/>
      <c r="M247" s="403"/>
      <c r="N247" s="403"/>
      <c r="O247" s="403"/>
      <c r="P247" s="403"/>
      <c r="Q247" s="403"/>
      <c r="R247" s="403"/>
      <c r="S247" s="403">
        <v>260</v>
      </c>
      <c r="T247" s="403">
        <v>150</v>
      </c>
      <c r="U247" s="403"/>
      <c r="V247" s="403"/>
      <c r="W247" s="403"/>
      <c r="X247" s="403"/>
      <c r="Y247" s="139"/>
    </row>
    <row r="248" spans="10:25" x14ac:dyDescent="0.35">
      <c r="J248" s="403"/>
      <c r="K248" s="403"/>
      <c r="L248" s="403"/>
      <c r="M248" s="403"/>
      <c r="N248" s="403"/>
      <c r="O248" s="403"/>
      <c r="P248" s="403"/>
      <c r="Q248" s="403"/>
      <c r="R248" s="403"/>
      <c r="S248" s="403">
        <v>261</v>
      </c>
      <c r="T248" s="403">
        <v>150</v>
      </c>
      <c r="U248" s="403"/>
      <c r="V248" s="403"/>
      <c r="W248" s="403"/>
      <c r="X248" s="403"/>
      <c r="Y248" s="139"/>
    </row>
    <row r="249" spans="10:25" x14ac:dyDescent="0.35">
      <c r="J249" s="403"/>
      <c r="K249" s="403"/>
      <c r="L249" s="403"/>
      <c r="M249" s="403"/>
      <c r="N249" s="403"/>
      <c r="O249" s="403"/>
      <c r="P249" s="403"/>
      <c r="Q249" s="403"/>
      <c r="R249" s="403"/>
      <c r="S249" s="403">
        <v>262</v>
      </c>
      <c r="T249" s="403">
        <v>150</v>
      </c>
      <c r="U249" s="403"/>
      <c r="V249" s="403"/>
      <c r="W249" s="403"/>
      <c r="X249" s="403"/>
      <c r="Y249" s="139"/>
    </row>
    <row r="250" spans="10:25" x14ac:dyDescent="0.35">
      <c r="J250" s="403"/>
      <c r="K250" s="403"/>
      <c r="L250" s="403"/>
      <c r="M250" s="403"/>
      <c r="N250" s="403"/>
      <c r="O250" s="403"/>
      <c r="P250" s="403"/>
      <c r="Q250" s="403"/>
      <c r="R250" s="403"/>
      <c r="S250" s="403">
        <v>263</v>
      </c>
      <c r="T250" s="403">
        <v>150</v>
      </c>
      <c r="U250" s="403"/>
      <c r="V250" s="403"/>
      <c r="W250" s="403"/>
      <c r="X250" s="403"/>
      <c r="Y250" s="139"/>
    </row>
    <row r="251" spans="10:25" x14ac:dyDescent="0.35">
      <c r="J251" s="403"/>
      <c r="K251" s="403"/>
      <c r="L251" s="403"/>
      <c r="M251" s="403"/>
      <c r="N251" s="403"/>
      <c r="O251" s="403"/>
      <c r="P251" s="403"/>
      <c r="Q251" s="403"/>
      <c r="R251" s="403"/>
      <c r="S251" s="403">
        <v>264</v>
      </c>
      <c r="T251" s="403">
        <v>150</v>
      </c>
      <c r="U251" s="403"/>
      <c r="V251" s="403"/>
      <c r="W251" s="403"/>
      <c r="X251" s="403"/>
      <c r="Y251" s="139"/>
    </row>
    <row r="252" spans="10:25" x14ac:dyDescent="0.35">
      <c r="J252" s="403"/>
      <c r="K252" s="403"/>
      <c r="L252" s="403"/>
      <c r="M252" s="403"/>
      <c r="N252" s="403"/>
      <c r="O252" s="403"/>
      <c r="P252" s="403"/>
      <c r="Q252" s="403"/>
      <c r="R252" s="403"/>
      <c r="S252" s="403">
        <v>265</v>
      </c>
      <c r="T252" s="403">
        <v>150</v>
      </c>
      <c r="U252" s="403"/>
      <c r="V252" s="403"/>
      <c r="W252" s="403"/>
      <c r="X252" s="403"/>
      <c r="Y252" s="139"/>
    </row>
    <row r="253" spans="10:25" x14ac:dyDescent="0.35">
      <c r="J253" s="403"/>
      <c r="K253" s="403"/>
      <c r="L253" s="403"/>
      <c r="M253" s="403"/>
      <c r="N253" s="403"/>
      <c r="O253" s="403"/>
      <c r="P253" s="403"/>
      <c r="Q253" s="403"/>
      <c r="R253" s="403"/>
      <c r="S253" s="403">
        <v>266</v>
      </c>
      <c r="T253" s="403">
        <v>150</v>
      </c>
      <c r="U253" s="403"/>
      <c r="V253" s="403"/>
      <c r="W253" s="403"/>
      <c r="X253" s="403"/>
      <c r="Y253" s="139"/>
    </row>
    <row r="254" spans="10:25" x14ac:dyDescent="0.35">
      <c r="J254" s="403"/>
      <c r="K254" s="403"/>
      <c r="L254" s="403"/>
      <c r="M254" s="403"/>
      <c r="N254" s="403"/>
      <c r="O254" s="403"/>
      <c r="P254" s="403"/>
      <c r="Q254" s="403"/>
      <c r="R254" s="403"/>
      <c r="S254" s="403">
        <v>267</v>
      </c>
      <c r="T254" s="403">
        <v>150</v>
      </c>
      <c r="U254" s="403"/>
      <c r="V254" s="403"/>
      <c r="W254" s="403"/>
      <c r="X254" s="403"/>
      <c r="Y254" s="139"/>
    </row>
    <row r="255" spans="10:25" x14ac:dyDescent="0.35">
      <c r="J255" s="403"/>
      <c r="K255" s="403"/>
      <c r="L255" s="403"/>
      <c r="M255" s="403"/>
      <c r="N255" s="403"/>
      <c r="O255" s="403"/>
      <c r="P255" s="403"/>
      <c r="Q255" s="403"/>
      <c r="R255" s="403"/>
      <c r="S255" s="403">
        <v>268</v>
      </c>
      <c r="T255" s="403">
        <v>150</v>
      </c>
      <c r="U255" s="403"/>
      <c r="V255" s="403"/>
      <c r="W255" s="403"/>
      <c r="X255" s="403"/>
      <c r="Y255" s="139"/>
    </row>
    <row r="256" spans="10:25" x14ac:dyDescent="0.35">
      <c r="J256" s="403"/>
      <c r="K256" s="403"/>
      <c r="L256" s="403"/>
      <c r="M256" s="403"/>
      <c r="N256" s="403"/>
      <c r="O256" s="403"/>
      <c r="P256" s="403"/>
      <c r="Q256" s="403"/>
      <c r="R256" s="403"/>
      <c r="S256" s="403">
        <v>269</v>
      </c>
      <c r="T256" s="403">
        <v>150</v>
      </c>
      <c r="U256" s="403"/>
      <c r="V256" s="403"/>
      <c r="W256" s="403"/>
      <c r="X256" s="403"/>
      <c r="Y256" s="139"/>
    </row>
    <row r="257" spans="10:25" x14ac:dyDescent="0.35">
      <c r="J257" s="403"/>
      <c r="K257" s="403"/>
      <c r="L257" s="403"/>
      <c r="M257" s="403"/>
      <c r="N257" s="403"/>
      <c r="O257" s="403"/>
      <c r="P257" s="403"/>
      <c r="Q257" s="403"/>
      <c r="R257" s="403"/>
      <c r="S257" s="403">
        <v>270</v>
      </c>
      <c r="T257" s="403">
        <v>150</v>
      </c>
      <c r="U257" s="403"/>
      <c r="V257" s="403"/>
      <c r="W257" s="403"/>
      <c r="X257" s="403"/>
      <c r="Y257" s="139"/>
    </row>
    <row r="258" spans="10:25" x14ac:dyDescent="0.35">
      <c r="J258" s="403"/>
      <c r="K258" s="403"/>
      <c r="L258" s="403"/>
      <c r="M258" s="403"/>
      <c r="N258" s="403"/>
      <c r="O258" s="403"/>
      <c r="P258" s="403"/>
      <c r="Q258" s="403"/>
      <c r="R258" s="403"/>
      <c r="S258" s="403">
        <v>271</v>
      </c>
      <c r="T258" s="403">
        <v>150</v>
      </c>
      <c r="U258" s="403"/>
      <c r="V258" s="403"/>
      <c r="W258" s="403"/>
      <c r="X258" s="403"/>
      <c r="Y258" s="139"/>
    </row>
    <row r="259" spans="10:25" x14ac:dyDescent="0.35">
      <c r="J259" s="403"/>
      <c r="K259" s="403"/>
      <c r="L259" s="403"/>
      <c r="M259" s="403"/>
      <c r="N259" s="403"/>
      <c r="O259" s="403"/>
      <c r="P259" s="403"/>
      <c r="Q259" s="403"/>
      <c r="R259" s="403"/>
      <c r="S259" s="403">
        <v>272</v>
      </c>
      <c r="T259" s="403">
        <v>150</v>
      </c>
      <c r="U259" s="403"/>
      <c r="V259" s="403"/>
      <c r="W259" s="403"/>
      <c r="X259" s="403"/>
      <c r="Y259" s="139"/>
    </row>
    <row r="260" spans="10:25" x14ac:dyDescent="0.35">
      <c r="J260" s="403"/>
      <c r="K260" s="403"/>
      <c r="L260" s="403"/>
      <c r="M260" s="403"/>
      <c r="N260" s="403"/>
      <c r="O260" s="403"/>
      <c r="P260" s="403"/>
      <c r="Q260" s="403"/>
      <c r="R260" s="403"/>
      <c r="S260" s="403">
        <v>273</v>
      </c>
      <c r="T260" s="403">
        <v>150</v>
      </c>
      <c r="U260" s="403"/>
      <c r="V260" s="403"/>
      <c r="W260" s="403"/>
      <c r="X260" s="403"/>
      <c r="Y260" s="139"/>
    </row>
    <row r="261" spans="10:25" x14ac:dyDescent="0.35">
      <c r="J261" s="403"/>
      <c r="K261" s="403"/>
      <c r="L261" s="403"/>
      <c r="M261" s="403"/>
      <c r="N261" s="403"/>
      <c r="O261" s="403"/>
      <c r="P261" s="403"/>
      <c r="Q261" s="403"/>
      <c r="R261" s="403"/>
      <c r="S261" s="403">
        <v>274</v>
      </c>
      <c r="T261" s="403">
        <v>150</v>
      </c>
      <c r="U261" s="403"/>
      <c r="V261" s="403"/>
      <c r="W261" s="403"/>
      <c r="X261" s="403"/>
      <c r="Y261" s="139"/>
    </row>
    <row r="262" spans="10:25" x14ac:dyDescent="0.35">
      <c r="J262" s="403"/>
      <c r="K262" s="403"/>
      <c r="L262" s="403"/>
      <c r="M262" s="403"/>
      <c r="N262" s="403"/>
      <c r="O262" s="403"/>
      <c r="P262" s="403"/>
      <c r="Q262" s="403"/>
      <c r="R262" s="403"/>
      <c r="S262" s="403">
        <v>275</v>
      </c>
      <c r="T262" s="403">
        <v>150</v>
      </c>
      <c r="U262" s="403"/>
      <c r="V262" s="403"/>
      <c r="W262" s="403"/>
      <c r="X262" s="403"/>
      <c r="Y262" s="139"/>
    </row>
    <row r="263" spans="10:25" x14ac:dyDescent="0.35">
      <c r="J263" s="403"/>
      <c r="K263" s="403"/>
      <c r="L263" s="403"/>
      <c r="M263" s="403"/>
      <c r="N263" s="403"/>
      <c r="O263" s="403"/>
      <c r="P263" s="403"/>
      <c r="Q263" s="403"/>
      <c r="R263" s="403"/>
      <c r="S263" s="403">
        <v>276</v>
      </c>
      <c r="T263" s="403">
        <v>150</v>
      </c>
      <c r="U263" s="403"/>
      <c r="V263" s="403"/>
      <c r="W263" s="403"/>
      <c r="X263" s="403"/>
      <c r="Y263" s="139"/>
    </row>
    <row r="264" spans="10:25" x14ac:dyDescent="0.35">
      <c r="J264" s="403"/>
      <c r="K264" s="403"/>
      <c r="L264" s="403"/>
      <c r="M264" s="403"/>
      <c r="N264" s="403"/>
      <c r="O264" s="403"/>
      <c r="P264" s="403"/>
      <c r="Q264" s="403"/>
      <c r="R264" s="403"/>
      <c r="S264" s="403">
        <v>277</v>
      </c>
      <c r="T264" s="403">
        <v>150</v>
      </c>
      <c r="U264" s="403"/>
      <c r="V264" s="403"/>
      <c r="W264" s="403"/>
      <c r="X264" s="403"/>
      <c r="Y264" s="139"/>
    </row>
    <row r="265" spans="10:25" x14ac:dyDescent="0.35">
      <c r="J265" s="403"/>
      <c r="K265" s="403"/>
      <c r="L265" s="403"/>
      <c r="M265" s="403"/>
      <c r="N265" s="403"/>
      <c r="O265" s="403"/>
      <c r="P265" s="403"/>
      <c r="Q265" s="403"/>
      <c r="R265" s="403"/>
      <c r="S265" s="403">
        <v>278</v>
      </c>
      <c r="T265" s="403">
        <v>150</v>
      </c>
      <c r="U265" s="403"/>
      <c r="V265" s="403"/>
      <c r="W265" s="403"/>
      <c r="X265" s="403"/>
      <c r="Y265" s="139"/>
    </row>
    <row r="266" spans="10:25" x14ac:dyDescent="0.35">
      <c r="J266" s="403"/>
      <c r="K266" s="403"/>
      <c r="L266" s="403"/>
      <c r="M266" s="403"/>
      <c r="N266" s="403"/>
      <c r="O266" s="403"/>
      <c r="P266" s="403"/>
      <c r="Q266" s="403"/>
      <c r="R266" s="403"/>
      <c r="S266" s="403">
        <v>279</v>
      </c>
      <c r="T266" s="403">
        <v>150</v>
      </c>
      <c r="U266" s="403"/>
      <c r="V266" s="403"/>
      <c r="W266" s="403"/>
      <c r="X266" s="403"/>
      <c r="Y266" s="139"/>
    </row>
    <row r="267" spans="10:25" x14ac:dyDescent="0.35">
      <c r="J267" s="403"/>
      <c r="K267" s="403"/>
      <c r="L267" s="403"/>
      <c r="M267" s="403"/>
      <c r="N267" s="403"/>
      <c r="O267" s="403"/>
      <c r="P267" s="403"/>
      <c r="Q267" s="403"/>
      <c r="R267" s="403"/>
      <c r="S267" s="403">
        <v>280</v>
      </c>
      <c r="T267" s="403">
        <v>150</v>
      </c>
      <c r="U267" s="403"/>
      <c r="V267" s="403"/>
      <c r="W267" s="403"/>
      <c r="X267" s="403"/>
      <c r="Y267" s="139"/>
    </row>
    <row r="268" spans="10:25" x14ac:dyDescent="0.35">
      <c r="J268" s="403"/>
      <c r="K268" s="403"/>
      <c r="L268" s="403"/>
      <c r="M268" s="403"/>
      <c r="N268" s="403"/>
      <c r="O268" s="403"/>
      <c r="P268" s="403"/>
      <c r="Q268" s="403"/>
      <c r="R268" s="403"/>
      <c r="S268" s="403">
        <v>281</v>
      </c>
      <c r="T268" s="403">
        <v>150</v>
      </c>
      <c r="U268" s="403"/>
      <c r="V268" s="403"/>
      <c r="W268" s="403"/>
      <c r="X268" s="403"/>
      <c r="Y268" s="139"/>
    </row>
    <row r="269" spans="10:25" x14ac:dyDescent="0.35">
      <c r="J269" s="403"/>
      <c r="K269" s="403"/>
      <c r="L269" s="403"/>
      <c r="M269" s="403"/>
      <c r="N269" s="403"/>
      <c r="O269" s="403"/>
      <c r="P269" s="403"/>
      <c r="Q269" s="403"/>
      <c r="R269" s="403"/>
      <c r="S269" s="403">
        <v>282</v>
      </c>
      <c r="T269" s="403">
        <v>150</v>
      </c>
      <c r="U269" s="403"/>
      <c r="V269" s="403"/>
      <c r="W269" s="403"/>
      <c r="X269" s="403"/>
      <c r="Y269" s="139"/>
    </row>
    <row r="270" spans="10:25" x14ac:dyDescent="0.35">
      <c r="J270" s="403"/>
      <c r="K270" s="403"/>
      <c r="L270" s="403"/>
      <c r="M270" s="403"/>
      <c r="N270" s="403"/>
      <c r="O270" s="403"/>
      <c r="P270" s="403"/>
      <c r="Q270" s="403"/>
      <c r="R270" s="403"/>
      <c r="S270" s="403">
        <v>283</v>
      </c>
      <c r="T270" s="403">
        <v>150</v>
      </c>
      <c r="U270" s="403"/>
      <c r="V270" s="403"/>
      <c r="W270" s="403"/>
      <c r="X270" s="403"/>
      <c r="Y270" s="139"/>
    </row>
    <row r="271" spans="10:25" x14ac:dyDescent="0.35">
      <c r="J271" s="403"/>
      <c r="K271" s="403"/>
      <c r="L271" s="403"/>
      <c r="M271" s="403"/>
      <c r="N271" s="403"/>
      <c r="O271" s="403"/>
      <c r="P271" s="403"/>
      <c r="Q271" s="403"/>
      <c r="R271" s="403"/>
      <c r="S271" s="403">
        <v>284</v>
      </c>
      <c r="T271" s="403">
        <v>150</v>
      </c>
      <c r="U271" s="403"/>
      <c r="V271" s="403"/>
      <c r="W271" s="403"/>
      <c r="X271" s="403"/>
      <c r="Y271" s="139"/>
    </row>
    <row r="272" spans="10:25" x14ac:dyDescent="0.35">
      <c r="J272" s="403"/>
      <c r="K272" s="403"/>
      <c r="L272" s="403"/>
      <c r="M272" s="403"/>
      <c r="N272" s="403"/>
      <c r="O272" s="403"/>
      <c r="P272" s="403"/>
      <c r="Q272" s="403"/>
      <c r="R272" s="403"/>
      <c r="S272" s="403">
        <v>285</v>
      </c>
      <c r="T272" s="403">
        <v>150</v>
      </c>
      <c r="U272" s="403"/>
      <c r="V272" s="403"/>
      <c r="W272" s="403"/>
      <c r="X272" s="403"/>
      <c r="Y272" s="139"/>
    </row>
    <row r="273" spans="10:25" x14ac:dyDescent="0.35">
      <c r="J273" s="403"/>
      <c r="K273" s="403"/>
      <c r="L273" s="403"/>
      <c r="M273" s="403"/>
      <c r="N273" s="403"/>
      <c r="O273" s="403"/>
      <c r="P273" s="403"/>
      <c r="Q273" s="403"/>
      <c r="R273" s="403"/>
      <c r="S273" s="403">
        <v>286</v>
      </c>
      <c r="T273" s="403">
        <v>150</v>
      </c>
      <c r="U273" s="403"/>
      <c r="V273" s="403"/>
      <c r="W273" s="403"/>
      <c r="X273" s="403"/>
      <c r="Y273" s="139"/>
    </row>
    <row r="274" spans="10:25" x14ac:dyDescent="0.35">
      <c r="J274" s="403"/>
      <c r="K274" s="403"/>
      <c r="L274" s="403"/>
      <c r="M274" s="403"/>
      <c r="N274" s="403"/>
      <c r="O274" s="403"/>
      <c r="P274" s="403"/>
      <c r="Q274" s="403"/>
      <c r="R274" s="403"/>
      <c r="S274" s="403">
        <v>287</v>
      </c>
      <c r="T274" s="403">
        <v>150</v>
      </c>
      <c r="U274" s="403"/>
      <c r="V274" s="403"/>
      <c r="W274" s="403"/>
      <c r="X274" s="403"/>
      <c r="Y274" s="139"/>
    </row>
    <row r="275" spans="10:25" x14ac:dyDescent="0.35">
      <c r="J275" s="403"/>
      <c r="K275" s="403"/>
      <c r="L275" s="403"/>
      <c r="M275" s="403"/>
      <c r="N275" s="403"/>
      <c r="O275" s="403"/>
      <c r="P275" s="403"/>
      <c r="Q275" s="403"/>
      <c r="R275" s="403"/>
      <c r="S275" s="403">
        <v>288</v>
      </c>
      <c r="T275" s="403">
        <v>150</v>
      </c>
      <c r="U275" s="403"/>
      <c r="V275" s="403"/>
      <c r="W275" s="403"/>
      <c r="X275" s="403"/>
      <c r="Y275" s="139"/>
    </row>
    <row r="276" spans="10:25" x14ac:dyDescent="0.35">
      <c r="J276" s="403"/>
      <c r="K276" s="403"/>
      <c r="L276" s="403"/>
      <c r="M276" s="403"/>
      <c r="N276" s="403"/>
      <c r="O276" s="403"/>
      <c r="P276" s="403"/>
      <c r="Q276" s="403"/>
      <c r="R276" s="403"/>
      <c r="S276" s="403">
        <v>289</v>
      </c>
      <c r="T276" s="403">
        <v>150</v>
      </c>
      <c r="U276" s="403"/>
      <c r="V276" s="403"/>
      <c r="W276" s="403"/>
      <c r="X276" s="403"/>
      <c r="Y276" s="139"/>
    </row>
    <row r="277" spans="10:25" x14ac:dyDescent="0.35">
      <c r="J277" s="403"/>
      <c r="K277" s="403"/>
      <c r="L277" s="403"/>
      <c r="M277" s="403"/>
      <c r="N277" s="403"/>
      <c r="O277" s="403"/>
      <c r="P277" s="403"/>
      <c r="Q277" s="403"/>
      <c r="R277" s="403"/>
      <c r="S277" s="403">
        <v>290</v>
      </c>
      <c r="T277" s="403">
        <v>150</v>
      </c>
      <c r="U277" s="403"/>
      <c r="V277" s="403"/>
      <c r="W277" s="403"/>
      <c r="X277" s="403"/>
      <c r="Y277" s="139"/>
    </row>
    <row r="278" spans="10:25" x14ac:dyDescent="0.35">
      <c r="J278" s="403"/>
      <c r="K278" s="403"/>
      <c r="L278" s="403"/>
      <c r="M278" s="403"/>
      <c r="N278" s="403"/>
      <c r="O278" s="403"/>
      <c r="P278" s="403"/>
      <c r="Q278" s="403"/>
      <c r="R278" s="403"/>
      <c r="S278" s="403">
        <v>291</v>
      </c>
      <c r="T278" s="403">
        <v>150</v>
      </c>
      <c r="U278" s="403"/>
      <c r="V278" s="403"/>
      <c r="W278" s="403"/>
      <c r="X278" s="403"/>
      <c r="Y278" s="139"/>
    </row>
    <row r="279" spans="10:25" x14ac:dyDescent="0.35">
      <c r="J279" s="403"/>
      <c r="K279" s="403"/>
      <c r="L279" s="403"/>
      <c r="M279" s="403"/>
      <c r="N279" s="403"/>
      <c r="O279" s="403"/>
      <c r="P279" s="403"/>
      <c r="Q279" s="403"/>
      <c r="R279" s="403"/>
      <c r="S279" s="403">
        <v>292</v>
      </c>
      <c r="T279" s="403">
        <v>150</v>
      </c>
      <c r="U279" s="403"/>
      <c r="V279" s="403"/>
      <c r="W279" s="403"/>
      <c r="X279" s="403"/>
      <c r="Y279" s="139"/>
    </row>
    <row r="280" spans="10:25" x14ac:dyDescent="0.35">
      <c r="J280" s="403"/>
      <c r="K280" s="403"/>
      <c r="L280" s="403"/>
      <c r="M280" s="403"/>
      <c r="N280" s="403"/>
      <c r="O280" s="403"/>
      <c r="P280" s="403"/>
      <c r="Q280" s="403"/>
      <c r="R280" s="403"/>
      <c r="S280" s="403">
        <v>293</v>
      </c>
      <c r="T280" s="403">
        <v>150</v>
      </c>
      <c r="U280" s="403"/>
      <c r="V280" s="403"/>
      <c r="W280" s="403"/>
      <c r="X280" s="403"/>
      <c r="Y280" s="139"/>
    </row>
    <row r="281" spans="10:25" x14ac:dyDescent="0.35">
      <c r="J281" s="403"/>
      <c r="K281" s="403"/>
      <c r="L281" s="403"/>
      <c r="M281" s="403"/>
      <c r="N281" s="403"/>
      <c r="O281" s="403"/>
      <c r="P281" s="403"/>
      <c r="Q281" s="403"/>
      <c r="R281" s="403"/>
      <c r="S281" s="403">
        <v>294</v>
      </c>
      <c r="T281" s="403">
        <v>150</v>
      </c>
      <c r="U281" s="403"/>
      <c r="V281" s="403"/>
      <c r="W281" s="403"/>
      <c r="X281" s="403"/>
      <c r="Y281" s="139"/>
    </row>
    <row r="282" spans="10:25" x14ac:dyDescent="0.35">
      <c r="J282" s="403"/>
      <c r="K282" s="403"/>
      <c r="L282" s="403"/>
      <c r="M282" s="403"/>
      <c r="N282" s="403"/>
      <c r="O282" s="403"/>
      <c r="P282" s="403"/>
      <c r="Q282" s="403"/>
      <c r="R282" s="403"/>
      <c r="S282" s="403">
        <v>295</v>
      </c>
      <c r="T282" s="403">
        <v>150</v>
      </c>
      <c r="U282" s="403"/>
      <c r="V282" s="403"/>
      <c r="W282" s="403"/>
      <c r="X282" s="403"/>
      <c r="Y282" s="139"/>
    </row>
    <row r="283" spans="10:25" x14ac:dyDescent="0.35">
      <c r="J283" s="403"/>
      <c r="K283" s="403"/>
      <c r="L283" s="403"/>
      <c r="M283" s="403"/>
      <c r="N283" s="403"/>
      <c r="O283" s="403"/>
      <c r="P283" s="403"/>
      <c r="Q283" s="403"/>
      <c r="R283" s="403"/>
      <c r="S283" s="403">
        <v>296</v>
      </c>
      <c r="T283" s="403">
        <v>150</v>
      </c>
      <c r="U283" s="403"/>
      <c r="V283" s="403"/>
      <c r="W283" s="403"/>
      <c r="X283" s="403"/>
      <c r="Y283" s="139"/>
    </row>
    <row r="284" spans="10:25" x14ac:dyDescent="0.35">
      <c r="J284" s="403"/>
      <c r="K284" s="403"/>
      <c r="L284" s="403"/>
      <c r="M284" s="403"/>
      <c r="N284" s="403"/>
      <c r="O284" s="403"/>
      <c r="P284" s="403"/>
      <c r="Q284" s="403"/>
      <c r="R284" s="403"/>
      <c r="S284" s="403">
        <v>297</v>
      </c>
      <c r="T284" s="403">
        <v>150</v>
      </c>
      <c r="U284" s="403"/>
      <c r="V284" s="403"/>
      <c r="W284" s="403"/>
      <c r="X284" s="403"/>
      <c r="Y284" s="139"/>
    </row>
    <row r="285" spans="10:25" x14ac:dyDescent="0.35">
      <c r="J285" s="403"/>
      <c r="K285" s="403"/>
      <c r="L285" s="403"/>
      <c r="M285" s="403"/>
      <c r="N285" s="403"/>
      <c r="O285" s="403"/>
      <c r="P285" s="403"/>
      <c r="Q285" s="403"/>
      <c r="R285" s="403"/>
      <c r="S285" s="403">
        <v>298</v>
      </c>
      <c r="T285" s="403">
        <v>150</v>
      </c>
      <c r="U285" s="403"/>
      <c r="V285" s="403"/>
      <c r="W285" s="403"/>
      <c r="X285" s="403"/>
      <c r="Y285" s="139"/>
    </row>
    <row r="286" spans="10:25" x14ac:dyDescent="0.35">
      <c r="J286" s="403"/>
      <c r="K286" s="403"/>
      <c r="L286" s="403"/>
      <c r="M286" s="403"/>
      <c r="N286" s="403"/>
      <c r="O286" s="403"/>
      <c r="P286" s="403"/>
      <c r="Q286" s="403"/>
      <c r="R286" s="403"/>
      <c r="S286" s="403">
        <v>299</v>
      </c>
      <c r="T286" s="403">
        <v>150</v>
      </c>
      <c r="U286" s="403"/>
      <c r="V286" s="403"/>
      <c r="W286" s="403"/>
      <c r="X286" s="403"/>
      <c r="Y286" s="139"/>
    </row>
    <row r="287" spans="10:25" x14ac:dyDescent="0.35">
      <c r="J287" s="403"/>
      <c r="K287" s="403"/>
      <c r="L287" s="403"/>
      <c r="M287" s="403"/>
      <c r="N287" s="403"/>
      <c r="O287" s="403"/>
      <c r="P287" s="403"/>
      <c r="Q287" s="403"/>
      <c r="R287" s="403"/>
      <c r="S287" s="403">
        <v>300</v>
      </c>
      <c r="T287" s="403">
        <v>150</v>
      </c>
      <c r="U287" s="403">
        <v>300</v>
      </c>
      <c r="V287" s="403"/>
      <c r="W287" s="403"/>
      <c r="X287" s="403"/>
      <c r="Y287" s="139"/>
    </row>
    <row r="288" spans="10:25" x14ac:dyDescent="0.35">
      <c r="J288" s="403"/>
      <c r="K288" s="403"/>
      <c r="L288" s="403"/>
      <c r="M288" s="403"/>
      <c r="N288" s="403"/>
      <c r="O288" s="403"/>
      <c r="P288" s="403"/>
      <c r="Q288" s="403"/>
      <c r="R288" s="403"/>
      <c r="S288" s="403">
        <v>301</v>
      </c>
      <c r="T288" s="403">
        <v>150</v>
      </c>
      <c r="U288" s="403"/>
      <c r="V288" s="403"/>
      <c r="W288" s="403"/>
      <c r="X288" s="403"/>
      <c r="Y288" s="139"/>
    </row>
    <row r="289" spans="10:25" x14ac:dyDescent="0.35">
      <c r="J289" s="403"/>
      <c r="K289" s="403"/>
      <c r="L289" s="403"/>
      <c r="M289" s="403"/>
      <c r="N289" s="403"/>
      <c r="O289" s="403"/>
      <c r="P289" s="403"/>
      <c r="Q289" s="403"/>
      <c r="R289" s="403"/>
      <c r="S289" s="403">
        <v>302</v>
      </c>
      <c r="T289" s="403">
        <v>150</v>
      </c>
      <c r="U289" s="403"/>
      <c r="V289" s="403"/>
      <c r="W289" s="403"/>
      <c r="X289" s="403"/>
      <c r="Y289" s="139"/>
    </row>
    <row r="290" spans="10:25" x14ac:dyDescent="0.35">
      <c r="J290" s="403"/>
      <c r="K290" s="403"/>
      <c r="L290" s="403"/>
      <c r="M290" s="403"/>
      <c r="N290" s="403"/>
      <c r="O290" s="403"/>
      <c r="P290" s="403"/>
      <c r="Q290" s="403"/>
      <c r="R290" s="403"/>
      <c r="S290" s="403">
        <v>303</v>
      </c>
      <c r="T290" s="403">
        <v>150</v>
      </c>
      <c r="U290" s="403"/>
      <c r="V290" s="403"/>
      <c r="W290" s="403"/>
      <c r="X290" s="403"/>
      <c r="Y290" s="139"/>
    </row>
    <row r="291" spans="10:25" x14ac:dyDescent="0.35">
      <c r="J291" s="403"/>
      <c r="K291" s="403"/>
      <c r="L291" s="403"/>
      <c r="M291" s="403"/>
      <c r="N291" s="403"/>
      <c r="O291" s="403"/>
      <c r="P291" s="403"/>
      <c r="Q291" s="403"/>
      <c r="R291" s="403"/>
      <c r="S291" s="403">
        <v>304</v>
      </c>
      <c r="T291" s="403">
        <v>150</v>
      </c>
      <c r="U291" s="403"/>
      <c r="V291" s="403"/>
      <c r="W291" s="403"/>
      <c r="X291" s="403"/>
      <c r="Y291" s="139"/>
    </row>
    <row r="292" spans="10:25" x14ac:dyDescent="0.35">
      <c r="J292" s="403"/>
      <c r="K292" s="403"/>
      <c r="L292" s="403"/>
      <c r="M292" s="403"/>
      <c r="N292" s="403"/>
      <c r="O292" s="403"/>
      <c r="P292" s="403"/>
      <c r="Q292" s="403"/>
      <c r="R292" s="403"/>
      <c r="S292" s="403">
        <v>305</v>
      </c>
      <c r="T292" s="403">
        <v>150</v>
      </c>
      <c r="U292" s="403"/>
      <c r="V292" s="403"/>
      <c r="W292" s="403"/>
      <c r="X292" s="403"/>
      <c r="Y292" s="139"/>
    </row>
    <row r="293" spans="10:25" x14ac:dyDescent="0.35">
      <c r="J293" s="403"/>
      <c r="K293" s="403"/>
      <c r="L293" s="403"/>
      <c r="M293" s="403"/>
      <c r="N293" s="403"/>
      <c r="O293" s="403"/>
      <c r="P293" s="403"/>
      <c r="Q293" s="403"/>
      <c r="R293" s="403"/>
      <c r="S293" s="403">
        <v>306</v>
      </c>
      <c r="T293" s="403">
        <v>150</v>
      </c>
      <c r="U293" s="403"/>
      <c r="V293" s="403"/>
      <c r="W293" s="403"/>
      <c r="X293" s="403"/>
      <c r="Y293" s="139"/>
    </row>
    <row r="294" spans="10:25" x14ac:dyDescent="0.35">
      <c r="J294" s="403"/>
      <c r="K294" s="403"/>
      <c r="L294" s="403"/>
      <c r="M294" s="403"/>
      <c r="N294" s="403"/>
      <c r="O294" s="403"/>
      <c r="P294" s="403"/>
      <c r="Q294" s="403"/>
      <c r="R294" s="403"/>
      <c r="S294" s="403">
        <v>307</v>
      </c>
      <c r="T294" s="403">
        <v>150</v>
      </c>
      <c r="U294" s="403"/>
      <c r="V294" s="403"/>
      <c r="W294" s="403"/>
      <c r="X294" s="403"/>
      <c r="Y294" s="139"/>
    </row>
    <row r="295" spans="10:25" x14ac:dyDescent="0.35">
      <c r="J295" s="403"/>
      <c r="K295" s="403"/>
      <c r="L295" s="403"/>
      <c r="M295" s="403"/>
      <c r="N295" s="403"/>
      <c r="O295" s="403"/>
      <c r="P295" s="403"/>
      <c r="Q295" s="403"/>
      <c r="R295" s="403"/>
      <c r="S295" s="403">
        <v>308</v>
      </c>
      <c r="T295" s="403">
        <v>150</v>
      </c>
      <c r="U295" s="403"/>
      <c r="V295" s="403"/>
      <c r="W295" s="403"/>
      <c r="X295" s="403"/>
      <c r="Y295" s="139"/>
    </row>
    <row r="296" spans="10:25" x14ac:dyDescent="0.35">
      <c r="J296" s="403"/>
      <c r="K296" s="403"/>
      <c r="L296" s="403"/>
      <c r="M296" s="403"/>
      <c r="N296" s="403"/>
      <c r="O296" s="403"/>
      <c r="P296" s="403"/>
      <c r="Q296" s="403"/>
      <c r="R296" s="403"/>
      <c r="S296" s="403">
        <v>309</v>
      </c>
      <c r="T296" s="403">
        <v>150</v>
      </c>
      <c r="U296" s="403"/>
      <c r="V296" s="403"/>
      <c r="W296" s="403"/>
      <c r="X296" s="403"/>
      <c r="Y296" s="139"/>
    </row>
    <row r="297" spans="10:25" x14ac:dyDescent="0.35">
      <c r="J297" s="403"/>
      <c r="K297" s="403"/>
      <c r="L297" s="403"/>
      <c r="M297" s="403"/>
      <c r="N297" s="403"/>
      <c r="O297" s="403"/>
      <c r="P297" s="403"/>
      <c r="Q297" s="403"/>
      <c r="R297" s="403"/>
      <c r="S297" s="403">
        <v>310</v>
      </c>
      <c r="T297" s="403">
        <v>150</v>
      </c>
      <c r="U297" s="403"/>
      <c r="V297" s="403"/>
      <c r="W297" s="403"/>
      <c r="X297" s="403"/>
      <c r="Y297" s="139"/>
    </row>
    <row r="298" spans="10:25" x14ac:dyDescent="0.35">
      <c r="J298" s="403"/>
      <c r="K298" s="403"/>
      <c r="L298" s="403"/>
      <c r="M298" s="403"/>
      <c r="N298" s="403"/>
      <c r="O298" s="403"/>
      <c r="P298" s="403"/>
      <c r="Q298" s="403"/>
      <c r="R298" s="403"/>
      <c r="S298" s="403">
        <v>311</v>
      </c>
      <c r="T298" s="403">
        <v>150</v>
      </c>
      <c r="U298" s="403"/>
      <c r="V298" s="403"/>
      <c r="W298" s="403"/>
      <c r="X298" s="403"/>
      <c r="Y298" s="139"/>
    </row>
    <row r="299" spans="10:25" x14ac:dyDescent="0.35">
      <c r="J299" s="403"/>
      <c r="K299" s="403"/>
      <c r="L299" s="403"/>
      <c r="M299" s="403"/>
      <c r="N299" s="403"/>
      <c r="O299" s="403"/>
      <c r="P299" s="403"/>
      <c r="Q299" s="403"/>
      <c r="R299" s="403"/>
      <c r="S299" s="403">
        <v>312</v>
      </c>
      <c r="T299" s="403">
        <v>150</v>
      </c>
      <c r="U299" s="403"/>
      <c r="V299" s="403"/>
      <c r="W299" s="403"/>
      <c r="X299" s="403"/>
      <c r="Y299" s="139"/>
    </row>
    <row r="300" spans="10:25" x14ac:dyDescent="0.35">
      <c r="J300" s="403"/>
      <c r="K300" s="403"/>
      <c r="L300" s="403"/>
      <c r="M300" s="403"/>
      <c r="N300" s="403"/>
      <c r="O300" s="403"/>
      <c r="P300" s="403"/>
      <c r="Q300" s="403"/>
      <c r="R300" s="403"/>
      <c r="S300" s="403">
        <v>313</v>
      </c>
      <c r="T300" s="403">
        <v>150</v>
      </c>
      <c r="U300" s="403"/>
      <c r="V300" s="403"/>
      <c r="W300" s="403"/>
      <c r="X300" s="403"/>
      <c r="Y300" s="139"/>
    </row>
    <row r="301" spans="10:25" x14ac:dyDescent="0.35">
      <c r="J301" s="403"/>
      <c r="K301" s="403"/>
      <c r="L301" s="403"/>
      <c r="M301" s="403"/>
      <c r="N301" s="403"/>
      <c r="O301" s="403"/>
      <c r="P301" s="403"/>
      <c r="Q301" s="403"/>
      <c r="R301" s="403"/>
      <c r="S301" s="403">
        <v>314</v>
      </c>
      <c r="T301" s="403">
        <v>150</v>
      </c>
      <c r="U301" s="403"/>
      <c r="V301" s="403"/>
      <c r="W301" s="403"/>
      <c r="X301" s="403"/>
      <c r="Y301" s="139"/>
    </row>
    <row r="302" spans="10:25" x14ac:dyDescent="0.35">
      <c r="J302" s="403"/>
      <c r="K302" s="403"/>
      <c r="L302" s="403"/>
      <c r="M302" s="403"/>
      <c r="N302" s="403"/>
      <c r="O302" s="403"/>
      <c r="P302" s="403"/>
      <c r="Q302" s="403"/>
      <c r="R302" s="403"/>
      <c r="S302" s="403">
        <v>315</v>
      </c>
      <c r="T302" s="403">
        <v>150</v>
      </c>
      <c r="U302" s="403"/>
      <c r="V302" s="403"/>
      <c r="W302" s="403"/>
      <c r="X302" s="403"/>
      <c r="Y302" s="139"/>
    </row>
    <row r="303" spans="10:25" x14ac:dyDescent="0.35">
      <c r="J303" s="403"/>
      <c r="K303" s="403"/>
      <c r="L303" s="403"/>
      <c r="M303" s="403"/>
      <c r="N303" s="403"/>
      <c r="O303" s="403"/>
      <c r="P303" s="403"/>
      <c r="Q303" s="403"/>
      <c r="R303" s="403"/>
      <c r="S303" s="403">
        <v>316</v>
      </c>
      <c r="T303" s="403">
        <v>150</v>
      </c>
      <c r="U303" s="403"/>
      <c r="V303" s="403"/>
      <c r="W303" s="403"/>
      <c r="X303" s="403"/>
      <c r="Y303" s="139"/>
    </row>
    <row r="304" spans="10:25" x14ac:dyDescent="0.35">
      <c r="J304" s="403"/>
      <c r="K304" s="403"/>
      <c r="L304" s="403"/>
      <c r="M304" s="403"/>
      <c r="N304" s="403"/>
      <c r="O304" s="403"/>
      <c r="P304" s="403"/>
      <c r="Q304" s="403"/>
      <c r="R304" s="403"/>
      <c r="S304" s="403">
        <v>317</v>
      </c>
      <c r="T304" s="403">
        <v>150</v>
      </c>
      <c r="U304" s="403"/>
      <c r="V304" s="403"/>
      <c r="W304" s="403"/>
      <c r="X304" s="403"/>
      <c r="Y304" s="139"/>
    </row>
    <row r="305" spans="10:25" x14ac:dyDescent="0.35">
      <c r="J305" s="403"/>
      <c r="K305" s="403"/>
      <c r="L305" s="403"/>
      <c r="M305" s="403"/>
      <c r="N305" s="403"/>
      <c r="O305" s="403"/>
      <c r="P305" s="403"/>
      <c r="Q305" s="403"/>
      <c r="R305" s="403"/>
      <c r="S305" s="403">
        <v>318</v>
      </c>
      <c r="T305" s="403">
        <v>150</v>
      </c>
      <c r="U305" s="403"/>
      <c r="V305" s="403"/>
      <c r="W305" s="403"/>
      <c r="X305" s="403"/>
      <c r="Y305" s="139"/>
    </row>
    <row r="306" spans="10:25" x14ac:dyDescent="0.35">
      <c r="J306" s="403"/>
      <c r="K306" s="403"/>
      <c r="L306" s="403"/>
      <c r="M306" s="403"/>
      <c r="N306" s="403"/>
      <c r="O306" s="403"/>
      <c r="P306" s="403"/>
      <c r="Q306" s="403"/>
      <c r="R306" s="403"/>
      <c r="S306" s="403">
        <v>319</v>
      </c>
      <c r="T306" s="403">
        <v>150</v>
      </c>
      <c r="U306" s="403"/>
      <c r="V306" s="403"/>
      <c r="W306" s="403"/>
      <c r="X306" s="403"/>
      <c r="Y306" s="139"/>
    </row>
    <row r="307" spans="10:25" x14ac:dyDescent="0.35">
      <c r="J307" s="403"/>
      <c r="K307" s="403"/>
      <c r="L307" s="403"/>
      <c r="M307" s="403"/>
      <c r="N307" s="403"/>
      <c r="O307" s="403"/>
      <c r="P307" s="403"/>
      <c r="Q307" s="403"/>
      <c r="R307" s="403"/>
      <c r="S307" s="403">
        <v>320</v>
      </c>
      <c r="T307" s="403">
        <v>150</v>
      </c>
      <c r="U307" s="403"/>
      <c r="V307" s="403"/>
      <c r="W307" s="403"/>
      <c r="X307" s="403"/>
      <c r="Y307" s="139"/>
    </row>
    <row r="308" spans="10:25" x14ac:dyDescent="0.35">
      <c r="J308" s="403"/>
      <c r="K308" s="403"/>
      <c r="L308" s="403"/>
      <c r="M308" s="403"/>
      <c r="N308" s="403"/>
      <c r="O308" s="403"/>
      <c r="P308" s="403"/>
      <c r="Q308" s="403"/>
      <c r="R308" s="403"/>
      <c r="S308" s="403">
        <v>321</v>
      </c>
      <c r="T308" s="403">
        <v>150</v>
      </c>
      <c r="U308" s="403"/>
      <c r="V308" s="403"/>
      <c r="W308" s="403"/>
      <c r="X308" s="403"/>
      <c r="Y308" s="139"/>
    </row>
    <row r="309" spans="10:25" x14ac:dyDescent="0.35">
      <c r="J309" s="403"/>
      <c r="K309" s="403"/>
      <c r="L309" s="403"/>
      <c r="M309" s="403"/>
      <c r="N309" s="403"/>
      <c r="O309" s="403"/>
      <c r="P309" s="403"/>
      <c r="Q309" s="403"/>
      <c r="R309" s="403"/>
      <c r="S309" s="403">
        <v>322</v>
      </c>
      <c r="T309" s="403">
        <v>150</v>
      </c>
      <c r="U309" s="403"/>
      <c r="V309" s="403"/>
      <c r="W309" s="403"/>
      <c r="X309" s="403"/>
      <c r="Y309" s="139"/>
    </row>
    <row r="310" spans="10:25" x14ac:dyDescent="0.35">
      <c r="J310" s="403"/>
      <c r="K310" s="403"/>
      <c r="L310" s="403"/>
      <c r="M310" s="403"/>
      <c r="N310" s="403"/>
      <c r="O310" s="403"/>
      <c r="P310" s="403"/>
      <c r="Q310" s="403"/>
      <c r="R310" s="403"/>
      <c r="S310" s="403">
        <v>323</v>
      </c>
      <c r="T310" s="403">
        <v>150</v>
      </c>
      <c r="U310" s="403"/>
      <c r="V310" s="403"/>
      <c r="W310" s="403"/>
      <c r="X310" s="403"/>
      <c r="Y310" s="139"/>
    </row>
    <row r="311" spans="10:25" x14ac:dyDescent="0.35">
      <c r="J311" s="403"/>
      <c r="K311" s="403"/>
      <c r="L311" s="403"/>
      <c r="M311" s="403"/>
      <c r="N311" s="403"/>
      <c r="O311" s="403"/>
      <c r="P311" s="403"/>
      <c r="Q311" s="403"/>
      <c r="R311" s="403"/>
      <c r="S311" s="403">
        <v>324</v>
      </c>
      <c r="T311" s="403">
        <v>150</v>
      </c>
      <c r="U311" s="403"/>
      <c r="V311" s="403"/>
      <c r="W311" s="403"/>
      <c r="X311" s="403"/>
      <c r="Y311" s="139"/>
    </row>
    <row r="312" spans="10:25" x14ac:dyDescent="0.35">
      <c r="J312" s="403"/>
      <c r="K312" s="403"/>
      <c r="L312" s="403"/>
      <c r="M312" s="403"/>
      <c r="N312" s="403"/>
      <c r="O312" s="403"/>
      <c r="P312" s="403"/>
      <c r="Q312" s="403"/>
      <c r="R312" s="403"/>
      <c r="S312" s="403">
        <v>325</v>
      </c>
      <c r="T312" s="403">
        <v>150</v>
      </c>
      <c r="U312" s="403"/>
      <c r="V312" s="403"/>
      <c r="W312" s="403"/>
      <c r="X312" s="403"/>
      <c r="Y312" s="139"/>
    </row>
    <row r="313" spans="10:25" x14ac:dyDescent="0.35">
      <c r="J313" s="403"/>
      <c r="K313" s="403"/>
      <c r="L313" s="403"/>
      <c r="M313" s="403"/>
      <c r="N313" s="403"/>
      <c r="O313" s="403"/>
      <c r="P313" s="403"/>
      <c r="Q313" s="403"/>
      <c r="R313" s="403"/>
      <c r="S313" s="403">
        <v>326</v>
      </c>
      <c r="T313" s="403">
        <v>150</v>
      </c>
      <c r="U313" s="403"/>
      <c r="V313" s="403"/>
      <c r="W313" s="403"/>
      <c r="X313" s="403"/>
      <c r="Y313" s="139"/>
    </row>
    <row r="314" spans="10:25" x14ac:dyDescent="0.35">
      <c r="J314" s="403"/>
      <c r="K314" s="403"/>
      <c r="L314" s="403"/>
      <c r="M314" s="403"/>
      <c r="N314" s="403"/>
      <c r="O314" s="403"/>
      <c r="P314" s="403"/>
      <c r="Q314" s="403"/>
      <c r="R314" s="403"/>
      <c r="S314" s="403">
        <v>327</v>
      </c>
      <c r="T314" s="403">
        <v>150</v>
      </c>
      <c r="U314" s="403"/>
      <c r="V314" s="403"/>
      <c r="W314" s="403"/>
      <c r="X314" s="403"/>
      <c r="Y314" s="139"/>
    </row>
    <row r="315" spans="10:25" x14ac:dyDescent="0.35">
      <c r="J315" s="403"/>
      <c r="K315" s="403"/>
      <c r="L315" s="403"/>
      <c r="M315" s="403"/>
      <c r="N315" s="403"/>
      <c r="O315" s="403"/>
      <c r="P315" s="403"/>
      <c r="Q315" s="403"/>
      <c r="R315" s="403"/>
      <c r="S315" s="403">
        <v>328</v>
      </c>
      <c r="T315" s="403">
        <v>150</v>
      </c>
      <c r="U315" s="403"/>
      <c r="V315" s="403"/>
      <c r="W315" s="403"/>
      <c r="X315" s="403"/>
      <c r="Y315" s="139"/>
    </row>
    <row r="316" spans="10:25" x14ac:dyDescent="0.35">
      <c r="J316" s="403"/>
      <c r="K316" s="403"/>
      <c r="L316" s="403"/>
      <c r="M316" s="403"/>
      <c r="N316" s="403"/>
      <c r="O316" s="403"/>
      <c r="P316" s="403"/>
      <c r="Q316" s="403"/>
      <c r="R316" s="403"/>
      <c r="S316" s="403">
        <v>329</v>
      </c>
      <c r="T316" s="403">
        <v>150</v>
      </c>
      <c r="U316" s="403"/>
      <c r="V316" s="403"/>
      <c r="W316" s="403"/>
      <c r="X316" s="403"/>
      <c r="Y316" s="139"/>
    </row>
    <row r="317" spans="10:25" x14ac:dyDescent="0.35">
      <c r="J317" s="403"/>
      <c r="K317" s="403"/>
      <c r="L317" s="403"/>
      <c r="M317" s="403"/>
      <c r="N317" s="403"/>
      <c r="O317" s="403"/>
      <c r="P317" s="403"/>
      <c r="Q317" s="403"/>
      <c r="R317" s="403"/>
      <c r="S317" s="403">
        <v>330</v>
      </c>
      <c r="T317" s="403">
        <v>150</v>
      </c>
      <c r="U317" s="403"/>
      <c r="V317" s="403"/>
      <c r="W317" s="403"/>
      <c r="X317" s="403"/>
      <c r="Y317" s="139"/>
    </row>
    <row r="318" spans="10:25" x14ac:dyDescent="0.35">
      <c r="J318" s="403"/>
      <c r="K318" s="403"/>
      <c r="L318" s="403"/>
      <c r="M318" s="403"/>
      <c r="N318" s="403"/>
      <c r="O318" s="403"/>
      <c r="P318" s="403"/>
      <c r="Q318" s="403"/>
      <c r="R318" s="403"/>
      <c r="S318" s="403">
        <v>331</v>
      </c>
      <c r="T318" s="403">
        <v>150</v>
      </c>
      <c r="U318" s="403"/>
      <c r="V318" s="403"/>
      <c r="W318" s="403"/>
      <c r="X318" s="403"/>
      <c r="Y318" s="139"/>
    </row>
    <row r="319" spans="10:25" x14ac:dyDescent="0.35">
      <c r="J319" s="403"/>
      <c r="K319" s="403"/>
      <c r="L319" s="403"/>
      <c r="M319" s="403"/>
      <c r="N319" s="403"/>
      <c r="O319" s="403"/>
      <c r="P319" s="403"/>
      <c r="Q319" s="403"/>
      <c r="R319" s="403"/>
      <c r="S319" s="403">
        <v>332</v>
      </c>
      <c r="T319" s="403">
        <v>150</v>
      </c>
      <c r="U319" s="403"/>
      <c r="V319" s="403"/>
      <c r="W319" s="403"/>
      <c r="X319" s="403"/>
      <c r="Y319" s="139"/>
    </row>
    <row r="320" spans="10:25" x14ac:dyDescent="0.35">
      <c r="J320" s="403"/>
      <c r="K320" s="403"/>
      <c r="L320" s="403"/>
      <c r="M320" s="403"/>
      <c r="N320" s="403"/>
      <c r="O320" s="403"/>
      <c r="P320" s="403"/>
      <c r="Q320" s="403"/>
      <c r="R320" s="403"/>
      <c r="S320" s="403">
        <v>333</v>
      </c>
      <c r="T320" s="403">
        <v>150</v>
      </c>
      <c r="U320" s="403"/>
      <c r="V320" s="403"/>
      <c r="W320" s="403"/>
      <c r="X320" s="403"/>
      <c r="Y320" s="139"/>
    </row>
    <row r="321" spans="10:25" x14ac:dyDescent="0.35">
      <c r="J321" s="403"/>
      <c r="K321" s="403"/>
      <c r="L321" s="403"/>
      <c r="M321" s="403"/>
      <c r="N321" s="403"/>
      <c r="O321" s="403"/>
      <c r="P321" s="403"/>
      <c r="Q321" s="403"/>
      <c r="R321" s="403"/>
      <c r="S321" s="403">
        <v>334</v>
      </c>
      <c r="T321" s="403">
        <v>150</v>
      </c>
      <c r="U321" s="403"/>
      <c r="V321" s="403"/>
      <c r="W321" s="403"/>
      <c r="X321" s="403"/>
      <c r="Y321" s="139"/>
    </row>
    <row r="322" spans="10:25" x14ac:dyDescent="0.35">
      <c r="J322" s="403"/>
      <c r="K322" s="403"/>
      <c r="L322" s="403"/>
      <c r="M322" s="403"/>
      <c r="N322" s="403"/>
      <c r="O322" s="403"/>
      <c r="P322" s="403"/>
      <c r="Q322" s="403"/>
      <c r="R322" s="403"/>
      <c r="S322" s="403">
        <v>335</v>
      </c>
      <c r="T322" s="403">
        <v>150</v>
      </c>
      <c r="U322" s="403"/>
      <c r="V322" s="403"/>
      <c r="W322" s="403"/>
      <c r="X322" s="403"/>
      <c r="Y322" s="139"/>
    </row>
    <row r="323" spans="10:25" x14ac:dyDescent="0.35">
      <c r="J323" s="403"/>
      <c r="K323" s="403"/>
      <c r="L323" s="403"/>
      <c r="M323" s="403"/>
      <c r="N323" s="403"/>
      <c r="O323" s="403"/>
      <c r="P323" s="403"/>
      <c r="Q323" s="403"/>
      <c r="R323" s="403"/>
      <c r="S323" s="403">
        <v>336</v>
      </c>
      <c r="T323" s="403">
        <v>150</v>
      </c>
      <c r="U323" s="403"/>
      <c r="V323" s="403"/>
      <c r="W323" s="403"/>
      <c r="X323" s="403"/>
      <c r="Y323" s="139"/>
    </row>
    <row r="324" spans="10:25" x14ac:dyDescent="0.35">
      <c r="J324" s="403"/>
      <c r="K324" s="403"/>
      <c r="L324" s="403"/>
      <c r="M324" s="403"/>
      <c r="N324" s="403"/>
      <c r="O324" s="403"/>
      <c r="P324" s="403"/>
      <c r="Q324" s="403"/>
      <c r="R324" s="403"/>
      <c r="S324" s="403">
        <v>337</v>
      </c>
      <c r="T324" s="403">
        <v>150</v>
      </c>
      <c r="U324" s="403"/>
      <c r="V324" s="403"/>
      <c r="W324" s="403"/>
      <c r="X324" s="403"/>
      <c r="Y324" s="139"/>
    </row>
    <row r="325" spans="10:25" x14ac:dyDescent="0.35">
      <c r="J325" s="403"/>
      <c r="K325" s="403"/>
      <c r="L325" s="403"/>
      <c r="M325" s="403"/>
      <c r="N325" s="403"/>
      <c r="O325" s="403"/>
      <c r="P325" s="403"/>
      <c r="Q325" s="403"/>
      <c r="R325" s="403"/>
      <c r="S325" s="403">
        <v>338</v>
      </c>
      <c r="T325" s="403">
        <v>150</v>
      </c>
      <c r="U325" s="403"/>
      <c r="V325" s="403"/>
      <c r="W325" s="403"/>
      <c r="X325" s="403"/>
      <c r="Y325" s="139"/>
    </row>
    <row r="326" spans="10:25" x14ac:dyDescent="0.35">
      <c r="J326" s="403"/>
      <c r="K326" s="403"/>
      <c r="L326" s="403"/>
      <c r="M326" s="403"/>
      <c r="N326" s="403"/>
      <c r="O326" s="403"/>
      <c r="P326" s="403"/>
      <c r="Q326" s="403"/>
      <c r="R326" s="403"/>
      <c r="S326" s="403">
        <v>339</v>
      </c>
      <c r="T326" s="403">
        <v>150</v>
      </c>
      <c r="U326" s="403"/>
      <c r="V326" s="403"/>
      <c r="W326" s="403"/>
      <c r="X326" s="403"/>
      <c r="Y326" s="139"/>
    </row>
    <row r="327" spans="10:25" x14ac:dyDescent="0.35">
      <c r="J327" s="403"/>
      <c r="K327" s="403"/>
      <c r="L327" s="403"/>
      <c r="M327" s="403"/>
      <c r="N327" s="403"/>
      <c r="O327" s="403"/>
      <c r="P327" s="403"/>
      <c r="Q327" s="403"/>
      <c r="R327" s="403"/>
      <c r="S327" s="403">
        <v>340</v>
      </c>
      <c r="T327" s="403">
        <v>150</v>
      </c>
      <c r="U327" s="403"/>
      <c r="V327" s="403"/>
      <c r="W327" s="403"/>
      <c r="X327" s="403"/>
      <c r="Y327" s="139"/>
    </row>
    <row r="328" spans="10:25" x14ac:dyDescent="0.35">
      <c r="J328" s="403"/>
      <c r="K328" s="403"/>
      <c r="L328" s="403"/>
      <c r="M328" s="403"/>
      <c r="N328" s="403"/>
      <c r="O328" s="403"/>
      <c r="P328" s="403"/>
      <c r="Q328" s="403"/>
      <c r="R328" s="403"/>
      <c r="S328" s="403">
        <v>341</v>
      </c>
      <c r="T328" s="403">
        <v>150</v>
      </c>
      <c r="U328" s="403"/>
      <c r="V328" s="403"/>
      <c r="W328" s="403"/>
      <c r="X328" s="403"/>
      <c r="Y328" s="139"/>
    </row>
    <row r="329" spans="10:25" x14ac:dyDescent="0.35">
      <c r="J329" s="403"/>
      <c r="K329" s="403"/>
      <c r="L329" s="403"/>
      <c r="M329" s="403"/>
      <c r="N329" s="403"/>
      <c r="O329" s="403"/>
      <c r="P329" s="403"/>
      <c r="Q329" s="403"/>
      <c r="R329" s="403"/>
      <c r="S329" s="403">
        <v>342</v>
      </c>
      <c r="T329" s="403">
        <v>150</v>
      </c>
      <c r="U329" s="403"/>
      <c r="V329" s="403"/>
      <c r="W329" s="403"/>
      <c r="X329" s="403"/>
      <c r="Y329" s="139"/>
    </row>
    <row r="330" spans="10:25" x14ac:dyDescent="0.35">
      <c r="J330" s="403"/>
      <c r="K330" s="403"/>
      <c r="L330" s="403"/>
      <c r="M330" s="403"/>
      <c r="N330" s="403"/>
      <c r="O330" s="403"/>
      <c r="P330" s="403"/>
      <c r="Q330" s="403"/>
      <c r="R330" s="403"/>
      <c r="S330" s="403">
        <v>343</v>
      </c>
      <c r="T330" s="403">
        <v>150</v>
      </c>
      <c r="U330" s="403"/>
      <c r="V330" s="403"/>
      <c r="W330" s="403"/>
      <c r="X330" s="403"/>
      <c r="Y330" s="139"/>
    </row>
    <row r="331" spans="10:25" x14ac:dyDescent="0.35">
      <c r="J331" s="403"/>
      <c r="K331" s="403"/>
      <c r="L331" s="403"/>
      <c r="M331" s="403"/>
      <c r="N331" s="403"/>
      <c r="O331" s="403"/>
      <c r="P331" s="403"/>
      <c r="Q331" s="403"/>
      <c r="R331" s="403"/>
      <c r="S331" s="403">
        <v>344</v>
      </c>
      <c r="T331" s="403">
        <v>150</v>
      </c>
      <c r="U331" s="403"/>
      <c r="V331" s="403"/>
      <c r="W331" s="403"/>
      <c r="X331" s="403"/>
      <c r="Y331" s="139"/>
    </row>
    <row r="332" spans="10:25" x14ac:dyDescent="0.35">
      <c r="J332" s="403"/>
      <c r="K332" s="403"/>
      <c r="L332" s="403"/>
      <c r="M332" s="403"/>
      <c r="N332" s="403"/>
      <c r="O332" s="403"/>
      <c r="P332" s="403"/>
      <c r="Q332" s="403"/>
      <c r="R332" s="403"/>
      <c r="S332" s="403">
        <v>345</v>
      </c>
      <c r="T332" s="403">
        <v>150</v>
      </c>
      <c r="U332" s="403"/>
      <c r="V332" s="403"/>
      <c r="W332" s="403"/>
      <c r="X332" s="403"/>
      <c r="Y332" s="139"/>
    </row>
    <row r="333" spans="10:25" x14ac:dyDescent="0.35">
      <c r="J333" s="403"/>
      <c r="K333" s="403"/>
      <c r="L333" s="403"/>
      <c r="M333" s="403"/>
      <c r="N333" s="403"/>
      <c r="O333" s="403"/>
      <c r="P333" s="403"/>
      <c r="Q333" s="403"/>
      <c r="R333" s="403"/>
      <c r="S333" s="403">
        <v>346</v>
      </c>
      <c r="T333" s="403">
        <v>150</v>
      </c>
      <c r="U333" s="403"/>
      <c r="V333" s="403"/>
      <c r="W333" s="403"/>
      <c r="X333" s="403"/>
      <c r="Y333" s="139"/>
    </row>
    <row r="334" spans="10:25" x14ac:dyDescent="0.35">
      <c r="J334" s="403"/>
      <c r="K334" s="403"/>
      <c r="L334" s="403"/>
      <c r="M334" s="403"/>
      <c r="N334" s="403"/>
      <c r="O334" s="403"/>
      <c r="P334" s="403"/>
      <c r="Q334" s="403"/>
      <c r="R334" s="403"/>
      <c r="S334" s="403">
        <v>347</v>
      </c>
      <c r="T334" s="403">
        <v>150</v>
      </c>
      <c r="U334" s="403"/>
      <c r="V334" s="403"/>
      <c r="W334" s="403"/>
      <c r="X334" s="403"/>
      <c r="Y334" s="139"/>
    </row>
    <row r="335" spans="10:25" x14ac:dyDescent="0.35">
      <c r="J335" s="403"/>
      <c r="K335" s="403"/>
      <c r="L335" s="403"/>
      <c r="M335" s="403"/>
      <c r="N335" s="403"/>
      <c r="O335" s="403"/>
      <c r="P335" s="403"/>
      <c r="Q335" s="403"/>
      <c r="R335" s="403"/>
      <c r="S335" s="403">
        <v>348</v>
      </c>
      <c r="T335" s="403">
        <v>150</v>
      </c>
      <c r="U335" s="403"/>
      <c r="V335" s="403"/>
      <c r="W335" s="403"/>
      <c r="X335" s="403"/>
      <c r="Y335" s="139"/>
    </row>
    <row r="336" spans="10:25" x14ac:dyDescent="0.35">
      <c r="J336" s="403"/>
      <c r="K336" s="403"/>
      <c r="L336" s="403"/>
      <c r="M336" s="403"/>
      <c r="N336" s="403"/>
      <c r="O336" s="403"/>
      <c r="P336" s="403"/>
      <c r="Q336" s="403"/>
      <c r="R336" s="403"/>
      <c r="S336" s="403">
        <v>349</v>
      </c>
      <c r="T336" s="403">
        <v>150</v>
      </c>
      <c r="U336" s="403"/>
      <c r="V336" s="403"/>
      <c r="W336" s="403"/>
      <c r="X336" s="403"/>
      <c r="Y336" s="139"/>
    </row>
    <row r="337" spans="10:25" x14ac:dyDescent="0.35">
      <c r="J337" s="403"/>
      <c r="K337" s="403"/>
      <c r="L337" s="403"/>
      <c r="M337" s="403"/>
      <c r="N337" s="403"/>
      <c r="O337" s="403"/>
      <c r="P337" s="403"/>
      <c r="Q337" s="403"/>
      <c r="R337" s="403"/>
      <c r="S337" s="403">
        <v>350</v>
      </c>
      <c r="T337" s="403">
        <v>150</v>
      </c>
      <c r="U337" s="403"/>
      <c r="V337" s="403"/>
      <c r="W337" s="403"/>
      <c r="X337" s="403"/>
      <c r="Y337" s="139"/>
    </row>
    <row r="338" spans="10:25" x14ac:dyDescent="0.35">
      <c r="J338" s="403"/>
      <c r="K338" s="403"/>
      <c r="L338" s="403"/>
      <c r="M338" s="403"/>
      <c r="N338" s="403"/>
      <c r="O338" s="403"/>
      <c r="P338" s="403"/>
      <c r="Q338" s="403"/>
      <c r="R338" s="403"/>
      <c r="S338" s="403">
        <v>351</v>
      </c>
      <c r="T338" s="403">
        <v>150</v>
      </c>
      <c r="U338" s="403"/>
      <c r="V338" s="403"/>
      <c r="W338" s="403"/>
      <c r="X338" s="403"/>
      <c r="Y338" s="139"/>
    </row>
    <row r="339" spans="10:25" x14ac:dyDescent="0.35">
      <c r="J339" s="403"/>
      <c r="K339" s="403"/>
      <c r="L339" s="403"/>
      <c r="M339" s="403"/>
      <c r="N339" s="403"/>
      <c r="O339" s="403"/>
      <c r="P339" s="403"/>
      <c r="Q339" s="403"/>
      <c r="R339" s="403"/>
      <c r="S339" s="403">
        <v>352</v>
      </c>
      <c r="T339" s="403">
        <v>150</v>
      </c>
      <c r="U339" s="403"/>
      <c r="V339" s="403"/>
      <c r="W339" s="403"/>
      <c r="X339" s="403"/>
      <c r="Y339" s="139"/>
    </row>
    <row r="340" spans="10:25" x14ac:dyDescent="0.35">
      <c r="J340" s="403"/>
      <c r="K340" s="403"/>
      <c r="L340" s="403"/>
      <c r="M340" s="403"/>
      <c r="N340" s="403"/>
      <c r="O340" s="403"/>
      <c r="P340" s="403"/>
      <c r="Q340" s="403"/>
      <c r="R340" s="403"/>
      <c r="S340" s="403">
        <v>353</v>
      </c>
      <c r="T340" s="403">
        <v>150</v>
      </c>
      <c r="U340" s="403"/>
      <c r="V340" s="403"/>
      <c r="W340" s="403"/>
      <c r="X340" s="403"/>
      <c r="Y340" s="139"/>
    </row>
    <row r="341" spans="10:25" x14ac:dyDescent="0.35">
      <c r="J341" s="403"/>
      <c r="K341" s="403"/>
      <c r="L341" s="403"/>
      <c r="M341" s="403"/>
      <c r="N341" s="403"/>
      <c r="O341" s="403"/>
      <c r="P341" s="403"/>
      <c r="Q341" s="403"/>
      <c r="R341" s="403"/>
      <c r="S341" s="403">
        <v>354</v>
      </c>
      <c r="T341" s="403">
        <v>150</v>
      </c>
      <c r="U341" s="403"/>
      <c r="V341" s="403"/>
      <c r="W341" s="403"/>
      <c r="X341" s="403"/>
      <c r="Y341" s="139"/>
    </row>
    <row r="342" spans="10:25" x14ac:dyDescent="0.35">
      <c r="J342" s="403"/>
      <c r="K342" s="403"/>
      <c r="L342" s="403"/>
      <c r="M342" s="403"/>
      <c r="N342" s="403"/>
      <c r="O342" s="403"/>
      <c r="P342" s="403"/>
      <c r="Q342" s="403"/>
      <c r="R342" s="403"/>
      <c r="S342" s="403">
        <v>355</v>
      </c>
      <c r="T342" s="403">
        <v>150</v>
      </c>
      <c r="U342" s="403"/>
      <c r="V342" s="403"/>
      <c r="W342" s="403"/>
      <c r="X342" s="403"/>
      <c r="Y342" s="139"/>
    </row>
    <row r="343" spans="10:25" x14ac:dyDescent="0.35">
      <c r="J343" s="403"/>
      <c r="K343" s="403"/>
      <c r="L343" s="403"/>
      <c r="M343" s="403"/>
      <c r="N343" s="403"/>
      <c r="O343" s="403"/>
      <c r="P343" s="403"/>
      <c r="Q343" s="403"/>
      <c r="R343" s="403"/>
      <c r="S343" s="403">
        <v>356</v>
      </c>
      <c r="T343" s="403">
        <v>150</v>
      </c>
      <c r="U343" s="403"/>
      <c r="V343" s="403"/>
      <c r="W343" s="403"/>
      <c r="X343" s="403"/>
      <c r="Y343" s="139"/>
    </row>
    <row r="344" spans="10:25" x14ac:dyDescent="0.35">
      <c r="J344" s="403"/>
      <c r="K344" s="403"/>
      <c r="L344" s="403"/>
      <c r="M344" s="403"/>
      <c r="N344" s="403"/>
      <c r="O344" s="403"/>
      <c r="P344" s="403"/>
      <c r="Q344" s="403"/>
      <c r="R344" s="403"/>
      <c r="S344" s="403">
        <v>357</v>
      </c>
      <c r="T344" s="403">
        <v>150</v>
      </c>
      <c r="U344" s="403"/>
      <c r="V344" s="403"/>
      <c r="W344" s="403"/>
      <c r="X344" s="403"/>
      <c r="Y344" s="139"/>
    </row>
    <row r="345" spans="10:25" x14ac:dyDescent="0.35">
      <c r="J345" s="403"/>
      <c r="K345" s="403"/>
      <c r="L345" s="403"/>
      <c r="M345" s="403"/>
      <c r="N345" s="403"/>
      <c r="O345" s="403"/>
      <c r="P345" s="403"/>
      <c r="Q345" s="403"/>
      <c r="R345" s="403"/>
      <c r="S345" s="403">
        <v>358</v>
      </c>
      <c r="T345" s="403">
        <v>150</v>
      </c>
      <c r="U345" s="403"/>
      <c r="V345" s="403"/>
      <c r="W345" s="403"/>
      <c r="X345" s="403"/>
      <c r="Y345" s="139"/>
    </row>
    <row r="346" spans="10:25" x14ac:dyDescent="0.35">
      <c r="J346" s="403"/>
      <c r="K346" s="403"/>
      <c r="L346" s="403"/>
      <c r="M346" s="403"/>
      <c r="N346" s="403"/>
      <c r="O346" s="403"/>
      <c r="P346" s="403"/>
      <c r="Q346" s="403"/>
      <c r="R346" s="403"/>
      <c r="S346" s="403">
        <v>359</v>
      </c>
      <c r="T346" s="403">
        <v>150</v>
      </c>
      <c r="U346" s="403"/>
      <c r="V346" s="403"/>
      <c r="W346" s="403"/>
      <c r="X346" s="403"/>
      <c r="Y346" s="139"/>
    </row>
    <row r="347" spans="10:25" x14ac:dyDescent="0.35">
      <c r="J347" s="403"/>
      <c r="K347" s="403"/>
      <c r="L347" s="403"/>
      <c r="M347" s="403"/>
      <c r="N347" s="403"/>
      <c r="O347" s="403"/>
      <c r="P347" s="403"/>
      <c r="Q347" s="403"/>
      <c r="R347" s="403"/>
      <c r="S347" s="403">
        <v>360</v>
      </c>
      <c r="T347" s="403">
        <v>150</v>
      </c>
      <c r="U347" s="403">
        <v>360</v>
      </c>
      <c r="V347" s="403"/>
      <c r="W347" s="403"/>
      <c r="X347" s="403"/>
      <c r="Y347" s="139"/>
    </row>
    <row r="348" spans="10:25" x14ac:dyDescent="0.35">
      <c r="J348" s="403"/>
      <c r="K348" s="403"/>
      <c r="L348" s="403"/>
      <c r="M348" s="403"/>
      <c r="N348" s="403"/>
      <c r="O348" s="403"/>
      <c r="P348" s="403"/>
      <c r="Q348" s="403"/>
      <c r="R348" s="403"/>
      <c r="S348" s="403"/>
      <c r="T348" s="403"/>
      <c r="U348" s="403"/>
      <c r="V348" s="403"/>
      <c r="W348" s="403"/>
      <c r="X348" s="403"/>
      <c r="Y348" s="139"/>
    </row>
    <row r="349" spans="10:25" x14ac:dyDescent="0.35">
      <c r="J349" s="403"/>
      <c r="K349" s="403"/>
      <c r="L349" s="403"/>
      <c r="M349" s="403"/>
      <c r="N349" s="403"/>
      <c r="O349" s="403"/>
      <c r="P349" s="403"/>
      <c r="Q349" s="403"/>
      <c r="R349" s="403"/>
      <c r="S349" s="403"/>
      <c r="T349" s="403"/>
      <c r="U349" s="403"/>
      <c r="V349" s="403"/>
      <c r="W349" s="403"/>
      <c r="X349" s="403"/>
      <c r="Y349" s="139"/>
    </row>
    <row r="350" spans="10:25" x14ac:dyDescent="0.35">
      <c r="J350" s="403"/>
      <c r="K350" s="403"/>
      <c r="L350" s="403"/>
      <c r="M350" s="403"/>
      <c r="N350" s="403"/>
      <c r="O350" s="403"/>
      <c r="P350" s="403"/>
      <c r="Q350" s="403"/>
      <c r="R350" s="403"/>
      <c r="S350" s="403"/>
      <c r="T350" s="403"/>
      <c r="U350" s="403"/>
      <c r="V350" s="403"/>
      <c r="W350" s="403"/>
      <c r="X350" s="403"/>
      <c r="Y350" s="139"/>
    </row>
    <row r="351" spans="10:25" x14ac:dyDescent="0.35">
      <c r="J351" s="403"/>
      <c r="K351" s="403"/>
      <c r="L351" s="403"/>
      <c r="M351" s="403"/>
      <c r="N351" s="403"/>
      <c r="O351" s="403"/>
      <c r="P351" s="403"/>
      <c r="Q351" s="403"/>
      <c r="R351" s="403"/>
      <c r="S351" s="403"/>
      <c r="T351" s="403"/>
      <c r="U351" s="403"/>
      <c r="V351" s="403"/>
      <c r="W351" s="403"/>
      <c r="X351" s="403"/>
      <c r="Y351" s="139"/>
    </row>
    <row r="352" spans="10:25" x14ac:dyDescent="0.35">
      <c r="J352" s="403"/>
      <c r="K352" s="403"/>
      <c r="L352" s="403"/>
      <c r="M352" s="403"/>
      <c r="N352" s="403"/>
      <c r="O352" s="403"/>
      <c r="P352" s="403"/>
      <c r="Q352" s="403"/>
      <c r="R352" s="403"/>
      <c r="S352" s="403"/>
      <c r="T352" s="403"/>
      <c r="U352" s="403"/>
      <c r="V352" s="403"/>
      <c r="W352" s="403"/>
      <c r="X352" s="403"/>
      <c r="Y352" s="139"/>
    </row>
    <row r="353" spans="10:25" x14ac:dyDescent="0.35">
      <c r="J353" s="403"/>
      <c r="K353" s="403"/>
      <c r="L353" s="403"/>
      <c r="M353" s="403"/>
      <c r="N353" s="403"/>
      <c r="O353" s="403"/>
      <c r="P353" s="403"/>
      <c r="Q353" s="403"/>
      <c r="R353" s="403"/>
      <c r="S353" s="403"/>
      <c r="T353" s="403"/>
      <c r="U353" s="403"/>
      <c r="V353" s="403"/>
      <c r="W353" s="403"/>
      <c r="X353" s="403"/>
      <c r="Y353" s="139"/>
    </row>
    <row r="354" spans="10:25" x14ac:dyDescent="0.35">
      <c r="J354" s="403"/>
      <c r="K354" s="403"/>
      <c r="L354" s="403"/>
      <c r="M354" s="403"/>
      <c r="N354" s="403"/>
      <c r="O354" s="403"/>
      <c r="P354" s="403"/>
      <c r="Q354" s="403"/>
      <c r="R354" s="403"/>
      <c r="S354" s="403"/>
      <c r="T354" s="403"/>
      <c r="U354" s="403"/>
      <c r="V354" s="403"/>
      <c r="W354" s="403"/>
      <c r="X354" s="403"/>
      <c r="Y354" s="139"/>
    </row>
    <row r="355" spans="10:25" x14ac:dyDescent="0.35"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139"/>
    </row>
    <row r="356" spans="10:25" x14ac:dyDescent="0.35"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139"/>
    </row>
    <row r="357" spans="10:25" x14ac:dyDescent="0.35">
      <c r="J357" s="403"/>
      <c r="K357" s="403"/>
      <c r="L357" s="403"/>
      <c r="M357" s="403"/>
      <c r="N357" s="403"/>
      <c r="O357" s="403"/>
      <c r="P357" s="403"/>
      <c r="Q357" s="403"/>
      <c r="R357" s="403"/>
      <c r="S357" s="403"/>
      <c r="T357" s="403"/>
      <c r="U357" s="403"/>
      <c r="V357" s="403"/>
      <c r="W357" s="403"/>
      <c r="X357" s="403"/>
      <c r="Y357" s="139"/>
    </row>
    <row r="358" spans="10:25" x14ac:dyDescent="0.35"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139"/>
    </row>
    <row r="359" spans="10:25" x14ac:dyDescent="0.35"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139"/>
    </row>
    <row r="360" spans="10:25" x14ac:dyDescent="0.35"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139"/>
    </row>
    <row r="361" spans="10:25" x14ac:dyDescent="0.35"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139"/>
    </row>
    <row r="362" spans="10:25" x14ac:dyDescent="0.35"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139"/>
    </row>
    <row r="363" spans="10:25" x14ac:dyDescent="0.35">
      <c r="J363" s="403"/>
      <c r="K363" s="403"/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139"/>
    </row>
    <row r="364" spans="10:25" x14ac:dyDescent="0.35"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139"/>
    </row>
    <row r="365" spans="10:25" x14ac:dyDescent="0.35"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139"/>
    </row>
    <row r="366" spans="10:25" x14ac:dyDescent="0.35"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139"/>
    </row>
    <row r="367" spans="10:25" x14ac:dyDescent="0.35">
      <c r="J367" s="403"/>
      <c r="K367" s="403"/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139"/>
    </row>
    <row r="368" spans="10:25" x14ac:dyDescent="0.35"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139"/>
    </row>
    <row r="369" spans="10:25" x14ac:dyDescent="0.35">
      <c r="J369" s="403"/>
      <c r="K369" s="403"/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139"/>
    </row>
    <row r="370" spans="10:25" x14ac:dyDescent="0.35">
      <c r="J370" s="403"/>
      <c r="K370" s="403"/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139"/>
    </row>
    <row r="371" spans="10:25" x14ac:dyDescent="0.35">
      <c r="J371" s="403"/>
      <c r="K371" s="403"/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139"/>
    </row>
    <row r="372" spans="10:25" x14ac:dyDescent="0.35">
      <c r="J372" s="403"/>
      <c r="K372" s="403"/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139"/>
    </row>
    <row r="373" spans="10:25" x14ac:dyDescent="0.35">
      <c r="J373" s="403"/>
      <c r="K373" s="403"/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139"/>
    </row>
    <row r="374" spans="10:25" x14ac:dyDescent="0.35">
      <c r="J374" s="403"/>
      <c r="K374" s="403"/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139"/>
    </row>
    <row r="375" spans="10:25" x14ac:dyDescent="0.35">
      <c r="J375" s="403"/>
      <c r="K375" s="403"/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139"/>
    </row>
    <row r="376" spans="10:25" x14ac:dyDescent="0.35">
      <c r="J376" s="403"/>
      <c r="K376" s="403"/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139"/>
    </row>
    <row r="377" spans="10:25" x14ac:dyDescent="0.35">
      <c r="J377" s="403"/>
      <c r="K377" s="403"/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139"/>
    </row>
    <row r="378" spans="10:25" x14ac:dyDescent="0.35">
      <c r="J378" s="403"/>
      <c r="K378" s="403"/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139"/>
    </row>
    <row r="379" spans="10:25" x14ac:dyDescent="0.35">
      <c r="J379" s="403"/>
      <c r="K379" s="403"/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139"/>
    </row>
    <row r="380" spans="10:25" x14ac:dyDescent="0.35">
      <c r="J380" s="403"/>
      <c r="K380" s="403"/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139"/>
    </row>
    <row r="381" spans="10:25" x14ac:dyDescent="0.35">
      <c r="J381" s="403"/>
      <c r="K381" s="403"/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139"/>
    </row>
    <row r="382" spans="10:25" x14ac:dyDescent="0.35">
      <c r="J382" s="403"/>
      <c r="K382" s="403"/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139"/>
    </row>
    <row r="383" spans="10:25" x14ac:dyDescent="0.35">
      <c r="J383" s="403"/>
      <c r="K383" s="403"/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139"/>
    </row>
    <row r="384" spans="10:25" x14ac:dyDescent="0.35">
      <c r="J384" s="403"/>
      <c r="K384" s="403"/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139"/>
    </row>
    <row r="385" spans="10:25" x14ac:dyDescent="0.35">
      <c r="J385" s="403"/>
      <c r="K385" s="403"/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139"/>
    </row>
    <row r="386" spans="10:25" x14ac:dyDescent="0.35">
      <c r="J386" s="403"/>
      <c r="K386" s="403"/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139"/>
    </row>
    <row r="387" spans="10:25" x14ac:dyDescent="0.35"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139"/>
    </row>
    <row r="388" spans="10:25" x14ac:dyDescent="0.35"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139"/>
    </row>
    <row r="389" spans="10:25" x14ac:dyDescent="0.35"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139"/>
    </row>
    <row r="390" spans="10:25" x14ac:dyDescent="0.35">
      <c r="J390" s="403"/>
      <c r="K390" s="403"/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139"/>
    </row>
    <row r="391" spans="10:25" x14ac:dyDescent="0.35"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139"/>
    </row>
    <row r="392" spans="10:25" x14ac:dyDescent="0.35"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139"/>
    </row>
    <row r="393" spans="10:25" x14ac:dyDescent="0.35"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139"/>
    </row>
    <row r="394" spans="10:25" x14ac:dyDescent="0.35"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139"/>
    </row>
    <row r="395" spans="10:25" x14ac:dyDescent="0.35"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139"/>
    </row>
    <row r="396" spans="10:25" x14ac:dyDescent="0.35">
      <c r="J396" s="403"/>
      <c r="K396" s="403"/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139"/>
    </row>
    <row r="397" spans="10:25" x14ac:dyDescent="0.35"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139"/>
    </row>
    <row r="398" spans="10:25" x14ac:dyDescent="0.35"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139"/>
    </row>
    <row r="399" spans="10:25" x14ac:dyDescent="0.35"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139"/>
    </row>
    <row r="400" spans="10:25" x14ac:dyDescent="0.35">
      <c r="J400" s="403"/>
      <c r="K400" s="403"/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139"/>
    </row>
    <row r="401" spans="10:25" x14ac:dyDescent="0.35"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139"/>
    </row>
    <row r="402" spans="10:25" x14ac:dyDescent="0.35"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139"/>
    </row>
    <row r="403" spans="10:25" x14ac:dyDescent="0.35"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139"/>
    </row>
    <row r="404" spans="10:25" x14ac:dyDescent="0.35"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139"/>
    </row>
    <row r="405" spans="10:25" x14ac:dyDescent="0.35">
      <c r="J405" s="403"/>
      <c r="K405" s="403"/>
      <c r="L405" s="403"/>
      <c r="M405" s="403"/>
      <c r="N405" s="403"/>
      <c r="O405" s="403"/>
      <c r="P405" s="403"/>
      <c r="Q405" s="403"/>
      <c r="R405" s="403"/>
      <c r="S405" s="403"/>
      <c r="T405" s="403"/>
      <c r="U405" s="403"/>
      <c r="V405" s="403"/>
      <c r="W405" s="403"/>
      <c r="X405" s="403"/>
      <c r="Y405" s="139"/>
    </row>
    <row r="406" spans="10:25" x14ac:dyDescent="0.35">
      <c r="J406" s="403"/>
      <c r="K406" s="403"/>
      <c r="L406" s="403"/>
      <c r="M406" s="403"/>
      <c r="N406" s="403"/>
      <c r="O406" s="403"/>
      <c r="P406" s="403"/>
      <c r="Q406" s="403"/>
      <c r="R406" s="403"/>
      <c r="S406" s="403"/>
      <c r="T406" s="403"/>
      <c r="U406" s="403"/>
      <c r="V406" s="403"/>
      <c r="W406" s="403"/>
      <c r="X406" s="403"/>
      <c r="Y406" s="139"/>
    </row>
    <row r="407" spans="10:25" x14ac:dyDescent="0.35">
      <c r="J407" s="403"/>
      <c r="K407" s="403"/>
      <c r="L407" s="403"/>
      <c r="M407" s="403"/>
      <c r="N407" s="403"/>
      <c r="O407" s="403"/>
      <c r="P407" s="403"/>
      <c r="Q407" s="403"/>
      <c r="R407" s="403"/>
      <c r="S407" s="403"/>
      <c r="T407" s="403"/>
      <c r="U407" s="403"/>
      <c r="V407" s="403"/>
      <c r="W407" s="403"/>
      <c r="X407" s="403"/>
      <c r="Y407" s="139"/>
    </row>
    <row r="408" spans="10:25" x14ac:dyDescent="0.35">
      <c r="J408" s="403"/>
      <c r="K408" s="403"/>
      <c r="L408" s="403"/>
      <c r="M408" s="403"/>
      <c r="N408" s="403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139"/>
    </row>
    <row r="409" spans="10:25" x14ac:dyDescent="0.35">
      <c r="J409" s="403"/>
      <c r="K409" s="403"/>
      <c r="L409" s="403"/>
      <c r="M409" s="403"/>
      <c r="N409" s="403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139"/>
    </row>
    <row r="410" spans="10:25" x14ac:dyDescent="0.35">
      <c r="J410" s="403"/>
      <c r="K410" s="403"/>
      <c r="L410" s="403"/>
      <c r="M410" s="403"/>
      <c r="N410" s="403"/>
      <c r="O410" s="403"/>
      <c r="P410" s="403"/>
      <c r="Q410" s="403"/>
      <c r="R410" s="403"/>
      <c r="S410" s="403"/>
      <c r="T410" s="403"/>
      <c r="U410" s="403"/>
      <c r="V410" s="403"/>
      <c r="W410" s="403"/>
      <c r="X410" s="403"/>
      <c r="Y410" s="139"/>
    </row>
    <row r="411" spans="10:25" x14ac:dyDescent="0.35">
      <c r="J411" s="403"/>
      <c r="K411" s="403"/>
      <c r="L411" s="403"/>
      <c r="M411" s="403"/>
      <c r="N411" s="403"/>
      <c r="O411" s="403"/>
      <c r="P411" s="403"/>
      <c r="Q411" s="403"/>
      <c r="R411" s="403"/>
      <c r="S411" s="403"/>
      <c r="T411" s="403"/>
      <c r="U411" s="403"/>
      <c r="V411" s="403"/>
      <c r="W411" s="403"/>
      <c r="X411" s="403"/>
      <c r="Y411" s="139"/>
    </row>
    <row r="412" spans="10:25" x14ac:dyDescent="0.35">
      <c r="J412" s="403"/>
      <c r="K412" s="403"/>
      <c r="L412" s="403"/>
      <c r="M412" s="403"/>
      <c r="N412" s="403"/>
      <c r="O412" s="403"/>
      <c r="P412" s="403"/>
      <c r="Q412" s="403"/>
      <c r="R412" s="403"/>
      <c r="S412" s="403"/>
      <c r="T412" s="403"/>
      <c r="U412" s="403"/>
      <c r="V412" s="403"/>
      <c r="W412" s="403"/>
      <c r="X412" s="403"/>
      <c r="Y412" s="139"/>
    </row>
    <row r="413" spans="10:25" x14ac:dyDescent="0.35">
      <c r="J413" s="403"/>
      <c r="K413" s="403"/>
      <c r="L413" s="403"/>
      <c r="M413" s="403"/>
      <c r="N413" s="403"/>
      <c r="O413" s="403"/>
      <c r="P413" s="403"/>
      <c r="Q413" s="403"/>
      <c r="R413" s="403"/>
      <c r="S413" s="403"/>
      <c r="T413" s="403"/>
      <c r="U413" s="403"/>
      <c r="V413" s="403"/>
      <c r="W413" s="403"/>
      <c r="X413" s="403"/>
      <c r="Y413" s="139"/>
    </row>
    <row r="414" spans="10:25" x14ac:dyDescent="0.35">
      <c r="J414" s="403"/>
      <c r="K414" s="403"/>
      <c r="L414" s="403"/>
      <c r="M414" s="403"/>
      <c r="N414" s="403"/>
      <c r="O414" s="403"/>
      <c r="P414" s="403"/>
      <c r="Q414" s="403"/>
      <c r="R414" s="403"/>
      <c r="S414" s="403"/>
      <c r="T414" s="403"/>
      <c r="U414" s="403"/>
      <c r="V414" s="403"/>
      <c r="W414" s="403"/>
      <c r="X414" s="403"/>
      <c r="Y414" s="139"/>
    </row>
    <row r="415" spans="10:25" x14ac:dyDescent="0.35">
      <c r="J415" s="403"/>
      <c r="K415" s="403"/>
      <c r="L415" s="403"/>
      <c r="M415" s="403"/>
      <c r="N415" s="403"/>
      <c r="O415" s="403"/>
      <c r="P415" s="403"/>
      <c r="Q415" s="403"/>
      <c r="R415" s="403"/>
      <c r="S415" s="403"/>
      <c r="T415" s="403"/>
      <c r="U415" s="403"/>
      <c r="V415" s="403"/>
      <c r="W415" s="403"/>
      <c r="X415" s="403"/>
      <c r="Y415" s="139"/>
    </row>
    <row r="416" spans="10:25" x14ac:dyDescent="0.35">
      <c r="J416" s="403"/>
      <c r="K416" s="403"/>
      <c r="L416" s="403"/>
      <c r="M416" s="403"/>
      <c r="N416" s="403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139"/>
    </row>
    <row r="417" spans="10:25" x14ac:dyDescent="0.35">
      <c r="J417" s="403"/>
      <c r="K417" s="403"/>
      <c r="L417" s="403"/>
      <c r="M417" s="403"/>
      <c r="N417" s="403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139"/>
    </row>
    <row r="418" spans="10:25" x14ac:dyDescent="0.35">
      <c r="J418" s="403"/>
      <c r="K418" s="403"/>
      <c r="L418" s="403"/>
      <c r="M418" s="403"/>
      <c r="N418" s="403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139"/>
    </row>
    <row r="419" spans="10:25" x14ac:dyDescent="0.35">
      <c r="J419" s="403"/>
      <c r="K419" s="403"/>
      <c r="L419" s="403"/>
      <c r="M419" s="403"/>
      <c r="N419" s="403"/>
      <c r="O419" s="403"/>
      <c r="P419" s="403"/>
      <c r="Q419" s="403"/>
      <c r="R419" s="403"/>
      <c r="S419" s="403"/>
      <c r="T419" s="403"/>
      <c r="U419" s="403"/>
      <c r="V419" s="403"/>
      <c r="W419" s="403"/>
      <c r="X419" s="403"/>
      <c r="Y419" s="139"/>
    </row>
    <row r="420" spans="10:25" x14ac:dyDescent="0.35">
      <c r="J420" s="403"/>
      <c r="K420" s="403"/>
      <c r="L420" s="403"/>
      <c r="M420" s="403"/>
      <c r="N420" s="403"/>
      <c r="O420" s="403"/>
      <c r="P420" s="403"/>
      <c r="Q420" s="403"/>
      <c r="R420" s="403"/>
      <c r="S420" s="403"/>
      <c r="T420" s="403"/>
      <c r="U420" s="403"/>
      <c r="V420" s="403"/>
      <c r="W420" s="403"/>
      <c r="X420" s="403"/>
      <c r="Y420" s="139"/>
    </row>
    <row r="421" spans="10:25" x14ac:dyDescent="0.35"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139"/>
    </row>
    <row r="422" spans="10:25" x14ac:dyDescent="0.35"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139"/>
    </row>
    <row r="423" spans="10:25" x14ac:dyDescent="0.35">
      <c r="J423" s="403"/>
      <c r="K423" s="403"/>
      <c r="L423" s="403"/>
      <c r="M423" s="403"/>
      <c r="N423" s="403"/>
      <c r="O423" s="403"/>
      <c r="P423" s="403"/>
      <c r="Q423" s="403"/>
      <c r="R423" s="403"/>
      <c r="S423" s="403"/>
      <c r="T423" s="403"/>
      <c r="U423" s="403"/>
      <c r="V423" s="403"/>
      <c r="W423" s="403"/>
      <c r="X423" s="403"/>
      <c r="Y423" s="139"/>
    </row>
    <row r="424" spans="10:25" x14ac:dyDescent="0.35"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139"/>
    </row>
    <row r="425" spans="10:25" x14ac:dyDescent="0.35"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139"/>
    </row>
    <row r="426" spans="10:25" x14ac:dyDescent="0.35"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139"/>
    </row>
    <row r="427" spans="10:25" x14ac:dyDescent="0.35"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139"/>
    </row>
    <row r="428" spans="10:25" x14ac:dyDescent="0.35"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139"/>
    </row>
    <row r="429" spans="10:25" x14ac:dyDescent="0.35">
      <c r="J429" s="403"/>
      <c r="K429" s="403"/>
      <c r="L429" s="403"/>
      <c r="M429" s="403"/>
      <c r="N429" s="403"/>
      <c r="O429" s="403"/>
      <c r="P429" s="403"/>
      <c r="Q429" s="403"/>
      <c r="R429" s="403"/>
      <c r="S429" s="403"/>
      <c r="T429" s="403"/>
      <c r="U429" s="403"/>
      <c r="V429" s="403"/>
      <c r="W429" s="403"/>
      <c r="X429" s="403"/>
      <c r="Y429" s="139"/>
    </row>
    <row r="430" spans="10:25" x14ac:dyDescent="0.35"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139"/>
    </row>
    <row r="431" spans="10:25" x14ac:dyDescent="0.35"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139"/>
    </row>
    <row r="432" spans="10:25" x14ac:dyDescent="0.35"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139"/>
    </row>
    <row r="433" spans="10:25" x14ac:dyDescent="0.35"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03"/>
      <c r="U433" s="403"/>
      <c r="V433" s="403"/>
      <c r="W433" s="403"/>
      <c r="X433" s="403"/>
      <c r="Y433" s="139"/>
    </row>
    <row r="434" spans="10:25" x14ac:dyDescent="0.35"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139"/>
    </row>
    <row r="435" spans="10:25" x14ac:dyDescent="0.35">
      <c r="J435" s="403"/>
      <c r="K435" s="403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403"/>
      <c r="Y435" s="139"/>
    </row>
    <row r="436" spans="10:25" x14ac:dyDescent="0.35">
      <c r="J436" s="403"/>
      <c r="K436" s="403"/>
      <c r="X436" s="403"/>
      <c r="Y436" s="139"/>
    </row>
    <row r="437" spans="10:25" x14ac:dyDescent="0.35">
      <c r="X437" s="139"/>
      <c r="Y437" s="139"/>
    </row>
    <row r="438" spans="10:25" x14ac:dyDescent="0.35">
      <c r="Y438" s="139"/>
    </row>
    <row r="439" spans="10:25" x14ac:dyDescent="0.35">
      <c r="Y439" s="139"/>
    </row>
  </sheetData>
  <sheetProtection algorithmName="SHA-512" hashValue="mIo7m+u5TN8GtemNCow/4IJa8iS/Q6IUEjUPpKott6VhTapjC/dq9YXRDrBIRGJ/8Fqxh9akhjRGNc0DHw+DIg==" saltValue="jpdRkALkU3+VIQbqT1eFMQ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19" customWidth="1"/>
    <col min="2" max="16" width="5.73046875" style="219" customWidth="1"/>
    <col min="17" max="17" width="6.86328125" style="219" customWidth="1"/>
    <col min="18" max="20" width="5.73046875" style="219" customWidth="1"/>
    <col min="21" max="16384" width="9.1328125" style="219"/>
  </cols>
  <sheetData>
    <row r="1" spans="1:17" x14ac:dyDescent="0.35">
      <c r="A1" s="434"/>
      <c r="B1" s="219" t="s">
        <v>552</v>
      </c>
      <c r="D1" s="655">
        <f>__1_Bed</f>
        <v>0</v>
      </c>
      <c r="L1" s="219" t="s">
        <v>553</v>
      </c>
      <c r="M1" s="958">
        <f ca="1">TODAY()</f>
        <v>42739</v>
      </c>
      <c r="N1" s="959"/>
      <c r="O1" s="221">
        <f ca="1">NOW()</f>
        <v>42739.609596064816</v>
      </c>
      <c r="P1" s="221"/>
    </row>
    <row r="2" spans="1:17" ht="6.8" customHeight="1" x14ac:dyDescent="0.35"/>
    <row r="3" spans="1:17" ht="13.2" x14ac:dyDescent="0.4">
      <c r="B3" s="222" t="str">
        <f>NeoGui1700!B10</f>
        <v>Medische Afspraken</v>
      </c>
      <c r="J3" s="219" t="s">
        <v>369</v>
      </c>
      <c r="M3" s="960">
        <f>__0_PatNum</f>
        <v>0</v>
      </c>
      <c r="N3" s="960"/>
      <c r="O3" s="223"/>
    </row>
    <row r="4" spans="1:17" ht="13.2" x14ac:dyDescent="0.4">
      <c r="B4" s="222" t="str">
        <f>NeoGui1700!B11</f>
        <v>Afdeling Neonatologie (IC-HC-MC)</v>
      </c>
      <c r="J4" s="219" t="str">
        <f>NeoGui1700!G11</f>
        <v>Naam:</v>
      </c>
      <c r="M4" s="224" t="str">
        <f>NeoGui1700!I11</f>
        <v xml:space="preserve">,  </v>
      </c>
      <c r="N4" s="225"/>
      <c r="O4" s="223"/>
    </row>
    <row r="5" spans="1:17" ht="13.2" x14ac:dyDescent="0.4">
      <c r="B5" s="222" t="str">
        <f>NeoGui1700!B12</f>
        <v>Divisie Obstetrie Neonatologie en Gynaecologie</v>
      </c>
      <c r="J5" s="219" t="str">
        <f>NeoGui1700!G12</f>
        <v>Geboortedatum:</v>
      </c>
      <c r="M5" s="961">
        <f>NeoGui1700!I12</f>
        <v>0</v>
      </c>
      <c r="N5" s="961"/>
      <c r="O5" s="961"/>
      <c r="P5" s="961"/>
    </row>
    <row r="6" spans="1:17" ht="15.1" x14ac:dyDescent="0.4">
      <c r="A6" s="434"/>
      <c r="B6" s="226"/>
      <c r="C6" s="227"/>
      <c r="D6" s="227"/>
      <c r="E6" s="227"/>
      <c r="F6" s="227"/>
      <c r="G6" s="227"/>
      <c r="H6" s="227"/>
      <c r="I6" s="227"/>
      <c r="J6" s="219" t="str">
        <f ca="1">"Leeftijd: "&amp;Var_Neo_Dag&amp;" dag(-en)"</f>
        <v>Leeftijd: 42740 dag(-en)</v>
      </c>
      <c r="N6" s="227" t="s">
        <v>554</v>
      </c>
      <c r="O6" s="227" t="str">
        <f>NeoGui1700!H13&amp;" weken en "&amp;NeoGui1700!J13&amp;" dagen"</f>
        <v>30 weken en 0 dagen</v>
      </c>
      <c r="Q6" s="227"/>
    </row>
    <row r="7" spans="1:17" ht="9.0500000000000007" customHeight="1" x14ac:dyDescent="0.4">
      <c r="B7" s="228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30"/>
      <c r="P7" s="230"/>
      <c r="Q7" s="229"/>
    </row>
    <row r="8" spans="1:17" x14ac:dyDescent="0.35">
      <c r="P8" s="231" t="s">
        <v>555</v>
      </c>
      <c r="Q8" s="232"/>
    </row>
    <row r="9" spans="1:17" x14ac:dyDescent="0.35">
      <c r="B9" s="219" t="str">
        <f>NeoGui1700!B14</f>
        <v>Datum:</v>
      </c>
      <c r="D9" s="962">
        <f>NeoGui1700!C14</f>
        <v>42370</v>
      </c>
      <c r="E9" s="962"/>
      <c r="F9" s="959"/>
      <c r="I9" s="219" t="str">
        <f>NeoGui1700!G16</f>
        <v>Gewicht:</v>
      </c>
      <c r="K9" s="219" t="str">
        <f>NeoGui1700!H16</f>
        <v>10 kg</v>
      </c>
      <c r="P9" s="231" t="s">
        <v>556</v>
      </c>
      <c r="Q9" s="232"/>
    </row>
    <row r="10" spans="1:17" x14ac:dyDescent="0.35">
      <c r="B10" s="219" t="str">
        <f>NeoGui1700!B15</f>
        <v>Bed:</v>
      </c>
      <c r="F10" s="219">
        <f>_Neo_InfB_Arts</f>
        <v>0</v>
      </c>
      <c r="I10" s="963" t="str">
        <f ca="1">"Leeftijd: "&amp;NeoGui1700!$H$15</f>
        <v>Leeftijd: 6135 weken en 4 dag(-en)</v>
      </c>
      <c r="J10" s="959"/>
      <c r="K10" s="959"/>
      <c r="L10" s="959"/>
      <c r="M10" s="959"/>
      <c r="N10" s="959"/>
      <c r="O10" s="964"/>
      <c r="P10" s="231"/>
      <c r="Q10" s="232"/>
    </row>
    <row r="11" spans="1:17" x14ac:dyDescent="0.35">
      <c r="B11" s="229" t="s">
        <v>557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1"/>
      <c r="Q11" s="232"/>
    </row>
    <row r="12" spans="1:17" x14ac:dyDescent="0.35">
      <c r="P12" s="231"/>
      <c r="Q12" s="232"/>
    </row>
    <row r="13" spans="1:17" ht="13.2" x14ac:dyDescent="0.4">
      <c r="B13" s="233" t="str">
        <f>NeoGui1700!B18</f>
        <v>Totale vochtintake</v>
      </c>
      <c r="C13" s="227"/>
      <c r="D13" s="227"/>
      <c r="E13" s="227"/>
      <c r="F13" s="234">
        <f ca="1">NeoGui1700!E18</f>
        <v>0</v>
      </c>
      <c r="G13" s="227" t="str">
        <f>NeoGui1700!F18</f>
        <v>ml/ kg/ 24 uur</v>
      </c>
      <c r="H13" s="227"/>
      <c r="I13" s="227"/>
      <c r="J13" s="219" t="str">
        <f ca="1">"= "&amp;NeoBer1700!K47&amp;" ml"</f>
        <v>= 0 ml</v>
      </c>
      <c r="P13" s="231"/>
      <c r="Q13" s="232"/>
    </row>
    <row r="14" spans="1:17" ht="13.2" x14ac:dyDescent="0.4">
      <c r="B14" s="233"/>
      <c r="C14" s="227"/>
      <c r="D14" s="227"/>
      <c r="E14" s="227"/>
      <c r="F14" s="234"/>
      <c r="G14" s="227"/>
      <c r="H14" s="227"/>
      <c r="I14" s="227"/>
      <c r="P14" s="470"/>
      <c r="Q14" s="471"/>
    </row>
    <row r="15" spans="1:17" ht="13.2" x14ac:dyDescent="0.4">
      <c r="B15" s="233"/>
      <c r="C15" s="227"/>
      <c r="D15" s="227"/>
      <c r="E15" s="227"/>
      <c r="F15" s="234"/>
      <c r="G15" s="227"/>
      <c r="H15" s="227"/>
      <c r="I15" s="227"/>
      <c r="J15" s="225" t="s">
        <v>1042</v>
      </c>
      <c r="P15" s="470"/>
      <c r="Q15" s="471"/>
    </row>
    <row r="16" spans="1:17" ht="13.2" x14ac:dyDescent="0.4">
      <c r="B16" s="222" t="str">
        <f>NeoGui1700!H21</f>
        <v>Voeding:</v>
      </c>
      <c r="E16" s="219">
        <f>INDEX(tbl_Neo_Pos,NeoBer1700!D14,1)</f>
        <v>0</v>
      </c>
      <c r="I16" s="219" t="str">
        <f>IF(OR(J16&lt;&gt;0,J17&lt;&gt;0,J18&lt;&gt;0,J19&lt;&gt;0,J20&lt;&gt;0),"met","")</f>
        <v>met</v>
      </c>
      <c r="J16" s="219" t="str">
        <f>IF(NeoBer1700!K52=0,"","BMF in MM")</f>
        <v/>
      </c>
      <c r="M16" s="225">
        <f>IF(J16&lt;&gt;0,NeoBer1700!K52,0)</f>
        <v>0</v>
      </c>
      <c r="N16" s="219" t="str">
        <f>IF(M16&lt;&gt;0,"%","")</f>
        <v/>
      </c>
      <c r="P16" s="470"/>
      <c r="Q16" s="471"/>
    </row>
    <row r="17" spans="1:17" ht="13.2" x14ac:dyDescent="0.4">
      <c r="B17" s="235" t="str">
        <f>NeoGui1700!D21</f>
        <v>Hoeveelheid:</v>
      </c>
      <c r="E17" s="224" t="str">
        <f>NeoGui1700!$E$21</f>
        <v/>
      </c>
      <c r="F17" s="219" t="str">
        <f>NeoGui1700!F21</f>
        <v>maal</v>
      </c>
      <c r="G17" s="225" t="str">
        <f>NeoGui1700!G21</f>
        <v/>
      </c>
      <c r="J17" s="219">
        <f>INDEX(tbl_Neo_ToevoegingenMMPrint,NeoBer1700!B53,1)</f>
        <v>0</v>
      </c>
      <c r="M17" s="225">
        <f>IF(J17&lt;&gt;0,NeoBer1700!K53,0)</f>
        <v>0</v>
      </c>
      <c r="N17" s="219" t="str">
        <f t="shared" ref="N17:N26" si="0">IF(M17&lt;&gt;0,"%","")</f>
        <v/>
      </c>
      <c r="P17" s="470"/>
      <c r="Q17" s="471"/>
    </row>
    <row r="18" spans="1:17" ht="13.2" x14ac:dyDescent="0.4">
      <c r="C18" s="236" t="str">
        <f>IF(E18="","","en")</f>
        <v/>
      </c>
      <c r="E18" s="224" t="str">
        <f>IF(NeoGui1700!G22&lt;&gt;"0 ml",NeoGui1700!$E$22,"")</f>
        <v/>
      </c>
      <c r="F18" s="219" t="str">
        <f>IF(NeoGui1700!G22&lt;&gt;"0 ml",NeoGui1700!F22,"")</f>
        <v>maal</v>
      </c>
      <c r="G18" s="225" t="str">
        <f>IF(NeoGui1700!G22&lt;&gt;"0 ml",NeoGui1700!G22,"")</f>
        <v/>
      </c>
      <c r="J18" s="219">
        <f>INDEX(tbl_Neo_ToevoegingenMMPrint,NeoBer1700!B54,1)</f>
        <v>0</v>
      </c>
      <c r="M18" s="225">
        <f>IF(J18&lt;&gt;0,NeoBer1700!K54,0)</f>
        <v>0</v>
      </c>
      <c r="N18" s="219" t="str">
        <f t="shared" si="0"/>
        <v/>
      </c>
      <c r="P18" s="470"/>
      <c r="Q18" s="471"/>
    </row>
    <row r="19" spans="1:17" ht="13.2" x14ac:dyDescent="0.4">
      <c r="J19" s="219">
        <f>INDEX(tbl_Neo_ToevoegingenMMPrint,NeoBer1700!B55,1)</f>
        <v>0</v>
      </c>
      <c r="M19" s="225">
        <f>IF(J19&lt;&gt;0,NeoBer1700!K55,0)</f>
        <v>0</v>
      </c>
      <c r="N19" s="219" t="str">
        <f t="shared" si="0"/>
        <v/>
      </c>
      <c r="P19" s="470"/>
      <c r="Q19" s="471"/>
    </row>
    <row r="20" spans="1:17" ht="13.2" x14ac:dyDescent="0.4">
      <c r="B20" s="233"/>
      <c r="C20" s="227"/>
      <c r="D20" s="227"/>
      <c r="E20" s="227"/>
      <c r="F20" s="234"/>
      <c r="G20" s="227"/>
      <c r="H20" s="227"/>
      <c r="I20" s="227"/>
      <c r="J20" s="219">
        <f>INDEX(tbl_Neo_ToevoegingenMMPrint,NeoBer1700!B56,1)</f>
        <v>0</v>
      </c>
      <c r="K20" s="227"/>
      <c r="L20" s="237"/>
      <c r="M20" s="225">
        <f>IF(J20&lt;&gt;0,NeoBer1700!K56,0)</f>
        <v>0</v>
      </c>
      <c r="N20" s="219" t="str">
        <f t="shared" si="0"/>
        <v/>
      </c>
      <c r="P20" s="470"/>
      <c r="Q20" s="471"/>
    </row>
    <row r="21" spans="1:17" ht="13.2" x14ac:dyDescent="0.4">
      <c r="B21" s="225"/>
      <c r="P21" s="231"/>
      <c r="Q21" s="232"/>
    </row>
    <row r="22" spans="1:17" ht="13.2" x14ac:dyDescent="0.4">
      <c r="B22" s="225"/>
      <c r="I22" s="227"/>
      <c r="J22" s="225" t="s">
        <v>1043</v>
      </c>
      <c r="P22" s="470"/>
      <c r="Q22" s="471"/>
    </row>
    <row r="23" spans="1:17" ht="13.2" x14ac:dyDescent="0.4">
      <c r="B23" s="225"/>
      <c r="I23" s="219" t="str">
        <f>IF(OR(J23&lt;&gt;0,J24&lt;&gt;0,J25&lt;&gt;0,J26&lt;&gt;0),"met","")</f>
        <v/>
      </c>
      <c r="J23" s="219">
        <f>INDEX(tbl_Neo_ToevoegingenKVPrint,NeoBer1700!B58,1)</f>
        <v>0</v>
      </c>
      <c r="M23" s="225">
        <f>IF(J23&lt;&gt;0,NeoBer1700!K58,0)</f>
        <v>0</v>
      </c>
      <c r="N23" s="219" t="str">
        <f t="shared" si="0"/>
        <v/>
      </c>
      <c r="P23" s="470"/>
      <c r="Q23" s="471"/>
    </row>
    <row r="24" spans="1:17" ht="13.2" x14ac:dyDescent="0.4">
      <c r="B24" s="225"/>
      <c r="J24" s="219">
        <f>INDEX(tbl_Neo_ToevoegingenKVPrint,NeoBer1700!B59,1)</f>
        <v>0</v>
      </c>
      <c r="M24" s="225">
        <f>IF(J24&lt;&gt;0,NeoBer1700!K59,0)</f>
        <v>0</v>
      </c>
      <c r="N24" s="219" t="str">
        <f t="shared" si="0"/>
        <v/>
      </c>
      <c r="P24" s="470"/>
      <c r="Q24" s="471"/>
    </row>
    <row r="25" spans="1:17" ht="13.2" x14ac:dyDescent="0.4">
      <c r="J25" s="219">
        <f>INDEX(tbl_Neo_ToevoegingenKVPrint,NeoBer1700!B60,1)</f>
        <v>0</v>
      </c>
      <c r="M25" s="225">
        <f>IF(J25&lt;&gt;0,NeoBer1700!K60,0)</f>
        <v>0</v>
      </c>
      <c r="N25" s="219" t="str">
        <f t="shared" si="0"/>
        <v/>
      </c>
      <c r="P25" s="231"/>
      <c r="Q25" s="232"/>
    </row>
    <row r="26" spans="1:17" ht="13.2" x14ac:dyDescent="0.4">
      <c r="J26" s="219">
        <f>INDEX(tbl_Neo_ToevoegingenKVPrint,NeoBer1700!B61,1)</f>
        <v>0</v>
      </c>
      <c r="M26" s="225">
        <f>IF(J26&lt;&gt;0,NeoBer1700!K61,0)</f>
        <v>0</v>
      </c>
      <c r="N26" s="219" t="str">
        <f t="shared" si="0"/>
        <v/>
      </c>
      <c r="P26" s="231"/>
      <c r="Q26" s="232"/>
    </row>
    <row r="27" spans="1:17" x14ac:dyDescent="0.35">
      <c r="P27" s="231"/>
      <c r="Q27" s="232"/>
    </row>
    <row r="28" spans="1:17" x14ac:dyDescent="0.35">
      <c r="B28" s="238" t="str">
        <f>IF(NeoBer1700!J14=1,"De voeding is extra","")</f>
        <v>De voeding is extra</v>
      </c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39"/>
      <c r="Q28" s="240"/>
    </row>
    <row r="29" spans="1:17" x14ac:dyDescent="0.35">
      <c r="P29" s="231"/>
      <c r="Q29" s="232"/>
    </row>
    <row r="30" spans="1:17" ht="13.2" x14ac:dyDescent="0.4">
      <c r="B30" s="222" t="str">
        <f>NeoGui1700!B28</f>
        <v>Infuus/parenterale voeding:</v>
      </c>
      <c r="G30" s="225">
        <f ca="1">NeoGui1700!E28</f>
        <v>0</v>
      </c>
      <c r="H30" s="219" t="str">
        <f>NeoGui1700!F28</f>
        <v>ml/ 24 uur</v>
      </c>
      <c r="O30" s="232"/>
      <c r="P30" s="227"/>
      <c r="Q30" s="232"/>
    </row>
    <row r="31" spans="1:17" x14ac:dyDescent="0.35">
      <c r="O31" s="232"/>
      <c r="P31" s="241" t="s">
        <v>558</v>
      </c>
      <c r="Q31" s="232"/>
    </row>
    <row r="32" spans="1:17" ht="15.95" customHeight="1" x14ac:dyDescent="0.4">
      <c r="A32" s="219">
        <v>1</v>
      </c>
      <c r="B32" s="242" t="str">
        <f>IF(_Neo_InfB_ArtLijn&gt;0,NeoGui1700!B30,"")</f>
        <v/>
      </c>
      <c r="C32" s="242"/>
      <c r="D32" s="242"/>
      <c r="E32" s="242"/>
      <c r="F32" s="242"/>
      <c r="G32" s="242"/>
      <c r="H32" s="242"/>
      <c r="I32" s="242"/>
      <c r="J32" s="242"/>
      <c r="K32" s="243" t="str">
        <f>IF(NeoGui1700!G30&lt;&gt; "0 ml/uur",NeoGui1700!G30,"")</f>
        <v/>
      </c>
      <c r="L32" s="242"/>
      <c r="M32" s="242"/>
      <c r="N32" s="242"/>
      <c r="O32" s="244"/>
      <c r="P32" s="245" t="str">
        <f>IF(B32="","",IF(NeoBer1700!J18,"ja","nee"))</f>
        <v/>
      </c>
      <c r="Q32" s="246"/>
    </row>
    <row r="33" spans="1:17" ht="15.95" customHeight="1" x14ac:dyDescent="0.4">
      <c r="A33" s="219">
        <v>2</v>
      </c>
      <c r="B33" s="247">
        <f>INDEX(tbl_Neo_MedIV,NeoBer1700!B20,1)</f>
        <v>0</v>
      </c>
      <c r="C33" s="242"/>
      <c r="D33" s="247"/>
      <c r="E33" s="248" t="str">
        <f>NeoGui1700!C32</f>
        <v/>
      </c>
      <c r="F33" s="247"/>
      <c r="G33" s="249" t="str">
        <f>NeoGui1700!D32</f>
        <v/>
      </c>
      <c r="H33" s="247"/>
      <c r="I33" s="250">
        <f>INDEX(tbl_Neo_Opl,NeoBer1700!E20,1)</f>
        <v>0</v>
      </c>
      <c r="J33" s="247"/>
      <c r="K33" s="248" t="str">
        <f>NeoGui1700!G32</f>
        <v/>
      </c>
      <c r="L33" s="247"/>
      <c r="M33" s="251" t="str">
        <f>NeoGui1700!H32</f>
        <v/>
      </c>
      <c r="N33" s="252">
        <f>INDEX(tbl_Neo_Dose,NeoBer1700!G20,1)</f>
        <v>0</v>
      </c>
      <c r="O33" s="253"/>
      <c r="P33" s="250" t="str">
        <f>IF(B33&lt;&gt;0,IF(NeoBer1700!J20,"ja","nee"),"")</f>
        <v/>
      </c>
      <c r="Q33" s="254"/>
    </row>
    <row r="34" spans="1:17" ht="15.95" customHeight="1" x14ac:dyDescent="0.4">
      <c r="A34" s="219">
        <v>3</v>
      </c>
      <c r="B34" s="247">
        <f>INDEX(tbl_Neo_MedIV,NeoBer1700!B21,1)</f>
        <v>0</v>
      </c>
      <c r="C34" s="242"/>
      <c r="D34" s="247"/>
      <c r="E34" s="248" t="str">
        <f>NeoGui1700!C33</f>
        <v/>
      </c>
      <c r="F34" s="247"/>
      <c r="G34" s="249" t="str">
        <f>NeoGui1700!D33</f>
        <v/>
      </c>
      <c r="H34" s="247"/>
      <c r="I34" s="250">
        <f>INDEX(tbl_Neo_Opl,NeoBer1700!E21,1)</f>
        <v>0</v>
      </c>
      <c r="J34" s="247"/>
      <c r="K34" s="248" t="str">
        <f>NeoGui1700!G33</f>
        <v/>
      </c>
      <c r="L34" s="247"/>
      <c r="M34" s="251" t="str">
        <f>NeoGui1700!H33</f>
        <v/>
      </c>
      <c r="N34" s="252">
        <f>INDEX(tbl_Neo_Dose,NeoBer1700!G21,1)</f>
        <v>0</v>
      </c>
      <c r="O34" s="253"/>
      <c r="P34" s="250" t="str">
        <f>IF(B34&lt;&gt;0,IF(NeoBer1700!J21,"ja","nee"),"")</f>
        <v/>
      </c>
      <c r="Q34" s="246"/>
    </row>
    <row r="35" spans="1:17" ht="15.95" customHeight="1" x14ac:dyDescent="0.4">
      <c r="A35" s="219">
        <v>4</v>
      </c>
      <c r="B35" s="247">
        <f>INDEX(tbl_Neo_MedIV,NeoBer1700!B22,1)</f>
        <v>0</v>
      </c>
      <c r="C35" s="242"/>
      <c r="D35" s="247"/>
      <c r="E35" s="248" t="str">
        <f>NeoGui1700!C34</f>
        <v/>
      </c>
      <c r="F35" s="247"/>
      <c r="G35" s="249" t="str">
        <f>NeoGui1700!D34</f>
        <v/>
      </c>
      <c r="H35" s="247"/>
      <c r="I35" s="250">
        <f>INDEX(tbl_Neo_Opl,NeoBer1700!E22,1)</f>
        <v>0</v>
      </c>
      <c r="J35" s="247"/>
      <c r="K35" s="248" t="str">
        <f>NeoGui1700!G34</f>
        <v/>
      </c>
      <c r="L35" s="247"/>
      <c r="M35" s="251" t="str">
        <f>NeoGui1700!H34</f>
        <v/>
      </c>
      <c r="N35" s="252">
        <f>INDEX(tbl_Neo_Dose,NeoBer1700!G22,1)</f>
        <v>0</v>
      </c>
      <c r="O35" s="253"/>
      <c r="P35" s="250" t="str">
        <f>IF(B35&lt;&gt;0,IF(NeoBer1700!J22,"ja","nee"),"")</f>
        <v/>
      </c>
      <c r="Q35" s="254"/>
    </row>
    <row r="36" spans="1:17" ht="15.95" customHeight="1" x14ac:dyDescent="0.4">
      <c r="A36" s="219">
        <v>5</v>
      </c>
      <c r="B36" s="247">
        <f>INDEX(tbl_Neo_MedIV,NeoBer1700!B23,1)</f>
        <v>0</v>
      </c>
      <c r="C36" s="242"/>
      <c r="D36" s="247"/>
      <c r="E36" s="248" t="str">
        <f>NeoGui1700!C35</f>
        <v/>
      </c>
      <c r="F36" s="247"/>
      <c r="G36" s="249" t="str">
        <f>NeoGui1700!D35</f>
        <v/>
      </c>
      <c r="H36" s="247"/>
      <c r="I36" s="250">
        <f>INDEX(tbl_Neo_Opl,NeoBer1700!E23,1)</f>
        <v>0</v>
      </c>
      <c r="J36" s="247"/>
      <c r="K36" s="248" t="str">
        <f>NeoGui1700!G35</f>
        <v/>
      </c>
      <c r="L36" s="247"/>
      <c r="M36" s="251" t="str">
        <f>NeoGui1700!H35</f>
        <v/>
      </c>
      <c r="N36" s="252">
        <f>INDEX(tbl_Neo_Dose,NeoBer1700!G23,1)</f>
        <v>0</v>
      </c>
      <c r="O36" s="253"/>
      <c r="P36" s="250" t="str">
        <f>IF(B36&lt;&gt;0,IF(NeoBer1700!J23,"ja","nee"),"")</f>
        <v/>
      </c>
      <c r="Q36" s="246"/>
    </row>
    <row r="37" spans="1:17" ht="15.95" customHeight="1" x14ac:dyDescent="0.4">
      <c r="A37" s="219">
        <v>6</v>
      </c>
      <c r="B37" s="247">
        <f>INDEX(tbl_Neo_MedIV,NeoBer1700!B24,1)</f>
        <v>0</v>
      </c>
      <c r="C37" s="242"/>
      <c r="D37" s="247"/>
      <c r="E37" s="248" t="str">
        <f>NeoGui1700!C36</f>
        <v/>
      </c>
      <c r="F37" s="247"/>
      <c r="G37" s="249" t="str">
        <f>NeoGui1700!D36</f>
        <v/>
      </c>
      <c r="H37" s="247"/>
      <c r="I37" s="250">
        <f>INDEX(tbl_Neo_Opl,NeoBer1700!E24,1)</f>
        <v>0</v>
      </c>
      <c r="J37" s="247"/>
      <c r="K37" s="248" t="str">
        <f>NeoGui1700!G36</f>
        <v/>
      </c>
      <c r="L37" s="247"/>
      <c r="M37" s="251" t="str">
        <f>NeoGui1700!H36</f>
        <v/>
      </c>
      <c r="N37" s="252">
        <f>INDEX(tbl_Neo_Dose,NeoBer1700!G24,1)</f>
        <v>0</v>
      </c>
      <c r="O37" s="253"/>
      <c r="P37" s="250" t="str">
        <f>IF(B37&lt;&gt;0,IF(NeoBer1700!J24,"ja","nee"),"")</f>
        <v/>
      </c>
      <c r="Q37" s="254"/>
    </row>
    <row r="38" spans="1:17" ht="15.95" customHeight="1" x14ac:dyDescent="0.4">
      <c r="A38" s="219">
        <v>7</v>
      </c>
      <c r="B38" s="247">
        <f>INDEX(tbl_Neo_MedIV,NeoBer1700!B25,1)</f>
        <v>0</v>
      </c>
      <c r="C38" s="242"/>
      <c r="D38" s="247"/>
      <c r="E38" s="248" t="str">
        <f>NeoGui1700!C37</f>
        <v/>
      </c>
      <c r="F38" s="247"/>
      <c r="G38" s="249" t="str">
        <f>NeoGui1700!D37</f>
        <v/>
      </c>
      <c r="H38" s="247"/>
      <c r="I38" s="250">
        <f>INDEX(tbl_Neo_Opl,NeoBer1700!E25,1)</f>
        <v>0</v>
      </c>
      <c r="J38" s="247"/>
      <c r="K38" s="248" t="str">
        <f>NeoGui1700!G37</f>
        <v/>
      </c>
      <c r="L38" s="247"/>
      <c r="M38" s="251" t="str">
        <f>NeoGui1700!H37</f>
        <v/>
      </c>
      <c r="N38" s="252">
        <f>INDEX(tbl_Neo_Dose,NeoBer1700!G25,1)</f>
        <v>0</v>
      </c>
      <c r="O38" s="253"/>
      <c r="P38" s="250" t="str">
        <f>IF(B38&lt;&gt;0,IF(NeoBer1700!J25,"ja","nee"),"")</f>
        <v/>
      </c>
      <c r="Q38" s="246"/>
    </row>
    <row r="39" spans="1:17" ht="15.95" customHeight="1" x14ac:dyDescent="0.4">
      <c r="A39" s="219">
        <v>8</v>
      </c>
      <c r="B39" s="247">
        <f>INDEX(tbl_Neo_MedIV,NeoBer1700!B26,1)</f>
        <v>0</v>
      </c>
      <c r="C39" s="242"/>
      <c r="D39" s="247"/>
      <c r="E39" s="248" t="str">
        <f>NeoGui1700!C38</f>
        <v/>
      </c>
      <c r="F39" s="247"/>
      <c r="G39" s="249" t="str">
        <f>NeoGui1700!D38</f>
        <v/>
      </c>
      <c r="H39" s="247"/>
      <c r="I39" s="250">
        <f>INDEX(tbl_Neo_Opl,NeoBer1700!E26,1)</f>
        <v>0</v>
      </c>
      <c r="J39" s="247"/>
      <c r="K39" s="248" t="str">
        <f>NeoGui1700!G38</f>
        <v/>
      </c>
      <c r="L39" s="247"/>
      <c r="M39" s="251" t="str">
        <f>NeoGui1700!H38</f>
        <v/>
      </c>
      <c r="N39" s="252">
        <f>INDEX(tbl_Neo_Dose,NeoBer1700!G26,1)</f>
        <v>0</v>
      </c>
      <c r="O39" s="253"/>
      <c r="P39" s="250" t="str">
        <f>IF(B39&lt;&gt;0,IF(NeoBer1700!J26,"ja","nee"),"")</f>
        <v/>
      </c>
      <c r="Q39" s="254"/>
    </row>
    <row r="40" spans="1:17" ht="15.95" customHeight="1" x14ac:dyDescent="0.4">
      <c r="A40" s="219">
        <v>9</v>
      </c>
      <c r="B40" s="247">
        <f>INDEX(tbl_Neo_MedIV,NeoBer1700!B27,1)</f>
        <v>0</v>
      </c>
      <c r="C40" s="242"/>
      <c r="D40" s="247"/>
      <c r="E40" s="248" t="str">
        <f>NeoGui1700!C39</f>
        <v/>
      </c>
      <c r="F40" s="247"/>
      <c r="G40" s="249" t="str">
        <f>NeoGui1700!D39</f>
        <v/>
      </c>
      <c r="H40" s="247"/>
      <c r="I40" s="250">
        <f>INDEX(tbl_Neo_Opl,NeoBer1700!E27,1)</f>
        <v>0</v>
      </c>
      <c r="J40" s="247"/>
      <c r="K40" s="248" t="str">
        <f>NeoGui1700!G39</f>
        <v/>
      </c>
      <c r="L40" s="247"/>
      <c r="M40" s="251" t="str">
        <f>NeoGui1700!H39</f>
        <v/>
      </c>
      <c r="N40" s="252">
        <f>INDEX(tbl_Neo_Dose,NeoBer1700!G27,1)</f>
        <v>0</v>
      </c>
      <c r="O40" s="253"/>
      <c r="P40" s="250" t="str">
        <f>IF(B40&lt;&gt;0,IF(NeoBer1700!J27,"ja","nee"),"")</f>
        <v/>
      </c>
      <c r="Q40" s="246"/>
    </row>
    <row r="41" spans="1:17" ht="15.95" customHeight="1" x14ac:dyDescent="0.4">
      <c r="A41" s="219">
        <v>10</v>
      </c>
      <c r="B41" s="247">
        <f>INDEX(tbl_Neo_MedIV,NeoBer1700!B28,1)</f>
        <v>0</v>
      </c>
      <c r="C41" s="242"/>
      <c r="D41" s="247"/>
      <c r="E41" s="248" t="str">
        <f>NeoGui1700!C40</f>
        <v/>
      </c>
      <c r="F41" s="247"/>
      <c r="G41" s="249" t="str">
        <f>NeoGui1700!D40</f>
        <v/>
      </c>
      <c r="H41" s="247"/>
      <c r="I41" s="250">
        <f>INDEX(tbl_Neo_Opl,NeoBer1700!E28,1)</f>
        <v>0</v>
      </c>
      <c r="J41" s="247"/>
      <c r="K41" s="248" t="str">
        <f>NeoGui1700!G40</f>
        <v/>
      </c>
      <c r="L41" s="247"/>
      <c r="M41" s="251" t="str">
        <f>NeoGui1700!H40</f>
        <v/>
      </c>
      <c r="N41" s="252">
        <f>INDEX(tbl_Neo_Dose,NeoBer1700!G28,1)</f>
        <v>0</v>
      </c>
      <c r="O41" s="253"/>
      <c r="P41" s="250" t="str">
        <f>IF(B41&lt;&gt;0,IF(NeoBer1700!J28,"ja","nee"),"")</f>
        <v/>
      </c>
      <c r="Q41" s="254"/>
    </row>
    <row r="42" spans="1:17" ht="15.95" customHeight="1" x14ac:dyDescent="0.4">
      <c r="A42" s="219">
        <v>11</v>
      </c>
      <c r="B42" s="247" t="str">
        <f>IF(I42&lt;&gt;"",NeoGui1700!B42,"")</f>
        <v>Zijlijn 1</v>
      </c>
      <c r="C42" s="242"/>
      <c r="D42" s="247"/>
      <c r="E42" s="248"/>
      <c r="F42" s="247"/>
      <c r="G42" s="248"/>
      <c r="H42" s="247"/>
      <c r="I42" s="250">
        <f>IFERROR(INDEX(tbl_Neo_Opl,NeoBer1700!E29,1),"")</f>
        <v>0</v>
      </c>
      <c r="J42" s="247"/>
      <c r="K42" s="248" t="str">
        <f>NeoGui1700!G42</f>
        <v/>
      </c>
      <c r="L42" s="247"/>
      <c r="M42" s="251"/>
      <c r="N42" s="247"/>
      <c r="O42" s="253"/>
      <c r="P42" s="250" t="str">
        <f>IF(B42&lt;&gt;"",IF(NeoBer1700!J29,"ja","nee"),"")</f>
        <v>nee</v>
      </c>
      <c r="Q42" s="254"/>
    </row>
    <row r="43" spans="1:17" ht="15.95" customHeight="1" x14ac:dyDescent="0.4">
      <c r="A43" s="219">
        <v>12</v>
      </c>
      <c r="B43" s="247" t="str">
        <f>IF(I43&lt;&gt;"",NeoGui1700!B43,"")</f>
        <v>Zijlijn 2</v>
      </c>
      <c r="C43" s="242"/>
      <c r="D43" s="247"/>
      <c r="E43" s="248"/>
      <c r="F43" s="247"/>
      <c r="G43" s="248"/>
      <c r="H43" s="247"/>
      <c r="I43" s="250">
        <f>IFERROR(INDEX(tbl_Neo_Opl,NeoBer1700!E30,1),"")</f>
        <v>0</v>
      </c>
      <c r="J43" s="247"/>
      <c r="K43" s="248" t="str">
        <f>NeoGui1700!G43</f>
        <v/>
      </c>
      <c r="L43" s="247"/>
      <c r="M43" s="251"/>
      <c r="N43" s="247"/>
      <c r="O43" s="253"/>
      <c r="P43" s="250" t="str">
        <f>IF(B43&lt;&gt;"",IF(NeoBer1700!J30,"ja","nee"),"")</f>
        <v>nee</v>
      </c>
      <c r="Q43" s="254"/>
    </row>
    <row r="44" spans="1:17" ht="15.95" customHeight="1" x14ac:dyDescent="0.4">
      <c r="A44" s="219">
        <v>13</v>
      </c>
      <c r="B44" s="247" t="str">
        <f>IF(I44&lt;&gt;"",NeoGui1700!B44,"")</f>
        <v>Zijlijn 3</v>
      </c>
      <c r="C44" s="242"/>
      <c r="D44" s="247"/>
      <c r="E44" s="248"/>
      <c r="F44" s="247"/>
      <c r="G44" s="248"/>
      <c r="H44" s="247"/>
      <c r="I44" s="250">
        <f>IFERROR(INDEX(tbl_Neo_Opl,NeoBer1700!E31,1),"")</f>
        <v>0</v>
      </c>
      <c r="J44" s="247"/>
      <c r="K44" s="248" t="str">
        <f>NeoGui1700!G44</f>
        <v/>
      </c>
      <c r="L44" s="247"/>
      <c r="M44" s="247"/>
      <c r="N44" s="247"/>
      <c r="O44" s="253"/>
      <c r="P44" s="250" t="str">
        <f>IF(B44&lt;&gt;"",IF(NeoBer1700!J31,"ja","nee"),"")</f>
        <v>nee</v>
      </c>
      <c r="Q44" s="254"/>
    </row>
    <row r="45" spans="1:17" ht="15.95" customHeight="1" x14ac:dyDescent="0.4">
      <c r="A45" s="219">
        <v>14</v>
      </c>
      <c r="B45" s="247" t="str">
        <f>NeoGui1700!B45</f>
        <v/>
      </c>
      <c r="C45" s="242"/>
      <c r="D45" s="247"/>
      <c r="E45" s="248"/>
      <c r="F45" s="247"/>
      <c r="G45" s="248"/>
      <c r="H45" s="247"/>
      <c r="I45" s="247"/>
      <c r="J45" s="247"/>
      <c r="K45" s="248"/>
      <c r="L45" s="247"/>
      <c r="M45" s="247"/>
      <c r="N45" s="247"/>
      <c r="O45" s="253"/>
      <c r="P45" s="247"/>
      <c r="Q45" s="254"/>
    </row>
    <row r="46" spans="1:17" ht="15.95" customHeight="1" x14ac:dyDescent="0.4">
      <c r="A46" s="219">
        <v>15</v>
      </c>
      <c r="B46" s="247" t="str">
        <f>NeoGui1700!B46</f>
        <v/>
      </c>
      <c r="C46" s="242"/>
      <c r="D46" s="247"/>
      <c r="E46" s="248"/>
      <c r="F46" s="247"/>
      <c r="G46" s="248"/>
      <c r="H46" s="247"/>
      <c r="I46" s="247"/>
      <c r="J46" s="247"/>
      <c r="K46" s="248"/>
      <c r="L46" s="247"/>
      <c r="M46" s="247"/>
      <c r="N46" s="247"/>
      <c r="O46" s="253"/>
      <c r="P46" s="247"/>
      <c r="Q46" s="254"/>
    </row>
    <row r="47" spans="1:17" ht="15.75" customHeight="1" x14ac:dyDescent="0.4">
      <c r="A47" s="219">
        <v>16</v>
      </c>
      <c r="B47" s="247">
        <f>NeoGui1700!B48</f>
        <v>0</v>
      </c>
      <c r="C47" s="242"/>
      <c r="D47" s="247"/>
      <c r="E47" s="248"/>
      <c r="F47" s="247"/>
      <c r="G47" s="248" t="str">
        <f ca="1">NeoGui1700!E48</f>
        <v/>
      </c>
      <c r="H47" s="247"/>
      <c r="I47" s="247"/>
      <c r="J47" s="247"/>
      <c r="K47" s="248"/>
      <c r="L47" s="247"/>
      <c r="M47" s="247"/>
      <c r="N47" s="247"/>
      <c r="O47" s="253"/>
      <c r="P47" s="247"/>
      <c r="Q47" s="246"/>
    </row>
    <row r="48" spans="1:17" x14ac:dyDescent="0.35">
      <c r="O48" s="232"/>
      <c r="P48" s="227"/>
      <c r="Q48" s="232"/>
    </row>
    <row r="49" spans="2:17" x14ac:dyDescent="0.35">
      <c r="B49" s="222" t="str">
        <f>NeoGui1700!B51</f>
        <v>Samenstelling</v>
      </c>
      <c r="F49" s="219" t="s">
        <v>559</v>
      </c>
      <c r="I49" s="219" t="s">
        <v>560</v>
      </c>
      <c r="L49" s="219" t="s">
        <v>561</v>
      </c>
      <c r="P49" s="231"/>
      <c r="Q49" s="232"/>
    </row>
    <row r="50" spans="2:17" x14ac:dyDescent="0.35">
      <c r="F50" s="255" t="s">
        <v>562</v>
      </c>
      <c r="G50" s="256"/>
      <c r="H50" s="257"/>
      <c r="I50" s="258" t="s">
        <v>563</v>
      </c>
      <c r="J50" s="256"/>
      <c r="K50" s="259"/>
      <c r="L50" s="255" t="s">
        <v>563</v>
      </c>
      <c r="M50" s="256"/>
      <c r="N50" s="259"/>
      <c r="P50" s="231"/>
      <c r="Q50" s="232"/>
    </row>
    <row r="51" spans="2:17" ht="13.2" x14ac:dyDescent="0.4">
      <c r="B51" s="258" t="str">
        <f>NeoGui1700!B52</f>
        <v>NaCl 2,9%</v>
      </c>
      <c r="C51" s="260"/>
      <c r="D51" s="260"/>
      <c r="E51" s="257"/>
      <c r="F51" s="261" t="str">
        <f ca="1">NeoGui1700!E52</f>
        <v>0 ml</v>
      </c>
      <c r="G51" s="262"/>
      <c r="H51" s="263"/>
      <c r="I51" s="261"/>
      <c r="J51" s="262"/>
      <c r="K51" s="263"/>
      <c r="L51" s="261" t="str">
        <f>NeoGui1700!I52</f>
        <v/>
      </c>
      <c r="M51" s="262"/>
      <c r="N51" s="263"/>
      <c r="P51" s="264"/>
      <c r="Q51" s="246"/>
    </row>
    <row r="52" spans="2:17" ht="13.2" x14ac:dyDescent="0.4">
      <c r="B52" s="258" t="str">
        <f>NeoGui1700!B53</f>
        <v>Kacetaat</v>
      </c>
      <c r="C52" s="260"/>
      <c r="D52" s="260"/>
      <c r="E52" s="257"/>
      <c r="F52" s="261" t="str">
        <f ca="1">NeoGui1700!E53</f>
        <v>0 ml</v>
      </c>
      <c r="G52" s="262"/>
      <c r="H52" s="263"/>
      <c r="I52" s="261"/>
      <c r="J52" s="262"/>
      <c r="K52" s="263"/>
      <c r="L52" s="261" t="str">
        <f>NeoGui1700!I53</f>
        <v/>
      </c>
      <c r="M52" s="262"/>
      <c r="N52" s="263"/>
      <c r="P52" s="265"/>
      <c r="Q52" s="254"/>
    </row>
    <row r="53" spans="2:17" ht="13.2" x14ac:dyDescent="0.4">
      <c r="B53" s="258" t="str">
        <f>NeoGui1700!B54</f>
        <v>CaCl2</v>
      </c>
      <c r="C53" s="260"/>
      <c r="D53" s="260"/>
      <c r="E53" s="257"/>
      <c r="F53" s="261" t="str">
        <f ca="1">NeoGui1700!E54</f>
        <v>0 ml</v>
      </c>
      <c r="G53" s="262"/>
      <c r="H53" s="263"/>
      <c r="I53" s="261"/>
      <c r="J53" s="262"/>
      <c r="K53" s="263"/>
      <c r="L53" s="261"/>
      <c r="M53" s="262"/>
      <c r="N53" s="263"/>
      <c r="P53" s="264"/>
      <c r="Q53" s="246"/>
    </row>
    <row r="54" spans="2:17" ht="13.2" x14ac:dyDescent="0.4">
      <c r="B54" s="258" t="str">
        <f>NeoGui1700!B55</f>
        <v>MgCl2</v>
      </c>
      <c r="C54" s="260"/>
      <c r="D54" s="260"/>
      <c r="E54" s="257"/>
      <c r="F54" s="261" t="str">
        <f ca="1">NeoGui1700!E55</f>
        <v>0 ml</v>
      </c>
      <c r="G54" s="262"/>
      <c r="H54" s="263"/>
      <c r="I54" s="261"/>
      <c r="J54" s="262"/>
      <c r="K54" s="263"/>
      <c r="L54" s="261"/>
      <c r="M54" s="262"/>
      <c r="N54" s="263"/>
      <c r="P54" s="265"/>
      <c r="Q54" s="254"/>
    </row>
    <row r="55" spans="2:17" ht="13.2" x14ac:dyDescent="0.4">
      <c r="B55" s="258" t="str">
        <f>NeoGui1700!B56</f>
        <v>Soluvit</v>
      </c>
      <c r="C55" s="260"/>
      <c r="D55" s="260"/>
      <c r="E55" s="257"/>
      <c r="F55" s="261" t="str">
        <f ca="1">NeoGui1700!E56</f>
        <v>0 ml</v>
      </c>
      <c r="G55" s="262"/>
      <c r="H55" s="263"/>
      <c r="I55" s="261"/>
      <c r="J55" s="262"/>
      <c r="K55" s="263"/>
      <c r="L55" s="261"/>
      <c r="M55" s="262"/>
      <c r="N55" s="263"/>
      <c r="P55" s="264"/>
      <c r="Q55" s="246"/>
    </row>
    <row r="56" spans="2:17" ht="13.2" x14ac:dyDescent="0.4">
      <c r="B56" s="258" t="str">
        <f>NeoGui1700!B57</f>
        <v>Primene</v>
      </c>
      <c r="C56" s="260"/>
      <c r="D56" s="260"/>
      <c r="E56" s="257"/>
      <c r="F56" s="261" t="str">
        <f ca="1">NeoGui1700!E57</f>
        <v>0 ml</v>
      </c>
      <c r="G56" s="262"/>
      <c r="H56" s="263"/>
      <c r="I56" s="261"/>
      <c r="J56" s="262"/>
      <c r="K56" s="263"/>
      <c r="L56" s="261"/>
      <c r="M56" s="262"/>
      <c r="N56" s="263"/>
      <c r="P56" s="265"/>
      <c r="Q56" s="254"/>
    </row>
    <row r="57" spans="2:17" ht="13.2" x14ac:dyDescent="0.4">
      <c r="B57" s="258" t="str">
        <f>NeoGui1700!B58</f>
        <v>NICU-mix</v>
      </c>
      <c r="C57" s="260"/>
      <c r="D57" s="260"/>
      <c r="E57" s="257"/>
      <c r="F57" s="261"/>
      <c r="G57" s="262"/>
      <c r="H57" s="263"/>
      <c r="I57" s="261" t="str">
        <f>NeoGui1700!G58</f>
        <v/>
      </c>
      <c r="J57" s="262"/>
      <c r="K57" s="263"/>
      <c r="L57" s="261"/>
      <c r="M57" s="262"/>
      <c r="N57" s="263"/>
      <c r="P57" s="264"/>
      <c r="Q57" s="246"/>
    </row>
    <row r="58" spans="2:17" ht="13.2" x14ac:dyDescent="0.4">
      <c r="B58" s="258" t="str">
        <f>NeoGui1700!B59</f>
        <v>Samenstelling B</v>
      </c>
      <c r="C58" s="260"/>
      <c r="D58" s="260"/>
      <c r="E58" s="257"/>
      <c r="F58" s="261"/>
      <c r="G58" s="262"/>
      <c r="H58" s="263"/>
      <c r="I58" s="261"/>
      <c r="J58" s="262"/>
      <c r="K58" s="263"/>
      <c r="L58" s="261" t="str">
        <f>NeoGui1700!I59</f>
        <v/>
      </c>
      <c r="M58" s="262"/>
      <c r="N58" s="263"/>
      <c r="P58" s="265"/>
      <c r="Q58" s="254"/>
    </row>
    <row r="59" spans="2:17" ht="13.2" x14ac:dyDescent="0.4">
      <c r="B59" s="258" t="str">
        <f>INDEX(tbl_Neo_Opl,NeoBer1700!D45+1,1)</f>
        <v>glucose 10%</v>
      </c>
      <c r="C59" s="260"/>
      <c r="D59" s="260"/>
      <c r="E59" s="257"/>
      <c r="F59" s="261" t="str">
        <f>NeoGui1700!E60&amp;" "&amp;NeoGui1700!F60</f>
        <v>0 ml</v>
      </c>
      <c r="G59" s="262"/>
      <c r="H59" s="263"/>
      <c r="I59" s="261" t="str">
        <f>NeoGui1700!G60&amp;" "&amp;NeoGui1700!H60</f>
        <v xml:space="preserve"> </v>
      </c>
      <c r="J59" s="262"/>
      <c r="K59" s="263"/>
      <c r="L59" s="261" t="str">
        <f>NeoGui1700!I60&amp;" "&amp;NeoGui1700!J60</f>
        <v xml:space="preserve"> </v>
      </c>
      <c r="M59" s="262"/>
      <c r="N59" s="263"/>
      <c r="P59" s="266"/>
      <c r="Q59" s="267"/>
    </row>
    <row r="60" spans="2:17" ht="18.75" customHeight="1" x14ac:dyDescent="0.4">
      <c r="B60" s="222" t="str">
        <f>NeoGui1700!B19</f>
        <v>Fototherapie</v>
      </c>
      <c r="E60" s="225" t="str">
        <f>IF(NeoBer1700!B15=1,"ja","nee")</f>
        <v>nee</v>
      </c>
      <c r="P60" s="227"/>
      <c r="Q60" s="227"/>
    </row>
    <row r="61" spans="2:17" x14ac:dyDescent="0.35"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</row>
    <row r="62" spans="2:17" x14ac:dyDescent="0.35">
      <c r="B62" s="229" t="str">
        <f>NeoGui1700!B2</f>
        <v>Intake</v>
      </c>
      <c r="C62" s="229"/>
      <c r="D62" s="229" t="str">
        <f>NeoGui1700!C2</f>
        <v>Intraveneus</v>
      </c>
      <c r="E62" s="229"/>
      <c r="F62" s="229" t="str">
        <f>NeoGui1700!D2</f>
        <v>Oraal</v>
      </c>
      <c r="G62" s="229"/>
      <c r="H62" s="229" t="str">
        <f>NeoGui1700!E2</f>
        <v>Totaal</v>
      </c>
      <c r="I62" s="229"/>
      <c r="J62" s="229"/>
      <c r="K62" s="229" t="s">
        <v>379</v>
      </c>
      <c r="L62" s="229"/>
      <c r="M62" s="229" t="str">
        <f>NeoGui1700!H2</f>
        <v>Intraveneus</v>
      </c>
      <c r="N62" s="229"/>
      <c r="O62" s="229" t="str">
        <f>NeoGui1700!I2</f>
        <v>Oraal</v>
      </c>
      <c r="P62" s="229"/>
      <c r="Q62" s="229" t="str">
        <f>NeoGui1700!J2</f>
        <v>Totaal</v>
      </c>
    </row>
    <row r="63" spans="2:17" x14ac:dyDescent="0.35">
      <c r="B63" s="219" t="str">
        <f>NeoGui1700!B3</f>
        <v>Volume</v>
      </c>
      <c r="D63" s="268" t="str">
        <f ca="1">NeoGui1700!C3</f>
        <v>0 ml/kg</v>
      </c>
      <c r="E63" s="268"/>
      <c r="F63" s="268" t="str">
        <f>NeoGui1700!D3</f>
        <v>0 ml/kg</v>
      </c>
      <c r="H63" s="268" t="str">
        <f ca="1">NeoGui1700!E3</f>
        <v>0 ml/kg  = 0 ml</v>
      </c>
      <c r="K63" s="219" t="str">
        <f>NeoGui1700!G3</f>
        <v>Natrium</v>
      </c>
      <c r="M63" s="268" t="str">
        <f ca="1">NeoGui1700!H3</f>
        <v>0 mmol/kg</v>
      </c>
      <c r="N63" s="268"/>
      <c r="O63" s="268" t="str">
        <f>NeoGui1700!I3</f>
        <v>0 mmol/kg</v>
      </c>
      <c r="Q63" s="268" t="str">
        <f ca="1">NeoGui1700!J3</f>
        <v>0 mmol/kg</v>
      </c>
    </row>
    <row r="64" spans="2:17" x14ac:dyDescent="0.35">
      <c r="B64" s="219" t="str">
        <f>NeoGui1700!B4</f>
        <v>Eiwit</v>
      </c>
      <c r="D64" s="268" t="str">
        <f ca="1">NeoGui1700!C4</f>
        <v>0 g/kg</v>
      </c>
      <c r="E64" s="268"/>
      <c r="F64" s="268" t="str">
        <f>NeoGui1700!D4</f>
        <v>0 g/kg</v>
      </c>
      <c r="H64" s="268" t="str">
        <f ca="1">NeoGui1700!E4</f>
        <v>0 g/kg</v>
      </c>
      <c r="K64" s="219" t="str">
        <f>NeoGui1700!G4</f>
        <v>Kalium</v>
      </c>
      <c r="M64" s="268" t="str">
        <f ca="1">NeoGui1700!H4</f>
        <v>0 mmol/kg</v>
      </c>
      <c r="N64" s="268"/>
      <c r="O64" s="268" t="str">
        <f>NeoGui1700!I4</f>
        <v>0 mmol/kg</v>
      </c>
      <c r="Q64" s="268" t="str">
        <f ca="1">NeoGui1700!J4</f>
        <v>0 mmol/kg</v>
      </c>
    </row>
    <row r="65" spans="2:17" x14ac:dyDescent="0.35">
      <c r="B65" s="219" t="str">
        <f>NeoGui1700!B5</f>
        <v>Vet</v>
      </c>
      <c r="D65" s="268" t="str">
        <f ca="1">NeoGui1700!C5</f>
        <v>0 g/kg</v>
      </c>
      <c r="E65" s="268"/>
      <c r="F65" s="268" t="str">
        <f>NeoGui1700!D5</f>
        <v>0 g/kg</v>
      </c>
      <c r="H65" s="268" t="str">
        <f ca="1">NeoGui1700!E5</f>
        <v>0 g/kg</v>
      </c>
      <c r="K65" s="219" t="str">
        <f>NeoGui1700!G5</f>
        <v>Calcium</v>
      </c>
      <c r="M65" s="268" t="str">
        <f ca="1">NeoGui1700!H5</f>
        <v>0 mmol/kg</v>
      </c>
      <c r="N65" s="268"/>
      <c r="O65" s="268" t="str">
        <f>NeoGui1700!I5</f>
        <v>0 mmol/kg</v>
      </c>
      <c r="Q65" s="268" t="str">
        <f ca="1">NeoGui1700!J5</f>
        <v>0 mmol/kg</v>
      </c>
    </row>
    <row r="66" spans="2:17" x14ac:dyDescent="0.35">
      <c r="B66" s="219" t="str">
        <f>NeoGui1700!B6</f>
        <v>Glucose</v>
      </c>
      <c r="D66" s="268" t="str">
        <f>NeoGui1700!C6</f>
        <v>0 mg/kg/min</v>
      </c>
      <c r="E66" s="268"/>
      <c r="F66" s="268" t="str">
        <f>NeoGui1700!D6</f>
        <v>0 mg/kg/min</v>
      </c>
      <c r="H66" s="268" t="str">
        <f>NeoGui1700!E6</f>
        <v>0 mg/kg/min</v>
      </c>
      <c r="K66" s="219" t="str">
        <f>NeoGui1700!G6</f>
        <v>Magnesium</v>
      </c>
      <c r="M66" s="268" t="str">
        <f ca="1">NeoGui1700!H6</f>
        <v>0 mmol/kg</v>
      </c>
      <c r="N66" s="268"/>
      <c r="O66" s="268" t="str">
        <f>NeoGui1700!I6</f>
        <v>0 mmol/kg</v>
      </c>
      <c r="Q66" s="268" t="str">
        <f ca="1">NeoGui1700!J6</f>
        <v>0 mmol/kg</v>
      </c>
    </row>
    <row r="67" spans="2:17" x14ac:dyDescent="0.35">
      <c r="B67" s="219" t="str">
        <f>NeoGui1700!B7</f>
        <v>Energie</v>
      </c>
      <c r="D67" s="268" t="str">
        <f ca="1">NeoGui1700!C7</f>
        <v>0 kcal/kg</v>
      </c>
      <c r="E67" s="268"/>
      <c r="F67" s="268" t="str">
        <f>NeoGui1700!D7</f>
        <v>0 kcal/kg</v>
      </c>
      <c r="H67" s="268" t="str">
        <f ca="1">NeoGui1700!E7</f>
        <v>0 kcal/kg</v>
      </c>
      <c r="K67" s="219" t="str">
        <f>NeoGui1700!G7</f>
        <v>Chloor</v>
      </c>
      <c r="M67" s="268" t="str">
        <f ca="1">NeoGui1700!H7</f>
        <v>0 mmol/kg</v>
      </c>
      <c r="N67" s="268"/>
      <c r="O67" s="268" t="str">
        <f>NeoGui1700!I7</f>
        <v>0 mmol/kg</v>
      </c>
      <c r="Q67" s="268" t="str">
        <f ca="1">NeoGui1700!J7</f>
        <v>0 mmol/kg</v>
      </c>
    </row>
    <row r="68" spans="2:17" x14ac:dyDescent="0.35">
      <c r="B68" s="219" t="str">
        <f>NeoGui1700!B8</f>
        <v>Vit D</v>
      </c>
      <c r="D68" s="268" t="str">
        <f ca="1">NeoGui1700!C8</f>
        <v>0 IE/ml</v>
      </c>
      <c r="E68" s="268"/>
      <c r="F68" s="268" t="str">
        <f>NeoGui1700!D8</f>
        <v>0 IE/ml</v>
      </c>
      <c r="H68" s="268" t="str">
        <f ca="1">NeoGui1700!E8</f>
        <v>0 IE/ml</v>
      </c>
      <c r="K68" s="219" t="str">
        <f>NeoGui1700!G8</f>
        <v>Fosfaat</v>
      </c>
      <c r="M68" s="268" t="str">
        <f>NeoGui1700!H8</f>
        <v>0 mmol/kg</v>
      </c>
      <c r="N68" s="268"/>
      <c r="O68" s="268" t="str">
        <f>NeoGui1700!I8</f>
        <v>0 mmol/kg</v>
      </c>
      <c r="Q68" s="268" t="str">
        <f>NeoGui1700!J8</f>
        <v>0 mmol/kg</v>
      </c>
    </row>
    <row r="70" spans="2:17" ht="13.2" x14ac:dyDescent="0.4">
      <c r="B70" s="957" t="s">
        <v>128</v>
      </c>
      <c r="C70" s="957"/>
      <c r="D70" s="957"/>
      <c r="E70" s="957"/>
      <c r="F70" s="957"/>
      <c r="G70" s="957"/>
      <c r="H70" s="957"/>
      <c r="I70" s="957"/>
      <c r="J70" s="957"/>
      <c r="K70" s="957"/>
      <c r="L70" s="957"/>
      <c r="M70" s="957"/>
      <c r="N70" s="957"/>
      <c r="O70" s="957"/>
      <c r="P70" s="957"/>
      <c r="Q70" s="957"/>
    </row>
    <row r="71" spans="2:17" x14ac:dyDescent="0.35">
      <c r="B71" s="219" t="s">
        <v>402</v>
      </c>
      <c r="D71" s="21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27"/>
      <c r="Q71" s="227"/>
    </row>
    <row r="72" spans="2:17" x14ac:dyDescent="0.35">
      <c r="B72" s="219" t="s">
        <v>768</v>
      </c>
      <c r="D72" s="21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27"/>
      <c r="Q72" s="227"/>
    </row>
    <row r="73" spans="2:17" x14ac:dyDescent="0.35">
      <c r="B73" s="219" t="s">
        <v>769</v>
      </c>
      <c r="D73" s="21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27"/>
      <c r="Q73" s="227"/>
    </row>
    <row r="74" spans="2:17" x14ac:dyDescent="0.35">
      <c r="B74" s="219" t="s">
        <v>770</v>
      </c>
      <c r="D74" s="21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27"/>
      <c r="Q74" s="227"/>
    </row>
    <row r="75" spans="2:17" x14ac:dyDescent="0.35">
      <c r="B75" s="219" t="s">
        <v>160</v>
      </c>
      <c r="D75" s="21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27"/>
      <c r="Q75" s="227"/>
    </row>
    <row r="76" spans="2:17" x14ac:dyDescent="0.35">
      <c r="B76" s="219" t="s">
        <v>771</v>
      </c>
      <c r="D76" s="21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27"/>
      <c r="Q76" s="227"/>
    </row>
    <row r="77" spans="2:17" x14ac:dyDescent="0.35">
      <c r="B77" s="219" t="s">
        <v>775</v>
      </c>
      <c r="D77" s="21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27"/>
      <c r="Q77" s="227"/>
    </row>
    <row r="78" spans="2:17" x14ac:dyDescent="0.35">
      <c r="B78" s="219" t="s">
        <v>313</v>
      </c>
      <c r="D78" s="219" t="str">
        <f>IF(_Neo_Lab_Opm=0,"",_Neo_Lab_Opm)</f>
        <v/>
      </c>
      <c r="P78" s="227"/>
      <c r="Q78" s="227"/>
    </row>
    <row r="79" spans="2:17" x14ac:dyDescent="0.35">
      <c r="P79" s="227"/>
      <c r="Q79" s="227"/>
    </row>
    <row r="80" spans="2:17" x14ac:dyDescent="0.35">
      <c r="P80" s="227"/>
      <c r="Q80" s="227"/>
    </row>
    <row r="81" spans="2:17" ht="13.2" x14ac:dyDescent="0.4">
      <c r="B81" s="957" t="s">
        <v>74</v>
      </c>
      <c r="C81" s="957"/>
      <c r="D81" s="957"/>
      <c r="E81" s="957"/>
      <c r="F81" s="957"/>
      <c r="G81" s="957"/>
      <c r="H81" s="957"/>
      <c r="I81" s="957"/>
      <c r="J81" s="957"/>
      <c r="K81" s="957"/>
      <c r="L81" s="957"/>
      <c r="M81" s="957"/>
      <c r="N81" s="957"/>
      <c r="O81" s="957"/>
      <c r="P81" s="957"/>
      <c r="Q81" s="957"/>
    </row>
    <row r="82" spans="2:17" x14ac:dyDescent="0.35">
      <c r="B82" s="219" t="s">
        <v>778</v>
      </c>
      <c r="D82" s="219" t="str">
        <f>IFERROR(LEFT(Var_Neo_AfsprControles,LEN(Var_Neo_AfsprControles)-3),"")</f>
        <v/>
      </c>
      <c r="P82" s="227"/>
      <c r="Q82" s="227"/>
    </row>
    <row r="83" spans="2:17" x14ac:dyDescent="0.35">
      <c r="B83" s="219" t="s">
        <v>784</v>
      </c>
      <c r="D83" s="219" t="str">
        <f>IFERROR(LEFT(Var_Neo_AfsprOnderzoek,LEN(Var_Neo_AfsprOnderzoek)-3),"")</f>
        <v/>
      </c>
      <c r="P83" s="227"/>
      <c r="Q83" s="227"/>
    </row>
    <row r="84" spans="2:17" x14ac:dyDescent="0.35">
      <c r="B84" s="219" t="s">
        <v>716</v>
      </c>
      <c r="D84" s="219" t="str">
        <f>IFERROR(LEFT(Var_Neo_AfsprKweken,LEN(Var_Neo_AfsprKweken)-3),"")</f>
        <v/>
      </c>
      <c r="P84" s="227"/>
      <c r="Q84" s="227"/>
    </row>
    <row r="85" spans="2:17" x14ac:dyDescent="0.35">
      <c r="B85" s="219" t="s">
        <v>1022</v>
      </c>
      <c r="D85" s="219" t="str">
        <f>IFERROR(LEFT(Var_Neo_AfsprInstellingen,LEN(Var_Neo_AfsprInstellingen)-3),"")</f>
        <v/>
      </c>
      <c r="P85" s="227"/>
      <c r="Q85" s="227"/>
    </row>
    <row r="86" spans="2:17" x14ac:dyDescent="0.35">
      <c r="B86" s="219" t="s">
        <v>762</v>
      </c>
      <c r="D86" s="219" t="str">
        <f>IFERROR(LEFT(Var_Neo_AfsprOverig,LEN(Var_Neo_AfsprOverig)-3),"")</f>
        <v/>
      </c>
      <c r="P86" s="227"/>
      <c r="Q86" s="227"/>
    </row>
    <row r="87" spans="2:17" x14ac:dyDescent="0.35">
      <c r="P87" s="227"/>
      <c r="Q87" s="227"/>
    </row>
    <row r="88" spans="2:17" x14ac:dyDescent="0.35">
      <c r="P88" s="227"/>
      <c r="Q88" s="227"/>
    </row>
    <row r="89" spans="2:17" x14ac:dyDescent="0.35">
      <c r="P89" s="227"/>
      <c r="Q89" s="227"/>
    </row>
    <row r="90" spans="2:17" x14ac:dyDescent="0.35">
      <c r="P90" s="227"/>
      <c r="Q90" s="227"/>
    </row>
    <row r="91" spans="2:17" x14ac:dyDescent="0.35">
      <c r="P91" s="227"/>
      <c r="Q91" s="227"/>
    </row>
    <row r="92" spans="2:17" x14ac:dyDescent="0.35">
      <c r="P92" s="227"/>
      <c r="Q92" s="227"/>
    </row>
    <row r="93" spans="2:17" x14ac:dyDescent="0.35">
      <c r="P93" s="227"/>
      <c r="Q93" s="227"/>
    </row>
    <row r="94" spans="2:17" x14ac:dyDescent="0.35">
      <c r="P94" s="227"/>
      <c r="Q94" s="227"/>
    </row>
    <row r="95" spans="2:17" x14ac:dyDescent="0.35">
      <c r="P95" s="227"/>
      <c r="Q95" s="227"/>
    </row>
    <row r="96" spans="2:17" x14ac:dyDescent="0.35">
      <c r="P96" s="227"/>
      <c r="Q96" s="227"/>
    </row>
    <row r="97" spans="16:17" x14ac:dyDescent="0.35">
      <c r="P97" s="227"/>
      <c r="Q97" s="227"/>
    </row>
    <row r="98" spans="16:17" x14ac:dyDescent="0.35">
      <c r="P98" s="227"/>
      <c r="Q98" s="227"/>
    </row>
    <row r="99" spans="16:17" x14ac:dyDescent="0.35">
      <c r="P99" s="227"/>
      <c r="Q99" s="227"/>
    </row>
    <row r="100" spans="16:17" x14ac:dyDescent="0.35">
      <c r="P100" s="227"/>
      <c r="Q100" s="227"/>
    </row>
    <row r="101" spans="16:17" x14ac:dyDescent="0.35">
      <c r="P101" s="227"/>
      <c r="Q101" s="227"/>
    </row>
    <row r="102" spans="16:17" x14ac:dyDescent="0.35">
      <c r="P102" s="227"/>
      <c r="Q102" s="227"/>
    </row>
    <row r="103" spans="16:17" x14ac:dyDescent="0.35">
      <c r="P103" s="227"/>
      <c r="Q103" s="227"/>
    </row>
    <row r="104" spans="16:17" x14ac:dyDescent="0.35">
      <c r="P104" s="227"/>
      <c r="Q104" s="227"/>
    </row>
    <row r="105" spans="16:17" x14ac:dyDescent="0.35">
      <c r="P105" s="227"/>
      <c r="Q105" s="227"/>
    </row>
    <row r="106" spans="16:17" x14ac:dyDescent="0.35">
      <c r="P106" s="227"/>
      <c r="Q106" s="227"/>
    </row>
    <row r="107" spans="16:17" x14ac:dyDescent="0.35">
      <c r="P107" s="227"/>
      <c r="Q107" s="227"/>
    </row>
    <row r="108" spans="16:17" x14ac:dyDescent="0.35">
      <c r="P108" s="227"/>
      <c r="Q108" s="227"/>
    </row>
    <row r="109" spans="16:17" x14ac:dyDescent="0.35">
      <c r="P109" s="227"/>
      <c r="Q109" s="227"/>
    </row>
    <row r="110" spans="16:17" x14ac:dyDescent="0.35">
      <c r="P110" s="227"/>
      <c r="Q110" s="227"/>
    </row>
    <row r="111" spans="16:17" x14ac:dyDescent="0.35">
      <c r="P111" s="227"/>
      <c r="Q111" s="227"/>
    </row>
    <row r="112" spans="16:17" x14ac:dyDescent="0.35">
      <c r="P112" s="227"/>
      <c r="Q112" s="227"/>
    </row>
    <row r="113" spans="16:17" x14ac:dyDescent="0.35">
      <c r="P113" s="227"/>
      <c r="Q113" s="227"/>
    </row>
    <row r="114" spans="16:17" x14ac:dyDescent="0.35">
      <c r="P114" s="227"/>
      <c r="Q114" s="227"/>
    </row>
    <row r="115" spans="16:17" x14ac:dyDescent="0.35">
      <c r="P115" s="227"/>
      <c r="Q115" s="227"/>
    </row>
    <row r="116" spans="16:17" x14ac:dyDescent="0.35">
      <c r="P116" s="227"/>
      <c r="Q116" s="227"/>
    </row>
    <row r="117" spans="16:17" x14ac:dyDescent="0.35">
      <c r="P117" s="227"/>
      <c r="Q117" s="227"/>
    </row>
    <row r="118" spans="16:17" x14ac:dyDescent="0.35">
      <c r="P118" s="227"/>
      <c r="Q118" s="227"/>
    </row>
    <row r="119" spans="16:17" x14ac:dyDescent="0.35">
      <c r="P119" s="227"/>
      <c r="Q119" s="227"/>
    </row>
    <row r="120" spans="16:17" x14ac:dyDescent="0.35">
      <c r="P120" s="227"/>
      <c r="Q120" s="227"/>
    </row>
    <row r="121" spans="16:17" x14ac:dyDescent="0.35">
      <c r="P121" s="227"/>
      <c r="Q121" s="227"/>
    </row>
    <row r="122" spans="16:17" x14ac:dyDescent="0.35">
      <c r="P122" s="227"/>
      <c r="Q122" s="227"/>
    </row>
    <row r="123" spans="16:17" x14ac:dyDescent="0.35">
      <c r="P123" s="227"/>
      <c r="Q123" s="227"/>
    </row>
    <row r="124" spans="16:17" x14ac:dyDescent="0.35">
      <c r="P124" s="227"/>
      <c r="Q124" s="227"/>
    </row>
    <row r="125" spans="16:17" x14ac:dyDescent="0.35">
      <c r="P125" s="227"/>
      <c r="Q125" s="227"/>
    </row>
    <row r="126" spans="16:17" x14ac:dyDescent="0.35">
      <c r="P126" s="227"/>
      <c r="Q126" s="227"/>
    </row>
    <row r="127" spans="16:17" x14ac:dyDescent="0.35">
      <c r="P127" s="227"/>
      <c r="Q127" s="227"/>
    </row>
    <row r="128" spans="16:17" x14ac:dyDescent="0.35">
      <c r="P128" s="227"/>
      <c r="Q128" s="227"/>
    </row>
    <row r="129" spans="16:17" x14ac:dyDescent="0.35">
      <c r="P129" s="227"/>
      <c r="Q129" s="227"/>
    </row>
    <row r="130" spans="16:17" x14ac:dyDescent="0.35">
      <c r="P130" s="227"/>
      <c r="Q130" s="227"/>
    </row>
    <row r="131" spans="16:17" x14ac:dyDescent="0.35">
      <c r="P131" s="227"/>
      <c r="Q131" s="227"/>
    </row>
    <row r="132" spans="16:17" x14ac:dyDescent="0.35">
      <c r="P132" s="227"/>
      <c r="Q132" s="227"/>
    </row>
    <row r="133" spans="16:17" x14ac:dyDescent="0.35">
      <c r="P133" s="227"/>
      <c r="Q133" s="227"/>
    </row>
    <row r="134" spans="16:17" x14ac:dyDescent="0.35">
      <c r="P134" s="227"/>
      <c r="Q134" s="227"/>
    </row>
    <row r="135" spans="16:17" x14ac:dyDescent="0.35">
      <c r="P135" s="227"/>
      <c r="Q135" s="227"/>
    </row>
    <row r="136" spans="16:17" x14ac:dyDescent="0.35">
      <c r="P136" s="227"/>
      <c r="Q136" s="227"/>
    </row>
    <row r="137" spans="16:17" x14ac:dyDescent="0.35">
      <c r="P137" s="227"/>
      <c r="Q137" s="227"/>
    </row>
    <row r="138" spans="16:17" x14ac:dyDescent="0.35">
      <c r="P138" s="227"/>
      <c r="Q138" s="227"/>
    </row>
    <row r="139" spans="16:17" x14ac:dyDescent="0.35">
      <c r="P139" s="227"/>
      <c r="Q139" s="227"/>
    </row>
    <row r="140" spans="16:17" x14ac:dyDescent="0.35">
      <c r="P140" s="227"/>
      <c r="Q140" s="227"/>
    </row>
    <row r="141" spans="16:17" x14ac:dyDescent="0.35">
      <c r="P141" s="227"/>
      <c r="Q141" s="227"/>
    </row>
    <row r="142" spans="16:17" x14ac:dyDescent="0.35">
      <c r="P142" s="227"/>
      <c r="Q142" s="227"/>
    </row>
    <row r="143" spans="16:17" x14ac:dyDescent="0.35">
      <c r="P143" s="227"/>
      <c r="Q143" s="227"/>
    </row>
    <row r="144" spans="16:17" x14ac:dyDescent="0.35">
      <c r="P144" s="227"/>
      <c r="Q144" s="227"/>
    </row>
    <row r="145" spans="16:17" x14ac:dyDescent="0.35">
      <c r="P145" s="227"/>
      <c r="Q145" s="227"/>
    </row>
    <row r="146" spans="16:17" x14ac:dyDescent="0.35">
      <c r="P146" s="227"/>
      <c r="Q146" s="227"/>
    </row>
  </sheetData>
  <sheetProtection algorithmName="SHA-512" hashValue="bHuMiCLbhXoi2TF/i7db5yfG/atHf5lVk4cTrNfT6uEXBKSay6Lf+fcYq45DVpogLcLZj/GK/JcD6BRUjt0eOw==" saltValue="iJX84TaSqeVWC8Q1/EmqcA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19" customWidth="1"/>
    <col min="14" max="15" width="11.265625" style="219" bestFit="1" customWidth="1"/>
    <col min="16" max="17" width="5.73046875" style="219" customWidth="1"/>
    <col min="18" max="16384" width="9.1328125" style="219"/>
  </cols>
  <sheetData>
    <row r="1" spans="1:20" ht="13.2" x14ac:dyDescent="0.4">
      <c r="A1" s="434"/>
      <c r="B1" s="219" t="s">
        <v>586</v>
      </c>
      <c r="H1" s="219" t="s">
        <v>566</v>
      </c>
      <c r="J1" s="965">
        <f ca="1">TODAY()</f>
        <v>42739</v>
      </c>
      <c r="K1" s="965"/>
      <c r="L1" s="965"/>
      <c r="M1" s="219" t="s">
        <v>549</v>
      </c>
      <c r="N1" s="241">
        <f>__1_Bed</f>
        <v>0</v>
      </c>
    </row>
    <row r="2" spans="1:20" ht="13.2" x14ac:dyDescent="0.4">
      <c r="B2" s="219" t="s">
        <v>565</v>
      </c>
      <c r="D2" s="225" t="str">
        <f>__3_VoorNaam&amp;" "&amp;__2_AchterNaam</f>
        <v xml:space="preserve"> </v>
      </c>
      <c r="H2" s="219" t="s">
        <v>569</v>
      </c>
      <c r="J2" s="225" t="str">
        <f>IF(_Neo_InfB_Arts&gt;0,_Neo_InfB_Arts,"")</f>
        <v/>
      </c>
      <c r="M2" s="219" t="s">
        <v>567</v>
      </c>
      <c r="N2" s="966">
        <f ca="1">NOW()</f>
        <v>42739.609596064816</v>
      </c>
      <c r="O2" s="966"/>
    </row>
    <row r="3" spans="1:20" ht="13.2" x14ac:dyDescent="0.4">
      <c r="B3" s="219" t="s">
        <v>568</v>
      </c>
      <c r="D3" s="225">
        <f>(_Pat_Gewicht/10)</f>
        <v>10</v>
      </c>
      <c r="E3" s="219" t="s">
        <v>690</v>
      </c>
      <c r="J3" s="227"/>
      <c r="K3" s="227"/>
      <c r="L3" s="227"/>
      <c r="M3" s="219" t="s">
        <v>587</v>
      </c>
    </row>
    <row r="4" spans="1:20" ht="9.0500000000000007" customHeight="1" x14ac:dyDescent="0.35">
      <c r="H4" s="227"/>
      <c r="I4" s="227"/>
      <c r="J4" s="227"/>
      <c r="K4" s="227"/>
    </row>
    <row r="5" spans="1:20" ht="15.1" x14ac:dyDescent="0.4">
      <c r="A5" s="319">
        <v>1</v>
      </c>
      <c r="B5" s="320" t="str">
        <f>IF(NeoPrtWerkbr!C26&lt;&gt;"zijlijn",NeoPrtWerkbr!A26,"")</f>
        <v/>
      </c>
      <c r="C5" s="320"/>
      <c r="D5" s="321" t="str">
        <f>NeoPrtWerkbr!C26</f>
        <v/>
      </c>
      <c r="E5" s="322"/>
      <c r="F5" s="323" t="str">
        <f>IF(NeoPrtWerkbr!E26&lt;&gt;"",IF(D5&lt;&gt;"lidocaine",IF(NeoPrtWerkbr!M28&lt;25,NeoPrtWerkbr!E26*2,NeoPrtWerkbr!E26),NeoPrtWerkbr!E26*1.5),"")</f>
        <v/>
      </c>
      <c r="G5" s="322" t="str">
        <f>NeoPrtWerkbr!F26</f>
        <v>mg</v>
      </c>
      <c r="H5" s="324" t="str">
        <f>NeoPrtWerkbr!G26</f>
        <v>(</v>
      </c>
      <c r="I5" s="322" t="str">
        <f>NeoPrtWerkbr!H26</f>
        <v/>
      </c>
      <c r="J5" s="322" t="str">
        <f>NeoPrtWerkbr!I26</f>
        <v>mg=</v>
      </c>
      <c r="K5" s="322" t="str">
        <f>NeoPrtWerkbr!J26</f>
        <v/>
      </c>
      <c r="L5" s="322" t="str">
        <f>NeoPrtWerkbr!K26</f>
        <v>ml)</v>
      </c>
      <c r="M5" s="322"/>
      <c r="N5" s="325" t="str">
        <f>IF(B5&lt;&gt;"",IF(B5&gt;0,TRUNC((K5/I5)*F5),0),"")</f>
        <v/>
      </c>
      <c r="O5" s="326" t="str">
        <f>IF(B5&lt;&gt;"",(ROUND((K5/I5)*F5,2)-N5)*100,"")</f>
        <v/>
      </c>
      <c r="P5" s="227"/>
      <c r="Q5" s="227"/>
      <c r="R5" s="227"/>
    </row>
    <row r="6" spans="1:20" ht="15.1" x14ac:dyDescent="0.4">
      <c r="A6" s="460"/>
      <c r="B6" s="320"/>
      <c r="C6" s="320"/>
      <c r="D6" s="327" t="str">
        <f>NeoPrtWerkbr!C28</f>
        <v/>
      </c>
      <c r="E6" s="328"/>
      <c r="F6" s="328" t="str">
        <f>NeoPrtWerkbr!E28</f>
        <v/>
      </c>
      <c r="G6" s="328"/>
      <c r="H6" s="329"/>
      <c r="I6" s="328"/>
      <c r="J6" s="328" t="str">
        <f>NeoPrtWerkbr!I27</f>
        <v>in</v>
      </c>
      <c r="K6" s="330" t="str">
        <f>IF(AND(D5&lt;&gt;"Nepresol (dihydralazine)",D5&lt;&gt;"Flolan (epoprostenol)"),NeoPrtWerkbr!J27,"NaCl 0,9%")</f>
        <v/>
      </c>
      <c r="L6" s="328"/>
      <c r="M6" s="328"/>
      <c r="N6" s="331" t="str">
        <f>IF(B5&lt;&gt;"",TRUNC(N7+O7/100-N5-O5/100),"")</f>
        <v/>
      </c>
      <c r="O6" s="332" t="str">
        <f>IF(B5&lt;&gt;"",(N7+O7/100-N5-O5/100-N6)*100,"")</f>
        <v/>
      </c>
      <c r="P6" s="227"/>
      <c r="Q6" s="227"/>
      <c r="R6" s="227"/>
    </row>
    <row r="7" spans="1:20" ht="15.1" x14ac:dyDescent="0.4">
      <c r="A7" s="319"/>
      <c r="B7" s="320"/>
      <c r="C7" s="320"/>
      <c r="D7" s="333" t="s">
        <v>588</v>
      </c>
      <c r="E7" s="334"/>
      <c r="F7" s="335" t="str">
        <f>IF(D5&lt;&gt;"",INDEX(tbl_Neo_MedIV,NeoBerInfB!B20,2),"")</f>
        <v/>
      </c>
      <c r="G7" s="334"/>
      <c r="H7" s="334"/>
      <c r="I7" s="336"/>
      <c r="J7" s="336"/>
      <c r="K7" s="337" t="str">
        <f>NeoPrtWerkbr!J28</f>
        <v>Totaal</v>
      </c>
      <c r="L7" s="336"/>
      <c r="M7" s="336"/>
      <c r="N7" s="338" t="str">
        <f>IF(B5&lt;&gt;"",IF(D5&lt;&gt;"lidocaine",IF(_Neo_1700_OplHoev_1&lt;25,2*TRUNC(_Neo_1700_OplHoev_1),TRUNC(_Neo_1700_OplHoev_1)),TRUNC(_Neo_1700_OplHoev_1*1.5)),"")</f>
        <v/>
      </c>
      <c r="O7" s="339" t="str">
        <f>IF(B5&lt;&gt;"",IF(D5&lt;&gt;"lidocaine",IF(_Neo_1700_OplHoev_1&lt;25,(2*_Neo_1700_OplHoev_1-N7)*100,(_Neo_1700_OplHoev_1-N7)*100),1.5*_Neo_1700_OplHoev_1-N7),"")</f>
        <v/>
      </c>
      <c r="P7" s="227"/>
      <c r="Q7" s="227"/>
      <c r="R7" s="227"/>
    </row>
    <row r="8" spans="1:20" ht="10" customHeight="1" x14ac:dyDescent="0.4">
      <c r="A8" s="319"/>
      <c r="B8" s="293"/>
      <c r="C8" s="293"/>
      <c r="D8" s="277"/>
      <c r="E8" s="277"/>
      <c r="F8" s="340"/>
      <c r="G8" s="277"/>
      <c r="H8" s="277"/>
      <c r="I8" s="277"/>
      <c r="J8" s="277"/>
      <c r="K8" s="278"/>
      <c r="L8" s="277"/>
      <c r="M8" s="277"/>
      <c r="N8" s="341"/>
      <c r="O8" s="342"/>
      <c r="P8" s="227"/>
      <c r="Q8" s="227"/>
      <c r="R8" s="227"/>
    </row>
    <row r="9" spans="1:20" ht="15.1" x14ac:dyDescent="0.4">
      <c r="A9" s="319">
        <v>2</v>
      </c>
      <c r="B9" s="343" t="str">
        <f>IF(NeoPrtWerkbr!C29&lt;&gt;"zijlijn",NeoPrtWerkbr!A29,"")</f>
        <v/>
      </c>
      <c r="C9" s="343"/>
      <c r="D9" s="255" t="str">
        <f>NeoPrtWerkbr!C29</f>
        <v/>
      </c>
      <c r="E9" s="256"/>
      <c r="F9" s="344" t="str">
        <f>IF(NeoPrtWerkbr!E29&lt;&gt;"",IF(D9&lt;&gt;"lidocaine",IF(NeoPrtWerkbr!M31&lt;25,NeoPrtWerkbr!E29*2,NeoPrtWerkbr!E29),NeoPrtWerkbr!E29*1.5),"")</f>
        <v/>
      </c>
      <c r="G9" s="256" t="str">
        <f>NeoPrtWerkbr!F29</f>
        <v>mg</v>
      </c>
      <c r="H9" s="345" t="str">
        <f>NeoPrtWerkbr!G29</f>
        <v>(</v>
      </c>
      <c r="I9" s="256" t="str">
        <f>NeoPrtWerkbr!H29</f>
        <v/>
      </c>
      <c r="J9" s="256" t="str">
        <f>NeoPrtWerkbr!I29</f>
        <v>mg=</v>
      </c>
      <c r="K9" s="256" t="str">
        <f>NeoPrtWerkbr!J29</f>
        <v/>
      </c>
      <c r="L9" s="256" t="str">
        <f>NeoPrtWerkbr!K29</f>
        <v>ml)</v>
      </c>
      <c r="M9" s="256"/>
      <c r="N9" s="346" t="str">
        <f>IF(B9&lt;&gt;"",IF(B9&gt;0,TRUNC((K9/I9)*F9),0),"")</f>
        <v/>
      </c>
      <c r="O9" s="347" t="str">
        <f>IF(B9&lt;&gt;"",(IF(B9&gt;0,ROUND((K9/I9)*F9,2),0)-N9)*100,"")</f>
        <v/>
      </c>
      <c r="P9" s="227"/>
      <c r="Q9" s="227"/>
      <c r="R9" s="227"/>
    </row>
    <row r="10" spans="1:20" ht="15.1" x14ac:dyDescent="0.4">
      <c r="A10" s="319"/>
      <c r="B10" s="343"/>
      <c r="C10" s="343"/>
      <c r="D10" s="348" t="str">
        <f>NeoPrtWerkbr!C31</f>
        <v/>
      </c>
      <c r="E10" s="227"/>
      <c r="F10" s="227" t="str">
        <f>NeoPrtWerkbr!E31</f>
        <v/>
      </c>
      <c r="G10" s="227"/>
      <c r="H10" s="349"/>
      <c r="I10" s="227"/>
      <c r="J10" s="227" t="str">
        <f>NeoPrtWerkbr!I30</f>
        <v>in</v>
      </c>
      <c r="K10" s="234" t="str">
        <f>IF(AND(D9&lt;&gt;"Nepresol (dihydralazine)",D9&lt;&gt;"Flolan (epoprostenol)"),NeoPrtWerkbr!J30,"NaCl 0,9%")</f>
        <v/>
      </c>
      <c r="L10" s="227"/>
      <c r="M10" s="227"/>
      <c r="N10" s="346" t="str">
        <f>IF(B9&lt;&gt;"",TRUNC(IF(B9&gt;0,N11+O11/100-N9-O9/100,0)),"")</f>
        <v/>
      </c>
      <c r="O10" s="347" t="str">
        <f>IF(B9&lt;&gt;"",(IF(B9&gt;0,N11+O11/100-N9-O9/100,0)-N10)*100,"")</f>
        <v/>
      </c>
      <c r="P10" s="227"/>
      <c r="Q10" s="227"/>
      <c r="R10" s="227"/>
    </row>
    <row r="11" spans="1:20" ht="15.1" x14ac:dyDescent="0.4">
      <c r="A11" s="319"/>
      <c r="B11" s="343"/>
      <c r="C11" s="343"/>
      <c r="D11" s="350" t="s">
        <v>588</v>
      </c>
      <c r="E11" s="351"/>
      <c r="F11" s="352" t="str">
        <f>IF(D9&lt;&gt;"",INDEX(tbl_Neo_MedIV,NeoBerInfB!B21,2),"")</f>
        <v/>
      </c>
      <c r="G11" s="351"/>
      <c r="H11" s="353"/>
      <c r="I11" s="354"/>
      <c r="J11" s="354"/>
      <c r="K11" s="355" t="str">
        <f>NeoPrtWerkbr!J31</f>
        <v>Totaal</v>
      </c>
      <c r="L11" s="354"/>
      <c r="M11" s="354"/>
      <c r="N11" s="356" t="str">
        <f>IF(B9&lt;&gt;"",IF(D9&lt;&gt;"lidocaine",IF(_Neo_1700_OplHoev_2&lt;25,2*TRUNC(_Neo_1700_OplHoev_2),TRUNC(_Neo_1700_OplHoev_2)),TRUNC(_Neo_1700_OplHoev_2*1.5)),"")</f>
        <v/>
      </c>
      <c r="O11" s="357" t="str">
        <f>IF(B9&lt;&gt;"",IF(D9&lt;&gt;"lidocaine",IF(_Neo_1700_OplHoev_2&lt;25,(2*_Neo_1700_OplHoev_2-N11)*100,(_Neo_1700_OplHoev_2-N11)*100),1.5*_Neo_1700_OplHoev_2-N11),"")</f>
        <v/>
      </c>
      <c r="P11" s="227"/>
      <c r="Q11" s="227"/>
      <c r="R11" s="227"/>
    </row>
    <row r="12" spans="1:20" ht="10" customHeight="1" x14ac:dyDescent="0.4">
      <c r="A12" s="319"/>
      <c r="B12" s="358"/>
      <c r="C12" s="358"/>
      <c r="D12" s="256"/>
      <c r="E12" s="256"/>
      <c r="F12" s="359"/>
      <c r="G12" s="256"/>
      <c r="H12" s="345"/>
      <c r="I12" s="256"/>
      <c r="J12" s="256"/>
      <c r="K12" s="344"/>
      <c r="L12" s="256"/>
      <c r="M12" s="256"/>
      <c r="N12" s="360"/>
      <c r="O12" s="361"/>
      <c r="P12" s="227"/>
      <c r="Q12" s="227"/>
      <c r="R12" s="227"/>
    </row>
    <row r="13" spans="1:20" ht="15.1" x14ac:dyDescent="0.4">
      <c r="A13" s="319">
        <v>3</v>
      </c>
      <c r="B13" s="320" t="str">
        <f>IF(NeoPrtWerkbr!C32&lt;&gt;"zijlijn",NeoPrtWerkbr!A32,"")</f>
        <v/>
      </c>
      <c r="C13" s="320"/>
      <c r="D13" s="321" t="str">
        <f>NeoPrtWerkbr!C32</f>
        <v/>
      </c>
      <c r="E13" s="322"/>
      <c r="F13" s="323" t="str">
        <f>IF(NeoPrtWerkbr!E32&lt;&gt;"",IF(D13&lt;&gt;"lidocaine",IF(NeoPrtWerkbr!M34&lt;25,NeoPrtWerkbr!E32*2,NeoPrtWerkbr!E32),NeoPrtWerkbr!E32*1.5),"")</f>
        <v/>
      </c>
      <c r="G13" s="322" t="str">
        <f>NeoPrtWerkbr!F32</f>
        <v>mg</v>
      </c>
      <c r="H13" s="324" t="str">
        <f>NeoPrtWerkbr!G32</f>
        <v>(</v>
      </c>
      <c r="I13" s="322" t="str">
        <f>NeoPrtWerkbr!H32</f>
        <v/>
      </c>
      <c r="J13" s="322" t="str">
        <f>NeoPrtWerkbr!I32</f>
        <v>mg=</v>
      </c>
      <c r="K13" s="322" t="str">
        <f>NeoPrtWerkbr!J32</f>
        <v/>
      </c>
      <c r="L13" s="322" t="str">
        <f>NeoPrtWerkbr!K32</f>
        <v>ml)</v>
      </c>
      <c r="M13" s="322"/>
      <c r="N13" s="325" t="str">
        <f>IF(B13&lt;&gt;"",IF(B13&gt;0,TRUNC((K13/I13)*F13),0),"")</f>
        <v/>
      </c>
      <c r="O13" s="326" t="str">
        <f>IF(B13&lt;&gt;"",(IF(B13&gt;0,ROUND((K13/I13)*F13,2),0)-N13)*100,"")</f>
        <v/>
      </c>
      <c r="P13" s="227"/>
      <c r="Q13" s="227"/>
      <c r="R13" s="227"/>
      <c r="T13" s="235"/>
    </row>
    <row r="14" spans="1:20" ht="15.1" x14ac:dyDescent="0.4">
      <c r="A14" s="319"/>
      <c r="B14" s="320"/>
      <c r="C14" s="320"/>
      <c r="D14" s="327" t="str">
        <f>NeoPrtWerkbr!C34</f>
        <v/>
      </c>
      <c r="E14" s="328"/>
      <c r="F14" s="328" t="str">
        <f>NeoPrtWerkbr!E34</f>
        <v/>
      </c>
      <c r="G14" s="328"/>
      <c r="H14" s="329"/>
      <c r="I14" s="328"/>
      <c r="J14" s="328" t="str">
        <f>NeoPrtWerkbr!I33</f>
        <v>in</v>
      </c>
      <c r="K14" s="330" t="str">
        <f>IF(AND(D13&lt;&gt;"Nepresol (dihydralazine)",D13&lt;&gt;"Flolan (epoprostenol)"),NeoPrtWerkbr!J33,"NaCl 0,9%")</f>
        <v/>
      </c>
      <c r="L14" s="328"/>
      <c r="M14" s="328"/>
      <c r="N14" s="331" t="str">
        <f>IF(B13&lt;&gt;"",TRUNC(IF(B13&gt;0,N15+O15/100-N13-O13/100,0)),"")</f>
        <v/>
      </c>
      <c r="O14" s="332" t="str">
        <f>IF(B13&lt;&gt;"",(IF(B13&gt;0,N15+O15/100-N13-O13/100,0)-N14)*100,"")</f>
        <v/>
      </c>
      <c r="P14" s="227"/>
      <c r="Q14" s="227"/>
      <c r="R14" s="227"/>
    </row>
    <row r="15" spans="1:20" ht="15.1" x14ac:dyDescent="0.4">
      <c r="A15" s="319"/>
      <c r="B15" s="320"/>
      <c r="C15" s="320"/>
      <c r="D15" s="333" t="s">
        <v>588</v>
      </c>
      <c r="E15" s="334"/>
      <c r="F15" s="335" t="str">
        <f>IF(D13&lt;&gt;"",INDEX(tbl_Neo_MedIV,NeoBerInfB!B22,2),"")</f>
        <v/>
      </c>
      <c r="G15" s="334"/>
      <c r="H15" s="336"/>
      <c r="I15" s="336"/>
      <c r="J15" s="336"/>
      <c r="K15" s="337" t="str">
        <f>NeoPrtWerkbr!J34</f>
        <v>Totaal</v>
      </c>
      <c r="L15" s="336"/>
      <c r="M15" s="336"/>
      <c r="N15" s="338" t="str">
        <f>IF(B13&lt;&gt;"",IF(D13&lt;&gt;"lidocaine",IF(_Neo_1700_OplHoev_3&lt;25,2*TRUNC(_Neo_1700_OplHoev_3),TRUNC(_Neo_1700_OplHoev_3)),TRUNC(_Neo_1700_OplHoev_3*1.5)),"")</f>
        <v/>
      </c>
      <c r="O15" s="339" t="str">
        <f>IF(B13&lt;&gt;"",IF(D13&lt;&gt;"lidocaine",IF(_Neo_1700_OplHoev_3&lt;25,(2*_Neo_1700_OplHoev_3-N15)*100,(_Neo_1700_OplHoev_3-N15)*100),1.5*_Neo_1700_OplHoev_3-N15),"")</f>
        <v/>
      </c>
      <c r="P15" s="227"/>
      <c r="Q15" s="227"/>
      <c r="R15" s="227"/>
    </row>
    <row r="16" spans="1:20" ht="10" customHeight="1" x14ac:dyDescent="0.4">
      <c r="A16" s="319"/>
      <c r="B16" s="293"/>
      <c r="C16" s="293"/>
      <c r="D16" s="277"/>
      <c r="E16" s="277"/>
      <c r="F16" s="340"/>
      <c r="G16" s="277"/>
      <c r="H16" s="277"/>
      <c r="I16" s="277"/>
      <c r="J16" s="277"/>
      <c r="K16" s="278"/>
      <c r="L16" s="277"/>
      <c r="M16" s="277"/>
      <c r="N16" s="341"/>
      <c r="O16" s="342"/>
      <c r="P16" s="227"/>
      <c r="Q16" s="227"/>
      <c r="R16" s="227"/>
    </row>
    <row r="17" spans="1:18" ht="15.1" x14ac:dyDescent="0.4">
      <c r="A17" s="319">
        <v>4</v>
      </c>
      <c r="B17" s="343" t="str">
        <f>IF(NeoPrtWerkbr!C35&lt;&gt;"zijlijn",NeoPrtWerkbr!A35,"")</f>
        <v/>
      </c>
      <c r="C17" s="343"/>
      <c r="D17" s="255" t="str">
        <f>NeoPrtWerkbr!C35</f>
        <v/>
      </c>
      <c r="E17" s="256"/>
      <c r="F17" s="344" t="str">
        <f>IF(NeoPrtWerkbr!E35&lt;&gt;"",IF(D17&lt;&gt;"lidocaine",IF(NeoPrtWerkbr!M37&lt;25,NeoPrtWerkbr!E35*2,NeoPrtWerkbr!E35),NeoPrtWerkbr!E35*1.5),"")</f>
        <v/>
      </c>
      <c r="G17" s="256" t="str">
        <f>NeoPrtWerkbr!F35</f>
        <v>mg</v>
      </c>
      <c r="H17" s="345" t="str">
        <f>NeoPrtWerkbr!G35</f>
        <v>(</v>
      </c>
      <c r="I17" s="256" t="str">
        <f>NeoPrtWerkbr!H35</f>
        <v/>
      </c>
      <c r="J17" s="256" t="str">
        <f>NeoPrtWerkbr!I35</f>
        <v>mg=</v>
      </c>
      <c r="K17" s="256" t="str">
        <f>NeoPrtWerkbr!J35</f>
        <v/>
      </c>
      <c r="L17" s="256" t="str">
        <f>NeoPrtWerkbr!K35</f>
        <v>ml)</v>
      </c>
      <c r="M17" s="256"/>
      <c r="N17" s="346" t="str">
        <f>IF(B17&lt;&gt;"",IF(B17&gt;0,TRUNC((K17/I17)*F17),0),"")</f>
        <v/>
      </c>
      <c r="O17" s="347" t="str">
        <f>IF(B17&lt;&gt;"",(IF(B17&gt;0,ROUND((K17/I17)*F17,2),0)-N17)*100,"")</f>
        <v/>
      </c>
      <c r="P17" s="227"/>
      <c r="Q17" s="227"/>
      <c r="R17" s="227"/>
    </row>
    <row r="18" spans="1:18" ht="15.1" x14ac:dyDescent="0.4">
      <c r="A18" s="319"/>
      <c r="B18" s="343"/>
      <c r="C18" s="343"/>
      <c r="D18" s="348" t="str">
        <f>NeoPrtWerkbr!C37</f>
        <v/>
      </c>
      <c r="E18" s="227"/>
      <c r="F18" s="227" t="str">
        <f>NeoPrtWerkbr!E37</f>
        <v/>
      </c>
      <c r="G18" s="227"/>
      <c r="H18" s="349"/>
      <c r="I18" s="227"/>
      <c r="J18" s="227" t="str">
        <f>NeoPrtWerkbr!I36</f>
        <v>in</v>
      </c>
      <c r="K18" s="234" t="str">
        <f>IF(AND(D17&lt;&gt;"Nepresol (dihydralazine)",D17&lt;&gt;"Flolan (epoprostenol)"),NeoPrtWerkbr!J36,"NaCl 0,9%")</f>
        <v/>
      </c>
      <c r="L18" s="227"/>
      <c r="M18" s="227"/>
      <c r="N18" s="346" t="str">
        <f>IF(B17&lt;&gt;"",TRUNC(IF(B17&gt;0,N19+O19/100-N17-O17/100,0)),"")</f>
        <v/>
      </c>
      <c r="O18" s="347" t="str">
        <f>IF(B17&lt;&gt;"",(IF(B17&gt;0,N19+O19/100-N17-O17/100,0)-N18)*100,"")</f>
        <v/>
      </c>
      <c r="P18" s="227"/>
      <c r="Q18" s="227"/>
      <c r="R18" s="227"/>
    </row>
    <row r="19" spans="1:18" ht="15.1" x14ac:dyDescent="0.4">
      <c r="A19" s="319"/>
      <c r="B19" s="343"/>
      <c r="C19" s="343"/>
      <c r="D19" s="350" t="s">
        <v>588</v>
      </c>
      <c r="E19" s="351"/>
      <c r="F19" s="352" t="str">
        <f>IF(D17&lt;&gt;"",INDEX(tbl_Neo_MedIV,NeoBerInfB!B23,2),"")</f>
        <v/>
      </c>
      <c r="G19" s="351"/>
      <c r="H19" s="351"/>
      <c r="I19" s="354"/>
      <c r="J19" s="354"/>
      <c r="K19" s="355" t="str">
        <f>NeoPrtWerkbr!J37</f>
        <v>Totaal</v>
      </c>
      <c r="L19" s="354"/>
      <c r="M19" s="354"/>
      <c r="N19" s="356" t="str">
        <f>IF(B17&lt;&gt;"",IF(D17&lt;&gt;"lidocaine",IF(_Neo_1700_OplHoev_4&lt;25,2*TRUNC(_Neo_1700_OplHoev_4),TRUNC(_Neo_1700_OplHoev_4)),TRUNC(_Neo_1700_OplHoev_4*1.5)),"")</f>
        <v/>
      </c>
      <c r="O19" s="357" t="str">
        <f>IF(B17&lt;&gt;"",IF(D17&lt;&gt;"lidocaine",IF(_Neo_1700_OplHoev_4&lt;25,(2*_Neo_1700_OplHoev_4-N19)*100,(_Neo_1700_OplHoev_4-N19)*100),1.5*_Neo_1700_OplHoev_4-N19),"")</f>
        <v/>
      </c>
      <c r="P19" s="227"/>
      <c r="Q19" s="227"/>
      <c r="R19" s="227"/>
    </row>
    <row r="20" spans="1:18" ht="10" customHeight="1" x14ac:dyDescent="0.4">
      <c r="A20" s="319"/>
      <c r="B20" s="358"/>
      <c r="C20" s="358"/>
      <c r="D20" s="256"/>
      <c r="E20" s="256"/>
      <c r="F20" s="359"/>
      <c r="G20" s="256"/>
      <c r="H20" s="256"/>
      <c r="I20" s="256"/>
      <c r="J20" s="256"/>
      <c r="K20" s="344"/>
      <c r="L20" s="256"/>
      <c r="M20" s="256"/>
      <c r="N20" s="360"/>
      <c r="O20" s="361"/>
      <c r="P20" s="227"/>
      <c r="Q20" s="227"/>
      <c r="R20" s="227"/>
    </row>
    <row r="21" spans="1:18" ht="15.1" x14ac:dyDescent="0.4">
      <c r="A21" s="319">
        <v>5</v>
      </c>
      <c r="B21" s="320" t="str">
        <f>IF(NeoPrtWerkbr!C38&lt;&gt;"zijlijn",NeoPrtWerkbr!A38,"")</f>
        <v/>
      </c>
      <c r="C21" s="320"/>
      <c r="D21" s="321" t="str">
        <f>NeoPrtWerkbr!C38</f>
        <v/>
      </c>
      <c r="E21" s="322"/>
      <c r="F21" s="323" t="str">
        <f>IF(NeoPrtWerkbr!E38&lt;&gt;"",IF(D21&lt;&gt;"lidocaine",IF(NeoPrtWerkbr!M40&lt;25,NeoPrtWerkbr!E38*2,NeoPrtWerkbr!E38),NeoPrtWerkbr!E38*1.5),"")</f>
        <v/>
      </c>
      <c r="G21" s="322" t="str">
        <f>NeoPrtWerkbr!F38</f>
        <v>mg</v>
      </c>
      <c r="H21" s="324" t="str">
        <f>NeoPrtWerkbr!G38</f>
        <v>(</v>
      </c>
      <c r="I21" s="322" t="str">
        <f>NeoPrtWerkbr!H38</f>
        <v/>
      </c>
      <c r="J21" s="322" t="str">
        <f>NeoPrtWerkbr!I38</f>
        <v>mg=</v>
      </c>
      <c r="K21" s="322" t="str">
        <f>NeoPrtWerkbr!J38</f>
        <v/>
      </c>
      <c r="L21" s="322" t="str">
        <f>NeoPrtWerkbr!K38</f>
        <v>ml)</v>
      </c>
      <c r="M21" s="322"/>
      <c r="N21" s="325" t="str">
        <f>IF(B21&lt;&gt;"",IF(B21&gt;0,TRUNC((K21/I21)*F21),0),"")</f>
        <v/>
      </c>
      <c r="O21" s="326" t="str">
        <f>IF(B21&lt;&gt;"",(IF(B21&gt;0,ROUND((K21/I21)*F21,2),0)-N21)*100,"")</f>
        <v/>
      </c>
      <c r="P21" s="227"/>
      <c r="Q21" s="227"/>
      <c r="R21" s="227"/>
    </row>
    <row r="22" spans="1:18" ht="15.1" x14ac:dyDescent="0.4">
      <c r="A22" s="319"/>
      <c r="B22" s="320"/>
      <c r="C22" s="320"/>
      <c r="D22" s="327" t="str">
        <f>NeoPrtWerkbr!C40</f>
        <v/>
      </c>
      <c r="E22" s="328"/>
      <c r="F22" s="328" t="str">
        <f>NeoPrtWerkbr!E40</f>
        <v/>
      </c>
      <c r="G22" s="328"/>
      <c r="H22" s="329"/>
      <c r="I22" s="328"/>
      <c r="J22" s="328" t="str">
        <f>NeoPrtWerkbr!I39</f>
        <v>in</v>
      </c>
      <c r="K22" s="330" t="str">
        <f>IF(AND(D21&lt;&gt;"Nepresol (dihydralazine)",D21&lt;&gt;"Flolan (epoprostenol)"),NeoPrtWerkbr!J39,"NaCl 0,9%")</f>
        <v/>
      </c>
      <c r="L22" s="328"/>
      <c r="M22" s="328"/>
      <c r="N22" s="331" t="str">
        <f>IF(B21&lt;&gt;"",TRUNC(IF(B21&gt;0,N23+O23/100-N21-O21/100,0)),"")</f>
        <v/>
      </c>
      <c r="O22" s="332" t="str">
        <f>IF(B21&lt;&gt;"",(IF(B21&gt;0,N23+O23/100-N21-O21/100,0)-N22)*100,"")</f>
        <v/>
      </c>
      <c r="P22" s="227"/>
      <c r="Q22" s="227"/>
      <c r="R22" s="227"/>
    </row>
    <row r="23" spans="1:18" ht="15.1" x14ac:dyDescent="0.4">
      <c r="A23" s="319"/>
      <c r="B23" s="320"/>
      <c r="C23" s="320"/>
      <c r="D23" s="333" t="s">
        <v>588</v>
      </c>
      <c r="E23" s="334"/>
      <c r="F23" s="335" t="str">
        <f>IF(D21&lt;&gt;"",INDEX(tbl_Neo_MedIV,NeoBerInfB!B24,2),"")</f>
        <v/>
      </c>
      <c r="G23" s="334"/>
      <c r="H23" s="362"/>
      <c r="I23" s="336"/>
      <c r="J23" s="336"/>
      <c r="K23" s="337" t="str">
        <f>NeoPrtWerkbr!J40</f>
        <v>Totaal</v>
      </c>
      <c r="L23" s="336"/>
      <c r="M23" s="336"/>
      <c r="N23" s="338" t="str">
        <f>IF(B21&lt;&gt;"",IF(D21&lt;&gt;"lidocaine",IF(_Neo_1700_OplHoev_5&lt;25,2*TRUNC(_Neo_1700_OplHoev_5),TRUNC(_Neo_1700_OplHoev_5)),TRUNC(_Neo_1700_OplHoev_5*1.5)),"")</f>
        <v/>
      </c>
      <c r="O23" s="339" t="str">
        <f>IF(B21&lt;&gt;"",IF(D21&lt;&gt;"lidocaine",IF(_Neo_1700_OplHoev_5&lt;25,(2*_Neo_1700_OplHoev_5-N23)*100,(_Neo_1700_OplHoev_5-N23)*100),1.5*_Neo_1700_OplHoev_5-N23),"")</f>
        <v/>
      </c>
      <c r="P23" s="227"/>
      <c r="Q23" s="227"/>
      <c r="R23" s="227"/>
    </row>
    <row r="24" spans="1:18" ht="10" customHeight="1" x14ac:dyDescent="0.4">
      <c r="A24" s="319"/>
      <c r="B24" s="293"/>
      <c r="C24" s="293"/>
      <c r="D24" s="277"/>
      <c r="E24" s="277"/>
      <c r="F24" s="340"/>
      <c r="G24" s="277"/>
      <c r="H24" s="305"/>
      <c r="I24" s="277"/>
      <c r="J24" s="277"/>
      <c r="K24" s="278"/>
      <c r="L24" s="277"/>
      <c r="M24" s="277"/>
      <c r="N24" s="341"/>
      <c r="O24" s="342"/>
      <c r="P24" s="227"/>
      <c r="Q24" s="227"/>
      <c r="R24" s="227"/>
    </row>
    <row r="25" spans="1:18" ht="15.1" x14ac:dyDescent="0.4">
      <c r="A25" s="319">
        <v>6</v>
      </c>
      <c r="B25" s="343" t="str">
        <f>IF(NeoPrtWerkbr!C41&lt;&gt;"zijlijn",NeoPrtWerkbr!A41,"")</f>
        <v/>
      </c>
      <c r="C25" s="343"/>
      <c r="D25" s="255" t="str">
        <f>NeoPrtWerkbr!C41</f>
        <v/>
      </c>
      <c r="E25" s="256"/>
      <c r="F25" s="344" t="str">
        <f>IF(NeoPrtWerkbr!E41&lt;&gt;"",IF(D25&lt;&gt;"lidocaine",IF(NeoPrtWerkbr!M43&lt;25,NeoPrtWerkbr!E41*2,NeoPrtWerkbr!E41),NeoPrtWerkbr!E41*1.5),"")</f>
        <v/>
      </c>
      <c r="G25" s="256" t="str">
        <f>NeoPrtWerkbr!F41</f>
        <v>mg</v>
      </c>
      <c r="H25" s="345" t="str">
        <f>NeoPrtWerkbr!G41</f>
        <v>(</v>
      </c>
      <c r="I25" s="256" t="str">
        <f>NeoPrtWerkbr!H41</f>
        <v/>
      </c>
      <c r="J25" s="256" t="str">
        <f>NeoPrtWerkbr!I41</f>
        <v>mg=</v>
      </c>
      <c r="K25" s="256" t="str">
        <f>NeoPrtWerkbr!J41</f>
        <v/>
      </c>
      <c r="L25" s="256" t="str">
        <f>NeoPrtWerkbr!K41</f>
        <v>ml)</v>
      </c>
      <c r="M25" s="256"/>
      <c r="N25" s="346" t="str">
        <f>IF(B25&lt;&gt;"",IF(B25&gt;0,TRUNC((K25/I25)*F25),0),"")</f>
        <v/>
      </c>
      <c r="O25" s="347" t="str">
        <f>IF(B25&lt;&gt;"",(IF(B25&gt;0,ROUND((K25/I25)*F25,2),0)-N25)*100,"")</f>
        <v/>
      </c>
      <c r="P25" s="227"/>
      <c r="Q25" s="227"/>
      <c r="R25" s="227"/>
    </row>
    <row r="26" spans="1:18" ht="15.1" x14ac:dyDescent="0.4">
      <c r="A26" s="319"/>
      <c r="B26" s="343"/>
      <c r="C26" s="343"/>
      <c r="D26" s="348" t="str">
        <f>NeoPrtWerkbr!C43</f>
        <v/>
      </c>
      <c r="E26" s="227"/>
      <c r="F26" s="227" t="str">
        <f>NeoPrtWerkbr!E43</f>
        <v/>
      </c>
      <c r="G26" s="227"/>
      <c r="H26" s="349"/>
      <c r="I26" s="227"/>
      <c r="J26" s="227" t="str">
        <f>NeoPrtWerkbr!I42</f>
        <v>in</v>
      </c>
      <c r="K26" s="234" t="str">
        <f>IF(AND(D25&lt;&gt;"Nepresol (dihydralazine)",D25&lt;&gt;"Flolan (epoprostenol)"),NeoPrtWerkbr!J42,"NaCl 0,9%")</f>
        <v/>
      </c>
      <c r="L26" s="227"/>
      <c r="M26" s="227"/>
      <c r="N26" s="346" t="str">
        <f>IF(B25&lt;&gt;"",TRUNC(IF(B25&gt;0,N27+O27/100-N25-O25/100,0)),"")</f>
        <v/>
      </c>
      <c r="O26" s="347" t="str">
        <f>IF(B25&lt;&gt;"",(IF(B25&gt;0,N27+O27/100-N25-O25/100,0)-N26)*100,"")</f>
        <v/>
      </c>
      <c r="P26" s="227"/>
      <c r="Q26" s="227"/>
      <c r="R26" s="227"/>
    </row>
    <row r="27" spans="1:18" ht="15.1" x14ac:dyDescent="0.4">
      <c r="A27" s="319"/>
      <c r="B27" s="343"/>
      <c r="C27" s="343"/>
      <c r="D27" s="350" t="s">
        <v>588</v>
      </c>
      <c r="E27" s="351"/>
      <c r="F27" s="352" t="str">
        <f>IF(D25&lt;&gt;"",INDEX(tbl_Neo_MedIV,NeoBerInfB!B25,2),"")</f>
        <v/>
      </c>
      <c r="G27" s="351"/>
      <c r="H27" s="363"/>
      <c r="I27" s="354"/>
      <c r="J27" s="354"/>
      <c r="K27" s="355" t="str">
        <f>NeoPrtWerkbr!J43</f>
        <v>Totaal</v>
      </c>
      <c r="L27" s="354"/>
      <c r="M27" s="354"/>
      <c r="N27" s="356" t="str">
        <f>IF(B25&lt;&gt;"",IF(D25&lt;&gt;"lidocaine",IF(_Neo_1700_OplHoev_6&lt;25,2*TRUNC(_Neo_1700_OplHoev_6),TRUNC(_Neo_1700_OplHoev_6)),TRUNC(_Neo_1700_OplHoev_6*1.5)),"")</f>
        <v/>
      </c>
      <c r="O27" s="357" t="str">
        <f>IF(B25&lt;&gt;"",IF(D25&lt;&gt;"lidocaine",IF(_Neo_1700_OplHoev_6&lt;25,(2*_Neo_1700_OplHoev_6-N27)*100,(_Neo_1700_OplHoev_6-N27)*100),1.5*_Neo_1700_OplHoev_6-N27),"")</f>
        <v/>
      </c>
      <c r="P27" s="227"/>
      <c r="Q27" s="227"/>
      <c r="R27" s="227"/>
    </row>
    <row r="28" spans="1:18" ht="10" customHeight="1" x14ac:dyDescent="0.4">
      <c r="A28" s="319"/>
      <c r="B28" s="358"/>
      <c r="C28" s="358"/>
      <c r="D28" s="256"/>
      <c r="E28" s="256"/>
      <c r="F28" s="359"/>
      <c r="G28" s="256"/>
      <c r="H28" s="345"/>
      <c r="I28" s="256"/>
      <c r="J28" s="256"/>
      <c r="K28" s="344"/>
      <c r="L28" s="256"/>
      <c r="M28" s="256"/>
      <c r="N28" s="360"/>
      <c r="O28" s="361"/>
      <c r="P28" s="227"/>
      <c r="Q28" s="227"/>
      <c r="R28" s="227"/>
    </row>
    <row r="29" spans="1:18" ht="15.1" x14ac:dyDescent="0.4">
      <c r="A29" s="319">
        <v>7</v>
      </c>
      <c r="B29" s="320" t="str">
        <f>IF(NeoPrtWerkbr!C44&lt;&gt;"zijlijn",NeoPrtWerkbr!A44,"")</f>
        <v/>
      </c>
      <c r="C29" s="320"/>
      <c r="D29" s="321" t="str">
        <f>NeoPrtWerkbr!C44</f>
        <v/>
      </c>
      <c r="E29" s="322"/>
      <c r="F29" s="323" t="str">
        <f>IF(NeoPrtWerkbr!E44&lt;&gt;"",IF(D29&lt;&gt;"lidocaine",IF(NeoPrtWerkbr!M46&lt;25,NeoPrtWerkbr!E44*2,NeoPrtWerkbr!E44),NeoPrtWerkbr!E44*1.5),"")</f>
        <v/>
      </c>
      <c r="G29" s="322" t="str">
        <f>NeoPrtWerkbr!F44</f>
        <v>mg</v>
      </c>
      <c r="H29" s="324" t="str">
        <f>NeoPrtWerkbr!G44</f>
        <v>(</v>
      </c>
      <c r="I29" s="322" t="str">
        <f>NeoPrtWerkbr!H44</f>
        <v/>
      </c>
      <c r="J29" s="322" t="str">
        <f>NeoPrtWerkbr!I44</f>
        <v>mg=</v>
      </c>
      <c r="K29" s="322" t="str">
        <f>NeoPrtWerkbr!J44</f>
        <v/>
      </c>
      <c r="L29" s="322" t="str">
        <f>NeoPrtWerkbr!K44</f>
        <v>ml)</v>
      </c>
      <c r="M29" s="322"/>
      <c r="N29" s="325" t="str">
        <f>IF(B29&lt;&gt;"",IF(B29&gt;0,TRUNC((K29/I29)*F29),0),"")</f>
        <v/>
      </c>
      <c r="O29" s="326" t="str">
        <f>IF(B29&lt;&gt;"",(IF(B29&gt;0,ROUND((K29/I29)*F29,2),0)-N29)*100,"")</f>
        <v/>
      </c>
      <c r="P29" s="227"/>
      <c r="Q29" s="227"/>
      <c r="R29" s="227"/>
    </row>
    <row r="30" spans="1:18" ht="15.1" x14ac:dyDescent="0.4">
      <c r="A30" s="319"/>
      <c r="B30" s="320"/>
      <c r="C30" s="320"/>
      <c r="D30" s="327" t="str">
        <f>NeoPrtWerkbr!C46</f>
        <v/>
      </c>
      <c r="E30" s="328"/>
      <c r="F30" s="328" t="str">
        <f>NeoPrtWerkbr!E46</f>
        <v/>
      </c>
      <c r="G30" s="328"/>
      <c r="H30" s="329"/>
      <c r="I30" s="328"/>
      <c r="J30" s="328" t="str">
        <f>NeoPrtWerkbr!I45</f>
        <v>in</v>
      </c>
      <c r="K30" s="330" t="str">
        <f>IF(AND(D29&lt;&gt;"Nepresol (dihydralazine)",D29&lt;&gt;"Flolan (epoprostenol)"),NeoPrtWerkbr!J45,"NaCl 0,9%")</f>
        <v/>
      </c>
      <c r="L30" s="328"/>
      <c r="M30" s="328"/>
      <c r="N30" s="331" t="str">
        <f>IF(B29&lt;&gt;"",TRUNC(IF(B29&gt;0,N31+O31/100-N29-O29/100,0)),"")</f>
        <v/>
      </c>
      <c r="O30" s="332" t="str">
        <f>IF(B29&lt;&gt;"",(IF(B29&gt;0,N31+O31/100-N29-O29/100,0)-N30)*100,"")</f>
        <v/>
      </c>
      <c r="P30" s="227"/>
      <c r="Q30" s="227"/>
      <c r="R30" s="227"/>
    </row>
    <row r="31" spans="1:18" ht="15.1" x14ac:dyDescent="0.4">
      <c r="A31" s="319"/>
      <c r="B31" s="320"/>
      <c r="C31" s="320"/>
      <c r="D31" s="333" t="s">
        <v>588</v>
      </c>
      <c r="E31" s="334"/>
      <c r="F31" s="334" t="str">
        <f>IF(D29&lt;&gt;"",INDEX(tbl_Neo_MedIV,NeoBerInfB!B26,2),"")</f>
        <v/>
      </c>
      <c r="G31" s="334"/>
      <c r="H31" s="336"/>
      <c r="I31" s="336"/>
      <c r="J31" s="336"/>
      <c r="K31" s="337" t="str">
        <f>NeoPrtWerkbr!J46</f>
        <v>Totaal</v>
      </c>
      <c r="L31" s="336"/>
      <c r="M31" s="336"/>
      <c r="N31" s="338" t="str">
        <f>IF(B29&lt;&gt;"",IF(D29&lt;&gt;"lidocaine",IF(_Neo_1700_OplHoev_7&lt;25,2*TRUNC(_Neo_1700_OplHoev_7),TRUNC(_Neo_1700_OplHoev_7)),TRUNC(_Neo_1700_OplHoev_7*1.5)),"")</f>
        <v/>
      </c>
      <c r="O31" s="339" t="str">
        <f>IF(B29&lt;&gt;"",IF(D29&lt;&gt;"lidocaine",IF(_Neo_1700_OplHoev_7&lt;25,(2*_Neo_1700_OplHoev_7-N31)*100,(_Neo_1700_OplHoev_7-N31)*100),1.5*_Neo_1700_OplHoev_7-N31),"")</f>
        <v/>
      </c>
      <c r="P31" s="227"/>
      <c r="Q31" s="227"/>
      <c r="R31" s="227"/>
    </row>
    <row r="32" spans="1:18" ht="10" customHeight="1" x14ac:dyDescent="0.4">
      <c r="A32" s="319"/>
      <c r="B32" s="293"/>
      <c r="C32" s="293"/>
      <c r="D32" s="277"/>
      <c r="E32" s="277"/>
      <c r="F32" s="277"/>
      <c r="G32" s="277"/>
      <c r="H32" s="277"/>
      <c r="I32" s="277"/>
      <c r="J32" s="277"/>
      <c r="K32" s="278"/>
      <c r="L32" s="277"/>
      <c r="M32" s="277"/>
      <c r="N32" s="341"/>
      <c r="O32" s="342"/>
      <c r="P32" s="227"/>
      <c r="Q32" s="227"/>
      <c r="R32" s="227"/>
    </row>
    <row r="33" spans="1:18" ht="15.1" x14ac:dyDescent="0.4">
      <c r="A33" s="319">
        <v>8</v>
      </c>
      <c r="B33" s="343" t="str">
        <f>IF(NeoPrtWerkbr!C47&lt;&gt;"zijlijn",NeoPrtWerkbr!A47,"")</f>
        <v/>
      </c>
      <c r="C33" s="343"/>
      <c r="D33" s="255" t="str">
        <f>NeoPrtWerkbr!C47</f>
        <v/>
      </c>
      <c r="E33" s="256"/>
      <c r="F33" s="344" t="str">
        <f>IF(NeoPrtWerkbr!E47&lt;&gt;"",IF(D33&lt;&gt;"lidocaine",IF(NeoPrtWerkbr!M49&lt;25,NeoPrtWerkbr!E47*2,NeoPrtWerkbr!E47),NeoPrtWerkbr!E47*1.5),"")</f>
        <v/>
      </c>
      <c r="G33" s="256" t="str">
        <f>NeoPrtWerkbr!F47</f>
        <v>mg</v>
      </c>
      <c r="H33" s="345" t="str">
        <f>NeoPrtWerkbr!G47</f>
        <v>(</v>
      </c>
      <c r="I33" s="256" t="str">
        <f>NeoPrtWerkbr!H47</f>
        <v/>
      </c>
      <c r="J33" s="256" t="str">
        <f>NeoPrtWerkbr!I47</f>
        <v>mg=</v>
      </c>
      <c r="K33" s="256" t="str">
        <f>NeoPrtWerkbr!J47</f>
        <v/>
      </c>
      <c r="L33" s="256" t="str">
        <f>NeoPrtWerkbr!K47</f>
        <v>ml)</v>
      </c>
      <c r="M33" s="256"/>
      <c r="N33" s="346" t="str">
        <f>IF(B33&lt;&gt;"",IF(B33&gt;0,TRUNC((K33/I33)*F33),0),"")</f>
        <v/>
      </c>
      <c r="O33" s="347" t="str">
        <f>IF(B33&lt;&gt;"",(IF(B33&gt;0,ROUND((K33/I33)*F33,2),0)-N33)*100,"")</f>
        <v/>
      </c>
      <c r="P33" s="227"/>
      <c r="Q33" s="227"/>
      <c r="R33" s="227"/>
    </row>
    <row r="34" spans="1:18" ht="15.1" x14ac:dyDescent="0.4">
      <c r="A34" s="319"/>
      <c r="B34" s="343"/>
      <c r="C34" s="343"/>
      <c r="D34" s="348" t="str">
        <f>NeoPrtWerkbr!C49</f>
        <v/>
      </c>
      <c r="E34" s="227"/>
      <c r="F34" s="227" t="str">
        <f>NeoPrtWerkbr!E49</f>
        <v/>
      </c>
      <c r="G34" s="227"/>
      <c r="H34" s="349"/>
      <c r="I34" s="227"/>
      <c r="J34" s="227" t="str">
        <f>NeoPrtWerkbr!I48</f>
        <v>in</v>
      </c>
      <c r="K34" s="234" t="str">
        <f>IF(AND(D33&lt;&gt;"Nepresol (dihydralazine)",D33&lt;&gt;"Flolan (epoprostenol)"),NeoPrtWerkbr!J48,"NaCl 0,9%")</f>
        <v/>
      </c>
      <c r="L34" s="227"/>
      <c r="M34" s="227"/>
      <c r="N34" s="346" t="str">
        <f>IF(B33&lt;&gt;"",TRUNC(IF(B33&gt;0,N35+O35/100-N33-O33/100,0)),"")</f>
        <v/>
      </c>
      <c r="O34" s="347" t="str">
        <f>IF(B33&lt;&gt;"",(IF(B33&gt;0,N35+O35/100-N33-O33/100,0)-N34)*100,"")</f>
        <v/>
      </c>
      <c r="P34" s="227"/>
      <c r="Q34" s="227"/>
      <c r="R34" s="227"/>
    </row>
    <row r="35" spans="1:18" ht="15.1" x14ac:dyDescent="0.4">
      <c r="A35" s="319"/>
      <c r="B35" s="343"/>
      <c r="C35" s="343"/>
      <c r="D35" s="350" t="s">
        <v>588</v>
      </c>
      <c r="E35" s="351"/>
      <c r="F35" s="351" t="str">
        <f>IF(D33&lt;&gt;"",INDEX(tbl_Neo_MedIV,NeoBerInfB!B27,2),"")</f>
        <v/>
      </c>
      <c r="G35" s="351"/>
      <c r="H35" s="354"/>
      <c r="I35" s="354"/>
      <c r="J35" s="354"/>
      <c r="K35" s="355" t="str">
        <f>NeoPrtWerkbr!J49</f>
        <v>Totaal</v>
      </c>
      <c r="L35" s="354"/>
      <c r="M35" s="354"/>
      <c r="N35" s="356" t="str">
        <f>IF(B33&lt;&gt;"",IF(D33&lt;&gt;"lidocaine",IF(_Neo_1700_OplHoev_8&lt;25,2*TRUNC(_Neo_1700_OplHoev_8),TRUNC(_Neo_1700_OplHoev_8)),TRUNC(_Neo_1700_OplHoev_8*1.5)),"")</f>
        <v/>
      </c>
      <c r="O35" s="357" t="str">
        <f>IF(B33&lt;&gt;"",IF(D33&lt;&gt;"lidocaine",IF(_Neo_1700_OplHoev_8&lt;25,(2*_Neo_1700_OplHoev_8-N35)*100,(_Neo_1700_OplHoev_8-N35)*100),1.5*_Neo_1700_OplHoev_8-N35),"")</f>
        <v/>
      </c>
      <c r="P35" s="227"/>
      <c r="Q35" s="227"/>
      <c r="R35" s="227"/>
    </row>
    <row r="36" spans="1:18" ht="10" customHeight="1" x14ac:dyDescent="0.4">
      <c r="A36" s="319"/>
      <c r="B36" s="358"/>
      <c r="C36" s="358"/>
      <c r="D36" s="256"/>
      <c r="E36" s="256"/>
      <c r="F36" s="256"/>
      <c r="G36" s="256"/>
      <c r="H36" s="256"/>
      <c r="I36" s="256"/>
      <c r="J36" s="256"/>
      <c r="K36" s="344"/>
      <c r="L36" s="256"/>
      <c r="M36" s="256"/>
      <c r="N36" s="360"/>
      <c r="O36" s="361"/>
      <c r="P36" s="227"/>
      <c r="Q36" s="227"/>
      <c r="R36" s="227"/>
    </row>
    <row r="37" spans="1:18" ht="15.1" x14ac:dyDescent="0.4">
      <c r="A37" s="319">
        <v>9</v>
      </c>
      <c r="B37" s="320" t="str">
        <f>IF(NeoPrtWerkbr!C50&lt;&gt;"zijlijn",NeoPrtWerkbr!A50,"")</f>
        <v/>
      </c>
      <c r="C37" s="320"/>
      <c r="D37" s="321" t="str">
        <f>NeoPrtWerkbr!C50</f>
        <v/>
      </c>
      <c r="E37" s="322"/>
      <c r="F37" s="323" t="str">
        <f>IF(NeoPrtWerkbr!E50&lt;&gt;"",IF(D37&lt;&gt;"lidocaine",IF(NeoPrtWerkbr!M52&lt;25,NeoPrtWerkbr!E50*2,NeoPrtWerkbr!E50),NeoPrtWerkbr!E50*1.5),"")</f>
        <v/>
      </c>
      <c r="G37" s="322" t="str">
        <f>NeoPrtWerkbr!F50</f>
        <v>mg</v>
      </c>
      <c r="H37" s="324" t="str">
        <f>NeoPrtWerkbr!G50</f>
        <v>(</v>
      </c>
      <c r="I37" s="322" t="str">
        <f>NeoPrtWerkbr!H50</f>
        <v/>
      </c>
      <c r="J37" s="322" t="str">
        <f>NeoPrtWerkbr!I50</f>
        <v>mg=</v>
      </c>
      <c r="K37" s="322" t="str">
        <f>NeoPrtWerkbr!J50</f>
        <v/>
      </c>
      <c r="L37" s="322" t="str">
        <f>NeoPrtWerkbr!K50</f>
        <v>ml)</v>
      </c>
      <c r="M37" s="322"/>
      <c r="N37" s="325" t="str">
        <f>IF(B37&lt;&gt;"",IF(B37&gt;0,TRUNC((K37/I37)*F37),0),"")</f>
        <v/>
      </c>
      <c r="O37" s="326" t="str">
        <f>IF(B37&lt;&gt;"",(IF(B37&gt;0,ROUND((K37/I37)*F37,2),0)-N37)*100,"")</f>
        <v/>
      </c>
      <c r="P37" s="227"/>
      <c r="Q37" s="227"/>
      <c r="R37" s="227"/>
    </row>
    <row r="38" spans="1:18" ht="15.1" x14ac:dyDescent="0.4">
      <c r="A38" s="319"/>
      <c r="B38" s="320"/>
      <c r="C38" s="320"/>
      <c r="D38" s="327" t="str">
        <f>NeoPrtWerkbr!C52</f>
        <v/>
      </c>
      <c r="E38" s="328"/>
      <c r="F38" s="328" t="str">
        <f>NeoPrtWerkbr!E52</f>
        <v/>
      </c>
      <c r="G38" s="328"/>
      <c r="H38" s="329"/>
      <c r="I38" s="328"/>
      <c r="J38" s="328" t="str">
        <f>NeoPrtWerkbr!I51</f>
        <v>in</v>
      </c>
      <c r="K38" s="330" t="str">
        <f>IF(AND(D37&lt;&gt;"Nepresol (dihydralazine)",D37&lt;&gt;"Flolan (epoprostenol)"),NeoPrtWerkbr!J51,"NaCl 0,9%")</f>
        <v/>
      </c>
      <c r="L38" s="328"/>
      <c r="M38" s="328"/>
      <c r="N38" s="331" t="str">
        <f>IF(B37&lt;&gt;"",TRUNC(IF(B37&gt;0,N39+O39/100-N37-O37/100,0)),"")</f>
        <v/>
      </c>
      <c r="O38" s="332" t="str">
        <f>IF(B37&lt;&gt;"",(IF(B37&gt;0,N39+O39/100-N37-O37/100,0)-N38)*100,"")</f>
        <v/>
      </c>
      <c r="P38" s="227"/>
      <c r="Q38" s="227"/>
      <c r="R38" s="227"/>
    </row>
    <row r="39" spans="1:18" ht="15.1" x14ac:dyDescent="0.4">
      <c r="A39" s="319"/>
      <c r="B39" s="320"/>
      <c r="C39" s="320"/>
      <c r="D39" s="333" t="s">
        <v>588</v>
      </c>
      <c r="E39" s="334"/>
      <c r="F39" s="334" t="str">
        <f>IF(D37&lt;&gt;"",INDEX(tbl_Neo_MedIV,NeoBerInfB!B28,2),"")</f>
        <v/>
      </c>
      <c r="G39" s="334"/>
      <c r="H39" s="336"/>
      <c r="I39" s="336"/>
      <c r="J39" s="336"/>
      <c r="K39" s="337" t="str">
        <f>NeoPrtWerkbr!J52</f>
        <v>Totaal</v>
      </c>
      <c r="L39" s="336"/>
      <c r="M39" s="336"/>
      <c r="N39" s="338" t="str">
        <f>IF(B37&lt;&gt;"",IF(D37&lt;&gt;"lidocaine",IF(_Neo_1700_OplHoev_9&lt;25,2*TRUNC(_Neo_1700_OplHoev_9),TRUNC(_Neo_1700_OplHoev_9)),TRUNC(_Neo_1700_OplHoev_9*1.5)),"")</f>
        <v/>
      </c>
      <c r="O39" s="339" t="str">
        <f>IF(B37&lt;&gt;"",IF(D37&lt;&gt;"lidocaine",IF(_Neo_1700_OplHoev_9&lt;25,(2*_Neo_1700_OplHoev_9-N39)*100,(_Neo_1700_OplHoev_9-N39)*100),1.5*_Neo_1700_OplHoev_9-N39),"")</f>
        <v/>
      </c>
      <c r="P39" s="227"/>
      <c r="Q39" s="227"/>
      <c r="R39" s="227"/>
    </row>
    <row r="40" spans="1:18" ht="9.75" customHeight="1" x14ac:dyDescent="0.4">
      <c r="A40" s="319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349"/>
      <c r="O40" s="364"/>
      <c r="P40" s="227"/>
      <c r="Q40" s="227"/>
      <c r="R40" s="227"/>
    </row>
    <row r="41" spans="1:18" ht="13.95" x14ac:dyDescent="0.4">
      <c r="A41" s="319">
        <v>10</v>
      </c>
      <c r="B41" s="258" t="str">
        <f>NeoPrtAfspr!B45</f>
        <v/>
      </c>
      <c r="C41" s="260"/>
      <c r="D41" s="365"/>
      <c r="E41" s="260"/>
      <c r="F41" s="260"/>
      <c r="G41" s="260"/>
      <c r="H41" s="364"/>
      <c r="I41" s="260"/>
      <c r="J41" s="260"/>
      <c r="K41" s="260"/>
      <c r="L41" s="260"/>
      <c r="M41" s="260"/>
      <c r="N41" s="364"/>
      <c r="O41" s="366"/>
      <c r="P41" s="227"/>
      <c r="Q41" s="227"/>
      <c r="R41" s="227"/>
    </row>
    <row r="42" spans="1:18" ht="13.95" x14ac:dyDescent="0.4">
      <c r="A42" s="319">
        <v>11</v>
      </c>
      <c r="B42" s="258" t="str">
        <f>NeoPrtAfspr!B46</f>
        <v/>
      </c>
      <c r="C42" s="260"/>
      <c r="D42" s="365"/>
      <c r="E42" s="260"/>
      <c r="F42" s="260"/>
      <c r="G42" s="260"/>
      <c r="H42" s="364"/>
      <c r="I42" s="260"/>
      <c r="J42" s="260"/>
      <c r="K42" s="260"/>
      <c r="L42" s="260"/>
      <c r="M42" s="260"/>
      <c r="N42" s="364"/>
      <c r="O42" s="366"/>
      <c r="P42" s="227"/>
      <c r="Q42" s="227"/>
      <c r="R42" s="227"/>
    </row>
    <row r="43" spans="1:18" ht="13.95" x14ac:dyDescent="0.4">
      <c r="A43" s="319">
        <v>12</v>
      </c>
      <c r="B43" s="258">
        <f>NeoPrtAfspr!B47</f>
        <v>0</v>
      </c>
      <c r="C43" s="260"/>
      <c r="D43" s="365"/>
      <c r="E43" s="260"/>
      <c r="F43" s="260"/>
      <c r="G43" s="260"/>
      <c r="H43" s="364"/>
      <c r="I43" s="260"/>
      <c r="J43" s="260"/>
      <c r="K43" s="260"/>
      <c r="L43" s="260"/>
      <c r="M43" s="260"/>
      <c r="N43" s="364"/>
      <c r="O43" s="366"/>
      <c r="P43" s="227"/>
      <c r="Q43" s="227"/>
      <c r="R43" s="227"/>
    </row>
    <row r="44" spans="1:18" x14ac:dyDescent="0.35">
      <c r="B44" s="227"/>
      <c r="C44" s="227"/>
      <c r="D44" s="233"/>
      <c r="E44" s="227"/>
      <c r="F44" s="227"/>
      <c r="G44" s="227"/>
      <c r="H44" s="349"/>
      <c r="I44" s="227"/>
      <c r="J44" s="227"/>
      <c r="K44" s="227"/>
      <c r="L44" s="227"/>
      <c r="M44" s="227"/>
      <c r="N44" s="349"/>
      <c r="O44" s="349"/>
      <c r="P44" s="227"/>
      <c r="Q44" s="227"/>
      <c r="R44" s="227"/>
    </row>
    <row r="45" spans="1:18" x14ac:dyDescent="0.35">
      <c r="B45" s="227"/>
      <c r="C45" s="227"/>
      <c r="D45" s="233"/>
      <c r="E45" s="227"/>
      <c r="F45" s="227"/>
      <c r="G45" s="227"/>
      <c r="H45" s="349"/>
      <c r="I45" s="227"/>
      <c r="J45" s="227"/>
      <c r="K45" s="227"/>
      <c r="L45" s="227"/>
      <c r="M45" s="227"/>
      <c r="N45" s="349"/>
      <c r="O45" s="349"/>
      <c r="P45" s="227"/>
      <c r="Q45" s="227"/>
      <c r="R45" s="227"/>
    </row>
    <row r="47" spans="1:18" s="268" customFormat="1" ht="9.75" customHeight="1" x14ac:dyDescent="0.35">
      <c r="A47" s="967">
        <f ca="1">TODAY()</f>
        <v>42739</v>
      </c>
      <c r="B47" s="967"/>
      <c r="C47" s="268" t="str">
        <f>"Bed "&amp;__1_Bed</f>
        <v xml:space="preserve">Bed </v>
      </c>
      <c r="E47" s="268">
        <v>1</v>
      </c>
      <c r="G47" s="967">
        <f ca="1">TODAY()</f>
        <v>42739</v>
      </c>
      <c r="H47" s="967"/>
      <c r="I47" s="268" t="str">
        <f>"Bed "&amp;__1_Bed</f>
        <v xml:space="preserve">Bed </v>
      </c>
      <c r="K47" s="268">
        <v>2</v>
      </c>
      <c r="M47" s="967">
        <f ca="1">TODAY()</f>
        <v>42739</v>
      </c>
      <c r="N47" s="968"/>
      <c r="O47" s="268" t="str">
        <f>"Bed "&amp;__1_Bed</f>
        <v xml:space="preserve">Bed </v>
      </c>
      <c r="Q47" s="268">
        <v>3</v>
      </c>
    </row>
    <row r="48" spans="1:18" ht="10" customHeight="1" x14ac:dyDescent="0.35">
      <c r="A48" s="367" t="str">
        <f>IF(D5&lt;&gt;"",__3_VoorNaam&amp;" "&amp;__2_AchterNaam,"")</f>
        <v/>
      </c>
      <c r="B48" s="268"/>
      <c r="C48" s="268"/>
      <c r="E48" s="268"/>
      <c r="F48" s="268"/>
      <c r="G48" s="367" t="str">
        <f>IF(D9&lt;&gt;"",__3_VoorNaam&amp;" "&amp;__2_AchterNaam,"")</f>
        <v/>
      </c>
      <c r="H48" s="268"/>
      <c r="I48" s="268"/>
      <c r="J48" s="268"/>
      <c r="K48" s="268"/>
      <c r="L48" s="268"/>
      <c r="M48" s="367" t="str">
        <f>IF(D13&lt;&gt;"",__3_VoorNaam&amp;" "&amp;__2_AchterNaam,"")</f>
        <v/>
      </c>
      <c r="N48" s="268"/>
      <c r="O48" s="268"/>
      <c r="P48" s="268"/>
      <c r="Q48" s="268"/>
    </row>
    <row r="49" spans="1:18" ht="10" customHeight="1" x14ac:dyDescent="0.35">
      <c r="A49" s="268" t="str">
        <f>IF(D5&lt;&gt;"",D5&amp;" "&amp;NeoPrtWerkbr!E26&amp;" "&amp;G5,"")</f>
        <v/>
      </c>
      <c r="B49" s="268"/>
      <c r="C49" s="268"/>
      <c r="E49" s="268"/>
      <c r="F49" s="268"/>
      <c r="G49" s="268" t="str">
        <f>IF(D9&lt;&gt;"",D9&amp;" "&amp;NeoPrtWerkbr!E29&amp;" "&amp;G9,"")</f>
        <v/>
      </c>
      <c r="H49" s="268"/>
      <c r="I49" s="268"/>
      <c r="K49" s="268"/>
      <c r="L49" s="268"/>
      <c r="M49" s="268" t="str">
        <f>IF(D13&lt;&gt;"",D13&amp;" "&amp;NeoPrtWerkbr!E32&amp;" "&amp;G13,"")</f>
        <v/>
      </c>
      <c r="N49" s="268"/>
      <c r="O49" s="268"/>
      <c r="Q49" s="268"/>
    </row>
    <row r="50" spans="1:18" ht="10" customHeight="1" x14ac:dyDescent="0.35">
      <c r="A50" s="368" t="str">
        <f>NeoPrtAfspr!G33&amp;" "&amp;K6</f>
        <v xml:space="preserve"> </v>
      </c>
      <c r="B50" s="368"/>
      <c r="C50" s="368"/>
      <c r="D50" s="268" t="str">
        <f>IF(_Neo_1700_OplHoev_1&gt;0,"("&amp;N7-_Neo_1700_OplHoev_1&amp;" ml extra)","")</f>
        <v/>
      </c>
      <c r="E50" s="368"/>
      <c r="F50" s="268"/>
      <c r="G50" s="268" t="str">
        <f>NeoPrtAfspr!G34&amp;" "&amp;K10</f>
        <v xml:space="preserve"> </v>
      </c>
      <c r="H50" s="268"/>
      <c r="I50" s="268"/>
      <c r="J50" s="268" t="str">
        <f>IF(_Neo_1700_OplHoev_2&gt;0,"("&amp;N11-_Neo_1700_OplHoev_2&amp;" ml extra)","")</f>
        <v/>
      </c>
      <c r="K50" s="268"/>
      <c r="L50" s="268"/>
      <c r="M50" s="268" t="str">
        <f>NeoPrtAfspr!G35&amp;" "&amp;K14</f>
        <v xml:space="preserve"> </v>
      </c>
      <c r="N50" s="268"/>
      <c r="O50" s="268"/>
      <c r="P50" s="268" t="str">
        <f>IF(_Neo_1700_OplHoev_3&gt;0,"("&amp;N15-_Neo_1700_OplHoev_3&amp;" ml extra)","")</f>
        <v/>
      </c>
      <c r="Q50" s="268"/>
    </row>
    <row r="51" spans="1:18" ht="10" customHeight="1" x14ac:dyDescent="0.35">
      <c r="A51" s="268" t="str">
        <f>IF(D6&lt;&gt;"",D6,"")</f>
        <v/>
      </c>
      <c r="B51" s="268"/>
      <c r="C51" s="268" t="str">
        <f>F6</f>
        <v/>
      </c>
      <c r="D51" s="268"/>
      <c r="E51" s="268"/>
      <c r="F51" s="268"/>
      <c r="G51" s="268" t="str">
        <f>IF(D10&lt;&gt;"",D10,"")</f>
        <v/>
      </c>
      <c r="H51" s="268"/>
      <c r="I51" s="268" t="str">
        <f>IF(F10&lt;&gt;"",F10,"")</f>
        <v/>
      </c>
      <c r="J51" s="268"/>
      <c r="K51" s="268"/>
      <c r="L51" s="268"/>
      <c r="M51" s="268" t="str">
        <f>IF(D14&lt;&gt;"",$D$14,"")</f>
        <v/>
      </c>
      <c r="N51" s="268"/>
      <c r="O51" s="268" t="str">
        <f>IF(F14&lt;&gt;"",$F$14,"")</f>
        <v/>
      </c>
      <c r="P51" s="268"/>
      <c r="Q51" s="268"/>
    </row>
    <row r="52" spans="1:18" ht="10" customHeight="1" x14ac:dyDescent="0.35">
      <c r="A52" s="268"/>
      <c r="B52" s="268"/>
      <c r="D52" s="268" t="str">
        <f>"Exp: "</f>
        <v xml:space="preserve">Exp: </v>
      </c>
      <c r="E52" s="967">
        <f ca="1">TODAY()+1</f>
        <v>42740</v>
      </c>
      <c r="F52" s="967"/>
      <c r="G52" s="268"/>
      <c r="H52" s="268"/>
      <c r="I52" s="268"/>
      <c r="J52" s="268" t="str">
        <f>"Exp: "</f>
        <v xml:space="preserve">Exp: </v>
      </c>
      <c r="K52" s="967">
        <f ca="1">TODAY()+1</f>
        <v>42740</v>
      </c>
      <c r="L52" s="967"/>
      <c r="M52" s="268"/>
      <c r="N52" s="268"/>
      <c r="O52" s="268"/>
      <c r="P52" s="268" t="str">
        <f>"Exp: "</f>
        <v xml:space="preserve">Exp: </v>
      </c>
      <c r="Q52" s="967">
        <f ca="1">TODAY()+1</f>
        <v>42740</v>
      </c>
      <c r="R52" s="967"/>
    </row>
    <row r="53" spans="1:18" ht="10" customHeight="1" x14ac:dyDescent="0.35"/>
    <row r="54" spans="1:18" ht="10" customHeight="1" x14ac:dyDescent="0.35">
      <c r="A54" s="268"/>
      <c r="B54" s="268"/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</row>
    <row r="55" spans="1:18" ht="10" customHeight="1" x14ac:dyDescent="0.35">
      <c r="A55" s="268"/>
      <c r="B55" s="268"/>
      <c r="C55" s="268"/>
      <c r="D55" s="268"/>
      <c r="E55" s="268"/>
      <c r="F55" s="268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268"/>
    </row>
    <row r="56" spans="1:18" ht="10" customHeight="1" x14ac:dyDescent="0.35">
      <c r="A56" s="268"/>
      <c r="B56" s="268"/>
      <c r="C56" s="268"/>
      <c r="D56" s="268"/>
      <c r="E56" s="268"/>
      <c r="F56" s="268"/>
      <c r="G56" s="268"/>
      <c r="H56" s="268"/>
      <c r="I56" s="268"/>
      <c r="J56" s="268"/>
      <c r="K56" s="268"/>
      <c r="L56" s="268"/>
      <c r="M56" s="268"/>
      <c r="N56" s="268"/>
      <c r="O56" s="268"/>
      <c r="P56" s="268"/>
      <c r="Q56" s="268"/>
    </row>
    <row r="57" spans="1:18" ht="15.75" customHeight="1" x14ac:dyDescent="0.35">
      <c r="A57" s="268"/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</row>
    <row r="58" spans="1:18" ht="9.75" customHeight="1" x14ac:dyDescent="0.35">
      <c r="A58" s="967">
        <f ca="1">TODAY()</f>
        <v>42739</v>
      </c>
      <c r="B58" s="968"/>
      <c r="C58" s="268" t="str">
        <f>"Bed "&amp;__1_Bed</f>
        <v xml:space="preserve">Bed </v>
      </c>
      <c r="D58" s="268"/>
      <c r="E58" s="268">
        <v>4</v>
      </c>
      <c r="F58" s="268"/>
      <c r="G58" s="967">
        <f ca="1">TODAY()</f>
        <v>42739</v>
      </c>
      <c r="H58" s="968"/>
      <c r="I58" s="268" t="str">
        <f>"Bed "&amp;__1_Bed</f>
        <v xml:space="preserve">Bed </v>
      </c>
      <c r="J58" s="268"/>
      <c r="K58" s="268">
        <v>5</v>
      </c>
      <c r="L58" s="268"/>
      <c r="M58" s="967">
        <f ca="1">TODAY()</f>
        <v>42739</v>
      </c>
      <c r="N58" s="968"/>
      <c r="O58" s="268" t="str">
        <f>"Bed "&amp;__1_Bed</f>
        <v xml:space="preserve">Bed </v>
      </c>
      <c r="P58" s="268"/>
      <c r="Q58" s="268">
        <v>6</v>
      </c>
    </row>
    <row r="59" spans="1:18" ht="10" customHeight="1" x14ac:dyDescent="0.35">
      <c r="A59" s="367" t="str">
        <f>IF(D17&lt;&gt;"",__3_VoorNaam&amp;" "&amp;__2_AchterNaam,"")</f>
        <v/>
      </c>
      <c r="B59" s="268"/>
      <c r="C59" s="268"/>
      <c r="D59" s="268"/>
      <c r="E59" s="268"/>
      <c r="F59" s="268"/>
      <c r="G59" s="367" t="str">
        <f>IF(D21&lt;&gt;"",__3_VoorNaam&amp;" "&amp;__2_AchterNaam,"")</f>
        <v/>
      </c>
      <c r="H59" s="268"/>
      <c r="I59" s="268"/>
      <c r="J59" s="268"/>
      <c r="K59" s="268"/>
      <c r="L59" s="268"/>
      <c r="M59" s="367" t="str">
        <f>IF(D25&lt;&gt;"",__3_VoorNaam&amp;" "&amp;__2_AchterNaam,"")</f>
        <v/>
      </c>
      <c r="N59" s="268"/>
      <c r="O59" s="268"/>
      <c r="P59" s="268"/>
      <c r="Q59" s="268"/>
    </row>
    <row r="60" spans="1:18" ht="10" customHeight="1" x14ac:dyDescent="0.35">
      <c r="A60" s="268" t="str">
        <f>IF(D17&lt;&gt;"",D17&amp;" "&amp;NeoPrtWerkbr!E35&amp;" "&amp;G17,"")</f>
        <v/>
      </c>
      <c r="B60" s="268"/>
      <c r="C60" s="268"/>
      <c r="E60" s="268"/>
      <c r="F60" s="268"/>
      <c r="G60" s="268" t="str">
        <f>IF(D21&lt;&gt;"",D21&amp;" "&amp;NeoPrtWerkbr!E38&amp;" "&amp;G21,"")</f>
        <v/>
      </c>
      <c r="H60" s="268"/>
      <c r="I60" s="268"/>
      <c r="K60" s="268"/>
      <c r="L60" s="268"/>
      <c r="M60" s="268" t="str">
        <f>IF(D25&lt;&gt;"",D25&amp;" "&amp;NeoPrtWerkbr!E41&amp;" "&amp;G25,"")</f>
        <v/>
      </c>
      <c r="N60" s="268"/>
      <c r="O60" s="268"/>
      <c r="Q60" s="268"/>
    </row>
    <row r="61" spans="1:18" ht="10" customHeight="1" x14ac:dyDescent="0.35">
      <c r="A61" s="268" t="str">
        <f>NeoPrtAfspr!G36&amp;" "&amp;K18</f>
        <v xml:space="preserve"> </v>
      </c>
      <c r="B61" s="268"/>
      <c r="C61" s="268"/>
      <c r="D61" s="268" t="str">
        <f>IF(_Neo_1700_OplHoev_4&gt;0,"("&amp;N19-_Neo_1700_OplHoev_4&amp;" ml extra)","")</f>
        <v/>
      </c>
      <c r="E61" s="268"/>
      <c r="F61" s="268"/>
      <c r="G61" s="268" t="str">
        <f>NeoPrtAfspr!G37&amp;" "&amp;K22</f>
        <v xml:space="preserve"> </v>
      </c>
      <c r="H61" s="268"/>
      <c r="I61" s="268"/>
      <c r="J61" s="268" t="str">
        <f>IF(_Neo_1700_OplHoev_5&gt;0,"("&amp;N23-_Neo_1700_OplHoev_5&amp;" ml extra)","")</f>
        <v/>
      </c>
      <c r="K61" s="268"/>
      <c r="L61" s="268"/>
      <c r="M61" s="268" t="str">
        <f>NeoPrtAfspr!G38&amp;" "&amp;K26</f>
        <v xml:space="preserve"> </v>
      </c>
      <c r="N61" s="268"/>
      <c r="O61" s="268"/>
      <c r="P61" s="268" t="str">
        <f>IF(_Neo_1700_OplHoev_6&gt;0,"("&amp;N27-_Neo_1700_OplHoev_6&amp;" ml extra)","")</f>
        <v/>
      </c>
      <c r="Q61" s="268"/>
    </row>
    <row r="62" spans="1:18" ht="10" customHeight="1" x14ac:dyDescent="0.35">
      <c r="A62" s="268" t="str">
        <f>IF(D18&lt;&gt;"",D18,"")</f>
        <v/>
      </c>
      <c r="B62" s="268"/>
      <c r="C62" s="268" t="str">
        <f>F18</f>
        <v/>
      </c>
      <c r="D62" s="268"/>
      <c r="E62" s="268"/>
      <c r="F62" s="268"/>
      <c r="G62" s="268" t="str">
        <f>IF(D22&lt;&gt;"",D22,"")</f>
        <v/>
      </c>
      <c r="H62" s="268"/>
      <c r="I62" s="268" t="str">
        <f>IF(F22&lt;&gt;"",F22,"")</f>
        <v/>
      </c>
      <c r="J62" s="268"/>
      <c r="K62" s="268"/>
      <c r="L62" s="268"/>
      <c r="M62" s="268" t="str">
        <f>IF(D26&lt;&gt;"",$D$26,"")</f>
        <v/>
      </c>
      <c r="N62" s="268"/>
      <c r="O62" s="268" t="str">
        <f>IF(F26&lt;&gt;"",$F$26,"")</f>
        <v/>
      </c>
      <c r="P62" s="268"/>
      <c r="Q62" s="268"/>
    </row>
    <row r="63" spans="1:18" ht="10" customHeight="1" x14ac:dyDescent="0.35">
      <c r="A63" s="268"/>
      <c r="B63" s="268"/>
      <c r="C63" s="268"/>
      <c r="D63" s="268" t="str">
        <f>"Exp: "</f>
        <v xml:space="preserve">Exp: </v>
      </c>
      <c r="E63" s="967">
        <f ca="1">TODAY()+1</f>
        <v>42740</v>
      </c>
      <c r="F63" s="967"/>
      <c r="G63" s="268"/>
      <c r="H63" s="268"/>
      <c r="I63" s="268"/>
      <c r="J63" s="268" t="str">
        <f>"Exp: "</f>
        <v xml:space="preserve">Exp: </v>
      </c>
      <c r="K63" s="967">
        <f ca="1">TODAY()+1</f>
        <v>42740</v>
      </c>
      <c r="L63" s="967"/>
      <c r="M63" s="268"/>
      <c r="N63" s="268"/>
      <c r="O63" s="268"/>
      <c r="P63" s="268" t="str">
        <f>"Exp: "</f>
        <v xml:space="preserve">Exp: </v>
      </c>
      <c r="Q63" s="967">
        <f ca="1">TODAY()+1</f>
        <v>42740</v>
      </c>
      <c r="R63" s="96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607"/>
    </row>
  </sheetData>
  <sheetProtection algorithmName="SHA-512" hashValue="scdQLaLDlpbf+4MR8cMtdUbb5zuUFxBm6Go1TKOP9e/JU4kERGoXBx45v6TwTjJpPQbpa7cfJZ2wWE11ZwP2iQ==" saltValue="wV4AGfTPwx6SKQBoEURkYg==" spinCount="100000" sheet="1" objects="1" scenario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				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1798</vt:i4>
      </vt:variant>
    </vt:vector>
  </HeadingPairs>
  <TitlesOfParts>
    <vt:vector size="1860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PedGuiMedIV</vt:lpstr>
      <vt:lpstr>Pediatrie--&gt;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NeoPrtWerkbrAct</vt:lpstr>
      <vt:lpstr>NeoGui1700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2017-01-04T14:39:12Z</dcterms:modified>
</cp:coreProperties>
</file>